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S:\3_SW_LIB_SVCS\Library Data Coordinator\PLS Library Statistics\Annual Report Data Files\FY2020_2021 Annual Survey\"/>
    </mc:Choice>
  </mc:AlternateContent>
  <xr:revisionPtr revIDLastSave="0" documentId="8_{59D20E61-D32E-4605-8D32-4F22CB92B086}" xr6:coauthVersionLast="47" xr6:coauthVersionMax="47" xr10:uidLastSave="{00000000-0000-0000-0000-000000000000}"/>
  <bookViews>
    <workbookView xWindow="28680" yWindow="-120" windowWidth="29040" windowHeight="15840" xr2:uid="{00000000-000D-0000-FFFF-FFFF00000000}"/>
  </bookViews>
  <sheets>
    <sheet name="Table Of Contents" sheetId="2" r:id="rId1"/>
    <sheet name="Summary and Definitions" sheetId="3" r:id="rId2"/>
    <sheet name="COVID Statistics (ALL) " sheetId="19" r:id="rId3"/>
    <sheet name="Outlets, Hours and SqFt" sheetId="1" r:id="rId4"/>
    <sheet name="Collections" sheetId="4" r:id="rId5"/>
    <sheet name="Services" sheetId="5" r:id="rId6"/>
    <sheet name="Programs" sheetId="6" r:id="rId7"/>
    <sheet name="Technology" sheetId="8" r:id="rId8"/>
    <sheet name="Millages" sheetId="10" r:id="rId9"/>
    <sheet name="Operating Income" sheetId="11" r:id="rId10"/>
    <sheet name="Operating Expenditure" sheetId="12" r:id="rId11"/>
    <sheet name="Capital Income &amp; Expenditure" sheetId="14" r:id="rId12"/>
    <sheet name="Nonresident Fees" sheetId="13" r:id="rId13"/>
    <sheet name="Staffing" sheetId="15" r:id="rId14"/>
    <sheet name="Director's Salary" sheetId="16" r:id="rId15"/>
    <sheet name="Other Employees Salaries" sheetId="17"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403" i="19" l="1"/>
  <c r="O402" i="19"/>
  <c r="O401" i="19"/>
  <c r="O400" i="19"/>
  <c r="O399" i="19"/>
  <c r="O398" i="19"/>
  <c r="N403" i="19"/>
  <c r="N402" i="19"/>
  <c r="N401" i="19"/>
  <c r="N400" i="19"/>
  <c r="N399" i="19"/>
  <c r="N398" i="19"/>
  <c r="C398" i="19"/>
  <c r="D398" i="19"/>
  <c r="E398" i="19"/>
  <c r="F398" i="19"/>
  <c r="G398" i="19"/>
  <c r="H398" i="19"/>
  <c r="I398" i="19"/>
  <c r="J398" i="19"/>
  <c r="K398" i="19"/>
  <c r="L398" i="19"/>
  <c r="M398" i="19"/>
  <c r="P398" i="19"/>
  <c r="Q398" i="19"/>
  <c r="R398" i="19"/>
  <c r="S398" i="19"/>
  <c r="C399" i="19"/>
  <c r="D399" i="19"/>
  <c r="E399" i="19"/>
  <c r="F399" i="19"/>
  <c r="G399" i="19"/>
  <c r="H399" i="19"/>
  <c r="I399" i="19"/>
  <c r="J399" i="19"/>
  <c r="K399" i="19"/>
  <c r="L399" i="19"/>
  <c r="M399" i="19"/>
  <c r="P399" i="19"/>
  <c r="Q399" i="19"/>
  <c r="R399" i="19"/>
  <c r="S399" i="19"/>
  <c r="C400" i="19"/>
  <c r="D400" i="19"/>
  <c r="E400" i="19"/>
  <c r="F400" i="19"/>
  <c r="G400" i="19"/>
  <c r="H400" i="19"/>
  <c r="I400" i="19"/>
  <c r="J400" i="19"/>
  <c r="K400" i="19"/>
  <c r="L400" i="19"/>
  <c r="M400" i="19"/>
  <c r="P400" i="19"/>
  <c r="Q400" i="19"/>
  <c r="R400" i="19"/>
  <c r="S400" i="19"/>
  <c r="C401" i="19"/>
  <c r="D401" i="19"/>
  <c r="E401" i="19"/>
  <c r="F401" i="19"/>
  <c r="G401" i="19"/>
  <c r="H401" i="19"/>
  <c r="I401" i="19"/>
  <c r="J401" i="19"/>
  <c r="K401" i="19"/>
  <c r="L401" i="19"/>
  <c r="M401" i="19"/>
  <c r="P401" i="19"/>
  <c r="Q401" i="19"/>
  <c r="R401" i="19"/>
  <c r="S401" i="19"/>
  <c r="C402" i="19"/>
  <c r="D402" i="19"/>
  <c r="E402" i="19"/>
  <c r="F402" i="19"/>
  <c r="G402" i="19"/>
  <c r="H402" i="19"/>
  <c r="I402" i="19"/>
  <c r="J402" i="19"/>
  <c r="K402" i="19"/>
  <c r="L402" i="19"/>
  <c r="M402" i="19"/>
  <c r="P402" i="19"/>
  <c r="Q402" i="19"/>
  <c r="R402" i="19"/>
  <c r="S402" i="19"/>
  <c r="C403" i="19"/>
  <c r="D403" i="19"/>
  <c r="E403" i="19"/>
  <c r="F403" i="19"/>
  <c r="G403" i="19"/>
  <c r="H403" i="19"/>
  <c r="I403" i="19"/>
  <c r="J403" i="19"/>
  <c r="K403" i="19"/>
  <c r="L403" i="19"/>
  <c r="M403" i="19"/>
  <c r="P403" i="19"/>
  <c r="Q403" i="19"/>
  <c r="R403" i="19"/>
  <c r="S403" i="19"/>
  <c r="C395" i="19"/>
  <c r="U396" i="17"/>
  <c r="T396" i="17"/>
  <c r="S396" i="17"/>
  <c r="R396" i="17"/>
  <c r="Q396" i="17"/>
  <c r="P396" i="17"/>
  <c r="O396" i="17"/>
  <c r="N396" i="17"/>
  <c r="M396" i="17"/>
  <c r="L396" i="17"/>
  <c r="K396" i="17"/>
  <c r="J396" i="17"/>
  <c r="I396" i="17"/>
  <c r="H396" i="17"/>
  <c r="G396" i="17"/>
  <c r="F396" i="17"/>
  <c r="E396" i="17"/>
  <c r="D396" i="17"/>
  <c r="C395" i="17"/>
  <c r="F395" i="16" l="1"/>
  <c r="E395" i="16"/>
  <c r="C395" i="16"/>
  <c r="E396" i="15"/>
  <c r="F396" i="15"/>
  <c r="G396" i="15"/>
  <c r="H396" i="15"/>
  <c r="I396" i="15"/>
  <c r="J396" i="15"/>
  <c r="K396" i="15"/>
  <c r="L396" i="15"/>
  <c r="M396" i="15"/>
  <c r="N396" i="15"/>
  <c r="O396" i="15"/>
  <c r="P396" i="15"/>
  <c r="Q396" i="15"/>
  <c r="R396" i="15"/>
  <c r="S396" i="15"/>
  <c r="U396" i="15"/>
  <c r="D393" i="15"/>
  <c r="E395" i="15"/>
  <c r="F395" i="15"/>
  <c r="G395" i="15"/>
  <c r="H395" i="15"/>
  <c r="I395" i="15"/>
  <c r="J395" i="15"/>
  <c r="K395" i="15"/>
  <c r="L395" i="15"/>
  <c r="M395" i="15"/>
  <c r="N395" i="15"/>
  <c r="O395" i="15"/>
  <c r="P395" i="15"/>
  <c r="Q395" i="15"/>
  <c r="R395" i="15"/>
  <c r="S395" i="15"/>
  <c r="U395" i="15"/>
  <c r="D395" i="15"/>
  <c r="C394" i="15"/>
  <c r="C394" i="13"/>
  <c r="D395" i="14"/>
  <c r="F395" i="14"/>
  <c r="G395" i="14"/>
  <c r="H395" i="14"/>
  <c r="I395" i="14"/>
  <c r="J395" i="14"/>
  <c r="K395" i="14"/>
  <c r="L395" i="14"/>
  <c r="M395" i="14"/>
  <c r="N395" i="14"/>
  <c r="E395" i="14"/>
  <c r="C394" i="14"/>
  <c r="E395" i="12"/>
  <c r="F395" i="12"/>
  <c r="G395" i="12"/>
  <c r="H395" i="12"/>
  <c r="I395" i="12"/>
  <c r="J395" i="12"/>
  <c r="K395" i="12"/>
  <c r="L395" i="12"/>
  <c r="M395" i="12"/>
  <c r="D395" i="12"/>
  <c r="E394" i="12"/>
  <c r="F394" i="12"/>
  <c r="G394" i="12"/>
  <c r="H394" i="12"/>
  <c r="I394" i="12"/>
  <c r="J394" i="12"/>
  <c r="K394" i="12"/>
  <c r="L394" i="12"/>
  <c r="M394" i="12"/>
  <c r="D394" i="12"/>
  <c r="C393" i="12"/>
  <c r="N226" i="12"/>
  <c r="N148" i="12"/>
  <c r="N149" i="12"/>
  <c r="N150" i="12"/>
  <c r="N151" i="12"/>
  <c r="N4" i="12"/>
  <c r="N227" i="12"/>
  <c r="N305" i="12"/>
  <c r="N306" i="12"/>
  <c r="N152" i="12"/>
  <c r="N71" i="12"/>
  <c r="N307" i="12"/>
  <c r="N153" i="12"/>
  <c r="N348" i="12"/>
  <c r="N72" i="12"/>
  <c r="N5" i="12"/>
  <c r="N73" i="12"/>
  <c r="N228" i="12"/>
  <c r="N154" i="12"/>
  <c r="N229" i="12"/>
  <c r="N74" i="12"/>
  <c r="N308" i="12"/>
  <c r="N75" i="12"/>
  <c r="N155" i="12"/>
  <c r="N349" i="12"/>
  <c r="N6" i="12"/>
  <c r="N7" i="12"/>
  <c r="N309" i="12"/>
  <c r="N8" i="12"/>
  <c r="N230" i="12"/>
  <c r="N9" i="12"/>
  <c r="N10" i="12"/>
  <c r="N231" i="12"/>
  <c r="N156" i="12"/>
  <c r="N76" i="12"/>
  <c r="N11" i="12"/>
  <c r="N232" i="12"/>
  <c r="N157" i="12"/>
  <c r="N310" i="12"/>
  <c r="N158" i="12"/>
  <c r="N311" i="12"/>
  <c r="N233" i="12"/>
  <c r="N234" i="12"/>
  <c r="N77" i="12"/>
  <c r="N235" i="12"/>
  <c r="N312" i="12"/>
  <c r="N78" i="12"/>
  <c r="N159" i="12"/>
  <c r="N160" i="12"/>
  <c r="N12" i="12"/>
  <c r="N313" i="12"/>
  <c r="N161" i="12"/>
  <c r="N79" i="12"/>
  <c r="N350" i="12"/>
  <c r="N351" i="12"/>
  <c r="N162" i="12"/>
  <c r="N13" i="12"/>
  <c r="N163" i="12"/>
  <c r="N314" i="12"/>
  <c r="N164" i="12"/>
  <c r="N165" i="12"/>
  <c r="N14" i="12"/>
  <c r="N236" i="12"/>
  <c r="N166" i="12"/>
  <c r="N237" i="12"/>
  <c r="N15" i="12"/>
  <c r="N238" i="12"/>
  <c r="N239" i="12"/>
  <c r="N315" i="12"/>
  <c r="N352" i="12"/>
  <c r="N316" i="12"/>
  <c r="N16" i="12"/>
  <c r="N353" i="12"/>
  <c r="N80" i="12"/>
  <c r="N240" i="12"/>
  <c r="N17" i="12"/>
  <c r="N18" i="12"/>
  <c r="N317" i="12"/>
  <c r="N318" i="12"/>
  <c r="N241" i="12"/>
  <c r="N81" i="12"/>
  <c r="N167" i="12"/>
  <c r="N242" i="12"/>
  <c r="N319" i="12"/>
  <c r="N19" i="12"/>
  <c r="N20" i="12"/>
  <c r="N21" i="12"/>
  <c r="N22" i="12"/>
  <c r="N23" i="12"/>
  <c r="N354" i="12"/>
  <c r="N355" i="12"/>
  <c r="N82" i="12"/>
  <c r="N320" i="12"/>
  <c r="N168" i="12"/>
  <c r="N356" i="12"/>
  <c r="N243" i="12"/>
  <c r="N244" i="12"/>
  <c r="N321" i="12"/>
  <c r="N83" i="12"/>
  <c r="N169" i="12"/>
  <c r="N245" i="12"/>
  <c r="N84" i="12"/>
  <c r="N85" i="12"/>
  <c r="N322" i="12"/>
  <c r="N323" i="12"/>
  <c r="N246" i="12"/>
  <c r="N170" i="12"/>
  <c r="N171" i="12"/>
  <c r="N86" i="12"/>
  <c r="N24" i="12"/>
  <c r="N25" i="12"/>
  <c r="N247" i="12"/>
  <c r="N172" i="12"/>
  <c r="N26" i="12"/>
  <c r="N357" i="12"/>
  <c r="N248" i="12"/>
  <c r="N249" i="12"/>
  <c r="N27" i="12"/>
  <c r="N250" i="12"/>
  <c r="N251" i="12"/>
  <c r="N358" i="12"/>
  <c r="N87" i="12"/>
  <c r="N252" i="12"/>
  <c r="N173" i="12"/>
  <c r="N28" i="12"/>
  <c r="N253" i="12"/>
  <c r="N88" i="12"/>
  <c r="N254" i="12"/>
  <c r="N255" i="12"/>
  <c r="N174" i="12"/>
  <c r="N29" i="12"/>
  <c r="N324" i="12"/>
  <c r="N175" i="12"/>
  <c r="N359" i="12"/>
  <c r="N30" i="12"/>
  <c r="N325" i="12"/>
  <c r="N176" i="12"/>
  <c r="N256" i="12"/>
  <c r="N31" i="12"/>
  <c r="N32" i="12"/>
  <c r="N360" i="12"/>
  <c r="N257" i="12"/>
  <c r="N361" i="12"/>
  <c r="N177" i="12"/>
  <c r="N362" i="12"/>
  <c r="N326" i="12"/>
  <c r="N258" i="12"/>
  <c r="N259" i="12"/>
  <c r="N89" i="12"/>
  <c r="N260" i="12"/>
  <c r="N261" i="12"/>
  <c r="N262" i="12"/>
  <c r="N178" i="12"/>
  <c r="N90" i="12"/>
  <c r="N263" i="12"/>
  <c r="N264" i="12"/>
  <c r="N179" i="12"/>
  <c r="N363" i="12"/>
  <c r="N91" i="12"/>
  <c r="N265" i="12"/>
  <c r="N180" i="12"/>
  <c r="N266" i="12"/>
  <c r="N92" i="12"/>
  <c r="N33" i="12"/>
  <c r="N93" i="12"/>
  <c r="N267" i="12"/>
  <c r="N268" i="12"/>
  <c r="N94" i="12"/>
  <c r="N364" i="12"/>
  <c r="N95" i="12"/>
  <c r="N181" i="12"/>
  <c r="N34" i="12"/>
  <c r="N96" i="12"/>
  <c r="N269" i="12"/>
  <c r="N327" i="12"/>
  <c r="N97" i="12"/>
  <c r="N270" i="12"/>
  <c r="N98" i="12"/>
  <c r="N365" i="12"/>
  <c r="N99" i="12"/>
  <c r="N100" i="12"/>
  <c r="N101" i="12"/>
  <c r="N366" i="12"/>
  <c r="N271" i="12"/>
  <c r="N367" i="12"/>
  <c r="N182" i="12"/>
  <c r="N35" i="12"/>
  <c r="N102" i="12"/>
  <c r="N183" i="12"/>
  <c r="N368" i="12"/>
  <c r="N36" i="12"/>
  <c r="N37" i="12"/>
  <c r="N272" i="12"/>
  <c r="N38" i="12"/>
  <c r="N103" i="12"/>
  <c r="N104" i="12"/>
  <c r="N328" i="12"/>
  <c r="N184" i="12"/>
  <c r="N39" i="12"/>
  <c r="N329" i="12"/>
  <c r="N273" i="12"/>
  <c r="N40" i="12"/>
  <c r="N369" i="12"/>
  <c r="N185" i="12"/>
  <c r="N330" i="12"/>
  <c r="N105" i="12"/>
  <c r="N274" i="12"/>
  <c r="N41" i="12"/>
  <c r="N106" i="12"/>
  <c r="N275" i="12"/>
  <c r="N42" i="12"/>
  <c r="N107" i="12"/>
  <c r="N331" i="12"/>
  <c r="N108" i="12"/>
  <c r="N186" i="12"/>
  <c r="N276" i="12"/>
  <c r="N187" i="12"/>
  <c r="N43" i="12"/>
  <c r="N109" i="12"/>
  <c r="N110" i="12"/>
  <c r="N277" i="12"/>
  <c r="N332" i="12"/>
  <c r="N278" i="12"/>
  <c r="N111" i="12"/>
  <c r="N112" i="12"/>
  <c r="N188" i="12"/>
  <c r="N113" i="12"/>
  <c r="N279" i="12"/>
  <c r="N44" i="12"/>
  <c r="N280" i="12"/>
  <c r="N281" i="12"/>
  <c r="N189" i="12"/>
  <c r="N282" i="12"/>
  <c r="N370" i="12"/>
  <c r="N190" i="12"/>
  <c r="N114" i="12"/>
  <c r="N115" i="12"/>
  <c r="N283" i="12"/>
  <c r="N45" i="12"/>
  <c r="N191" i="12"/>
  <c r="N371" i="12"/>
  <c r="N192" i="12"/>
  <c r="N116" i="12"/>
  <c r="N117" i="12"/>
  <c r="N284" i="12"/>
  <c r="N118" i="12"/>
  <c r="N46" i="12"/>
  <c r="N193" i="12"/>
  <c r="N333" i="12"/>
  <c r="N119" i="12"/>
  <c r="N372" i="12"/>
  <c r="N334" i="12"/>
  <c r="N285" i="12"/>
  <c r="N47" i="12"/>
  <c r="N335" i="12"/>
  <c r="N48" i="12"/>
  <c r="N194" i="12"/>
  <c r="N286" i="12"/>
  <c r="N287" i="12"/>
  <c r="N120" i="12"/>
  <c r="N288" i="12"/>
  <c r="N195" i="12"/>
  <c r="N121" i="12"/>
  <c r="N196" i="12"/>
  <c r="N289" i="12"/>
  <c r="N122" i="12"/>
  <c r="N49" i="12"/>
  <c r="N197" i="12"/>
  <c r="N336" i="12"/>
  <c r="N290" i="12"/>
  <c r="N123" i="12"/>
  <c r="N198" i="12"/>
  <c r="N124" i="12"/>
  <c r="N337" i="12"/>
  <c r="N373" i="12"/>
  <c r="N125" i="12"/>
  <c r="N374" i="12"/>
  <c r="N291" i="12"/>
  <c r="N292" i="12"/>
  <c r="N126" i="12"/>
  <c r="N293" i="12"/>
  <c r="N375" i="12"/>
  <c r="N127" i="12"/>
  <c r="N128" i="12"/>
  <c r="N199" i="12"/>
  <c r="N50" i="12"/>
  <c r="N129" i="12"/>
  <c r="N338" i="12"/>
  <c r="N200" i="12"/>
  <c r="N130" i="12"/>
  <c r="N51" i="12"/>
  <c r="N52" i="12"/>
  <c r="N201" i="12"/>
  <c r="N53" i="12"/>
  <c r="N54" i="12"/>
  <c r="N131" i="12"/>
  <c r="N202" i="12"/>
  <c r="N294" i="12"/>
  <c r="N376" i="12"/>
  <c r="N339" i="12"/>
  <c r="N340" i="12"/>
  <c r="N132" i="12"/>
  <c r="N341" i="12"/>
  <c r="N377" i="12"/>
  <c r="N203" i="12"/>
  <c r="N204" i="12"/>
  <c r="N378" i="12"/>
  <c r="N379" i="12"/>
  <c r="N133" i="12"/>
  <c r="N205" i="12"/>
  <c r="N295" i="12"/>
  <c r="N342" i="12"/>
  <c r="N206" i="12"/>
  <c r="N134" i="12"/>
  <c r="N207" i="12"/>
  <c r="N135" i="12"/>
  <c r="N55" i="12"/>
  <c r="N208" i="12"/>
  <c r="N136" i="12"/>
  <c r="N56" i="12"/>
  <c r="N209" i="12"/>
  <c r="N380" i="12"/>
  <c r="N137" i="12"/>
  <c r="N343" i="12"/>
  <c r="N57" i="12"/>
  <c r="N58" i="12"/>
  <c r="N210" i="12"/>
  <c r="N381" i="12"/>
  <c r="N344" i="12"/>
  <c r="N211" i="12"/>
  <c r="N212" i="12"/>
  <c r="N296" i="12"/>
  <c r="N297" i="12"/>
  <c r="N138" i="12"/>
  <c r="N382" i="12"/>
  <c r="N298" i="12"/>
  <c r="N59" i="12"/>
  <c r="N345" i="12"/>
  <c r="N213" i="12"/>
  <c r="N139" i="12"/>
  <c r="N214" i="12"/>
  <c r="N215" i="12"/>
  <c r="N383" i="12"/>
  <c r="N140" i="12"/>
  <c r="N299" i="12"/>
  <c r="N60" i="12"/>
  <c r="N216" i="12"/>
  <c r="N141" i="12"/>
  <c r="N217" i="12"/>
  <c r="N218" i="12"/>
  <c r="N300" i="12"/>
  <c r="N142" i="12"/>
  <c r="N301" i="12"/>
  <c r="N219" i="12"/>
  <c r="N61" i="12"/>
  <c r="N384" i="12"/>
  <c r="N385" i="12"/>
  <c r="N386" i="12"/>
  <c r="N143" i="12"/>
  <c r="N346" i="12"/>
  <c r="N62" i="12"/>
  <c r="N144" i="12"/>
  <c r="N302" i="12"/>
  <c r="N63" i="12"/>
  <c r="N64" i="12"/>
  <c r="N65" i="12"/>
  <c r="N145" i="12"/>
  <c r="N220" i="12"/>
  <c r="N387" i="12"/>
  <c r="N388" i="12"/>
  <c r="N66" i="12"/>
  <c r="N146" i="12"/>
  <c r="N303" i="12"/>
  <c r="N389" i="12"/>
  <c r="N221" i="12"/>
  <c r="N222" i="12"/>
  <c r="N67" i="12"/>
  <c r="N223" i="12"/>
  <c r="N224" i="12"/>
  <c r="N347" i="12"/>
  <c r="N147" i="12"/>
  <c r="N225" i="12"/>
  <c r="N68" i="12"/>
  <c r="N390" i="12"/>
  <c r="N391" i="12"/>
  <c r="N304" i="12"/>
  <c r="N69" i="12"/>
  <c r="N392" i="12"/>
  <c r="N70" i="12"/>
  <c r="N395" i="12" l="1"/>
  <c r="J394" i="11" l="1"/>
  <c r="K394" i="11"/>
  <c r="L394" i="11"/>
  <c r="M394" i="11"/>
  <c r="N394" i="11"/>
  <c r="O394" i="11"/>
  <c r="P394" i="11"/>
  <c r="Q394" i="11"/>
  <c r="R394" i="11"/>
  <c r="S394" i="11"/>
  <c r="T394" i="11"/>
  <c r="U394" i="11"/>
  <c r="V394" i="11"/>
  <c r="W394" i="11"/>
  <c r="X394" i="11"/>
  <c r="Y394" i="11"/>
  <c r="Z394" i="11"/>
  <c r="AA394" i="11"/>
  <c r="AB394" i="11"/>
  <c r="AC394" i="11"/>
  <c r="AD394" i="11"/>
  <c r="J395" i="11"/>
  <c r="K395" i="11"/>
  <c r="L395" i="11"/>
  <c r="M395" i="11"/>
  <c r="N395" i="11"/>
  <c r="O395" i="11"/>
  <c r="P395" i="11"/>
  <c r="Q395" i="11"/>
  <c r="R395" i="11"/>
  <c r="S395" i="11"/>
  <c r="T395" i="11"/>
  <c r="U395" i="11"/>
  <c r="V395" i="11"/>
  <c r="W395" i="11"/>
  <c r="X395" i="11"/>
  <c r="Y395" i="11"/>
  <c r="Z395" i="11"/>
  <c r="AA395" i="11"/>
  <c r="AB395" i="11"/>
  <c r="AC395" i="11"/>
  <c r="AD395" i="11"/>
  <c r="G395" i="11"/>
  <c r="G394" i="11"/>
  <c r="C394" i="11"/>
  <c r="E395" i="8"/>
  <c r="D395" i="8"/>
  <c r="D394" i="8"/>
  <c r="E394" i="8"/>
  <c r="C393" i="8"/>
  <c r="G397" i="6"/>
  <c r="H397" i="6"/>
  <c r="I397" i="6"/>
  <c r="J397" i="6"/>
  <c r="K397" i="6"/>
  <c r="L397" i="6"/>
  <c r="M397" i="6"/>
  <c r="N397" i="6"/>
  <c r="O397" i="6"/>
  <c r="P397" i="6"/>
  <c r="Q397" i="6"/>
  <c r="R397" i="6"/>
  <c r="S397" i="6"/>
  <c r="T397" i="6"/>
  <c r="U397" i="6"/>
  <c r="V397" i="6"/>
  <c r="W397" i="6"/>
  <c r="X397" i="6"/>
  <c r="Y397" i="6"/>
  <c r="Z397" i="6"/>
  <c r="AA397" i="6"/>
  <c r="AB397" i="6"/>
  <c r="AC397" i="6"/>
  <c r="AD397" i="6"/>
  <c r="AE397" i="6"/>
  <c r="AF397" i="6"/>
  <c r="AG397" i="6"/>
  <c r="AH397" i="6"/>
  <c r="AI397" i="6"/>
  <c r="AJ397" i="6"/>
  <c r="AK397" i="6"/>
  <c r="AL397" i="6"/>
  <c r="AM397" i="6"/>
  <c r="AR397" i="6"/>
  <c r="AS397" i="6"/>
  <c r="AT397" i="6"/>
  <c r="F397" i="6"/>
  <c r="AR396" i="6"/>
  <c r="G396" i="6"/>
  <c r="H396" i="6"/>
  <c r="I396" i="6"/>
  <c r="J396" i="6"/>
  <c r="K396" i="6"/>
  <c r="L396" i="6"/>
  <c r="M396" i="6"/>
  <c r="N396" i="6"/>
  <c r="O396" i="6"/>
  <c r="P396" i="6"/>
  <c r="Q396" i="6"/>
  <c r="R396" i="6"/>
  <c r="S396" i="6"/>
  <c r="T396" i="6"/>
  <c r="U396" i="6"/>
  <c r="V396" i="6"/>
  <c r="W396" i="6"/>
  <c r="X396" i="6"/>
  <c r="Y396" i="6"/>
  <c r="Z396" i="6"/>
  <c r="AA396" i="6"/>
  <c r="AB396" i="6"/>
  <c r="AC396" i="6"/>
  <c r="AD396" i="6"/>
  <c r="AE396" i="6"/>
  <c r="AF396" i="6"/>
  <c r="AG396" i="6"/>
  <c r="AH396" i="6"/>
  <c r="AI396" i="6"/>
  <c r="AJ396" i="6"/>
  <c r="AK396" i="6"/>
  <c r="AL396" i="6"/>
  <c r="AM396" i="6"/>
  <c r="AS396" i="6"/>
  <c r="AT396" i="6"/>
  <c r="F396" i="6"/>
  <c r="C393" i="6"/>
  <c r="C393" i="5"/>
  <c r="AN132" i="6"/>
  <c r="AO132" i="6"/>
  <c r="AN226" i="6"/>
  <c r="AO226" i="6"/>
  <c r="AQ226" i="6" s="1"/>
  <c r="AN149" i="6"/>
  <c r="AO149" i="6"/>
  <c r="AN150" i="6"/>
  <c r="AO150" i="6"/>
  <c r="AN216" i="6"/>
  <c r="AO216" i="6"/>
  <c r="AN151" i="6"/>
  <c r="AO151" i="6"/>
  <c r="AN4" i="6"/>
  <c r="AO4" i="6"/>
  <c r="AN271" i="6"/>
  <c r="AO271" i="6"/>
  <c r="AN336" i="6"/>
  <c r="AO336" i="6"/>
  <c r="AN333" i="6"/>
  <c r="AO333" i="6"/>
  <c r="AN223" i="6"/>
  <c r="AO223" i="6"/>
  <c r="AN70" i="6"/>
  <c r="AO70" i="6"/>
  <c r="AN332" i="6"/>
  <c r="AO332" i="6"/>
  <c r="AQ332" i="6" s="1"/>
  <c r="AN225" i="6"/>
  <c r="AO225" i="6"/>
  <c r="AN390" i="6"/>
  <c r="AO390" i="6"/>
  <c r="AN130" i="6"/>
  <c r="AO130" i="6"/>
  <c r="AN5" i="6"/>
  <c r="AO5" i="6"/>
  <c r="AQ5" i="6" s="1"/>
  <c r="AN71" i="6"/>
  <c r="AO71" i="6"/>
  <c r="AQ71" i="6" s="1"/>
  <c r="AN303" i="6"/>
  <c r="AO303" i="6"/>
  <c r="AN190" i="6"/>
  <c r="AO190" i="6"/>
  <c r="AN227" i="6"/>
  <c r="AO227" i="6"/>
  <c r="AN134" i="6"/>
  <c r="AO134" i="6"/>
  <c r="AN346" i="6"/>
  <c r="AO346" i="6"/>
  <c r="AN72" i="6"/>
  <c r="AO72" i="6"/>
  <c r="AN152" i="6"/>
  <c r="AO152" i="6"/>
  <c r="AN377" i="6"/>
  <c r="AO377" i="6"/>
  <c r="AQ377" i="6" s="1"/>
  <c r="AN55" i="6"/>
  <c r="AO55" i="6"/>
  <c r="AN68" i="6"/>
  <c r="AO68" i="6"/>
  <c r="AN337" i="6"/>
  <c r="AO337" i="6"/>
  <c r="AN6" i="6"/>
  <c r="AO6" i="6"/>
  <c r="AQ6" i="6" s="1"/>
  <c r="AN250" i="6"/>
  <c r="AO250" i="6"/>
  <c r="AN57" i="6"/>
  <c r="AO57" i="6"/>
  <c r="AN60" i="6"/>
  <c r="AO60" i="6"/>
  <c r="AQ60" i="6" s="1"/>
  <c r="AN228" i="6"/>
  <c r="AO228" i="6"/>
  <c r="AN207" i="6"/>
  <c r="AO207" i="6"/>
  <c r="AN73" i="6"/>
  <c r="AO73" i="6"/>
  <c r="AQ73" i="6" s="1"/>
  <c r="AN65" i="6"/>
  <c r="AO65" i="6"/>
  <c r="AN229" i="6"/>
  <c r="AO229" i="6"/>
  <c r="AQ229" i="6" s="1"/>
  <c r="AN201" i="6"/>
  <c r="AO201" i="6"/>
  <c r="AN305" i="6"/>
  <c r="AO305" i="6"/>
  <c r="AN153" i="6"/>
  <c r="AO153" i="6"/>
  <c r="AQ153" i="6" s="1"/>
  <c r="AN347" i="6"/>
  <c r="AO347" i="6"/>
  <c r="AN289" i="6"/>
  <c r="AO289" i="6"/>
  <c r="AN230" i="6"/>
  <c r="AO230" i="6"/>
  <c r="AN74" i="6"/>
  <c r="AO74" i="6"/>
  <c r="AN293" i="6"/>
  <c r="AO293" i="6"/>
  <c r="AN340" i="6"/>
  <c r="AO340" i="6"/>
  <c r="AQ340" i="6" s="1"/>
  <c r="AN75" i="6"/>
  <c r="AO75" i="6"/>
  <c r="AN209" i="6"/>
  <c r="AO209" i="6"/>
  <c r="AN191" i="6"/>
  <c r="AO191" i="6"/>
  <c r="AQ191" i="6" s="1"/>
  <c r="AN58" i="6"/>
  <c r="AO58" i="6"/>
  <c r="AQ58" i="6" s="1"/>
  <c r="AN327" i="6"/>
  <c r="AO327" i="6"/>
  <c r="AN154" i="6"/>
  <c r="AO154" i="6"/>
  <c r="AN76" i="6"/>
  <c r="AO76" i="6"/>
  <c r="AN348" i="6"/>
  <c r="AO348" i="6"/>
  <c r="AN365" i="6"/>
  <c r="AO365" i="6"/>
  <c r="AN200" i="6"/>
  <c r="AO200" i="6"/>
  <c r="AN7" i="6"/>
  <c r="AO7" i="6"/>
  <c r="AN155" i="6"/>
  <c r="AO155" i="6"/>
  <c r="AN326" i="6"/>
  <c r="AO326" i="6"/>
  <c r="AN224" i="6"/>
  <c r="AO224" i="6"/>
  <c r="AN156" i="6"/>
  <c r="AO156" i="6"/>
  <c r="AN8" i="6"/>
  <c r="AO8" i="6"/>
  <c r="AN231" i="6"/>
  <c r="AO231" i="6"/>
  <c r="AN217" i="6"/>
  <c r="AO217" i="6"/>
  <c r="AN280" i="6"/>
  <c r="AO280" i="6"/>
  <c r="AN61" i="6"/>
  <c r="AO61" i="6"/>
  <c r="AN255" i="6"/>
  <c r="AO255" i="6"/>
  <c r="AN298" i="6"/>
  <c r="AO298" i="6"/>
  <c r="AQ298" i="6" s="1"/>
  <c r="AN330" i="6"/>
  <c r="AO330" i="6"/>
  <c r="AN359" i="6"/>
  <c r="AO359" i="6"/>
  <c r="AQ359" i="6" s="1"/>
  <c r="AN339" i="6"/>
  <c r="AO339" i="6"/>
  <c r="AN66" i="6"/>
  <c r="AO66" i="6"/>
  <c r="AN375" i="6"/>
  <c r="AO375" i="6"/>
  <c r="AQ375" i="6" s="1"/>
  <c r="AN138" i="6"/>
  <c r="AO138" i="6"/>
  <c r="AN232" i="6"/>
  <c r="AO232" i="6"/>
  <c r="AN9" i="6"/>
  <c r="AO9" i="6"/>
  <c r="AN10" i="6"/>
  <c r="AO10" i="6"/>
  <c r="AN306" i="6"/>
  <c r="AO306" i="6"/>
  <c r="AN325" i="6"/>
  <c r="AO325" i="6"/>
  <c r="AN256" i="6"/>
  <c r="AO256" i="6"/>
  <c r="AN77" i="6"/>
  <c r="AO77" i="6"/>
  <c r="AN157" i="6"/>
  <c r="AO157" i="6"/>
  <c r="AN233" i="6"/>
  <c r="AO233" i="6"/>
  <c r="AN344" i="6"/>
  <c r="AO344" i="6"/>
  <c r="AN11" i="6"/>
  <c r="AO11" i="6"/>
  <c r="AQ11" i="6" s="1"/>
  <c r="AN69" i="6"/>
  <c r="AO69" i="6"/>
  <c r="AN56" i="6"/>
  <c r="AO56" i="6"/>
  <c r="AN12" i="6"/>
  <c r="AO12" i="6"/>
  <c r="AN13" i="6"/>
  <c r="AO13" i="6"/>
  <c r="AN392" i="6"/>
  <c r="AO392" i="6"/>
  <c r="AQ392" i="6" s="1"/>
  <c r="AN356" i="6"/>
  <c r="AO356" i="6"/>
  <c r="AN78" i="6"/>
  <c r="AO78" i="6"/>
  <c r="AQ78" i="6" s="1"/>
  <c r="AN307" i="6"/>
  <c r="AO307" i="6"/>
  <c r="AN158" i="6"/>
  <c r="AO158" i="6"/>
  <c r="AN388" i="6"/>
  <c r="AO388" i="6"/>
  <c r="AN290" i="6"/>
  <c r="AO290" i="6"/>
  <c r="AN269" i="6"/>
  <c r="AO269" i="6"/>
  <c r="AN345" i="6"/>
  <c r="AO345" i="6"/>
  <c r="AN79" i="6"/>
  <c r="AO79" i="6"/>
  <c r="AN214" i="6"/>
  <c r="AO214" i="6"/>
  <c r="AN282" i="6"/>
  <c r="AO282" i="6"/>
  <c r="AN80" i="6"/>
  <c r="AO80" i="6"/>
  <c r="AN81" i="6"/>
  <c r="AO81" i="6"/>
  <c r="AN335" i="6"/>
  <c r="AO335" i="6"/>
  <c r="AN328" i="6"/>
  <c r="AO328" i="6"/>
  <c r="AN279" i="6"/>
  <c r="AO279" i="6"/>
  <c r="AN159" i="6"/>
  <c r="AO159" i="6"/>
  <c r="AN160" i="6"/>
  <c r="AO160" i="6"/>
  <c r="AN140" i="6"/>
  <c r="AO140" i="6"/>
  <c r="AQ140" i="6" s="1"/>
  <c r="AN14" i="6"/>
  <c r="AO14" i="6"/>
  <c r="AN67" i="6"/>
  <c r="AO67" i="6"/>
  <c r="AN266" i="6"/>
  <c r="AO266" i="6"/>
  <c r="AN161" i="6"/>
  <c r="AO161" i="6"/>
  <c r="AN15" i="6"/>
  <c r="AO15" i="6"/>
  <c r="AN372" i="6"/>
  <c r="AO372" i="6"/>
  <c r="AN300" i="6"/>
  <c r="AO300" i="6"/>
  <c r="AN285" i="6"/>
  <c r="AO285" i="6"/>
  <c r="AQ285" i="6" s="1"/>
  <c r="AN16" i="6"/>
  <c r="AO16" i="6"/>
  <c r="AN251" i="6"/>
  <c r="AO251" i="6"/>
  <c r="AQ251" i="6" s="1"/>
  <c r="AN234" i="6"/>
  <c r="AO234" i="6"/>
  <c r="AQ234" i="6" s="1"/>
  <c r="AN373" i="6"/>
  <c r="AO373" i="6"/>
  <c r="AN82" i="6"/>
  <c r="AO82" i="6"/>
  <c r="AN261" i="6"/>
  <c r="AO261" i="6"/>
  <c r="AN162" i="6"/>
  <c r="AO162" i="6"/>
  <c r="AN17" i="6"/>
  <c r="AO17" i="6"/>
  <c r="AQ17" i="6" s="1"/>
  <c r="AN292" i="6"/>
  <c r="AO292" i="6"/>
  <c r="AN124" i="6"/>
  <c r="AO124" i="6"/>
  <c r="AN297" i="6"/>
  <c r="AO297" i="6"/>
  <c r="AN235" i="6"/>
  <c r="AO235" i="6"/>
  <c r="AN163" i="6"/>
  <c r="AO163" i="6"/>
  <c r="AQ163" i="6" s="1"/>
  <c r="AN18" i="6"/>
  <c r="AO18" i="6"/>
  <c r="AN331" i="6"/>
  <c r="AO331" i="6"/>
  <c r="AN210" i="6"/>
  <c r="AO210" i="6"/>
  <c r="AN361" i="6"/>
  <c r="AO361" i="6"/>
  <c r="AN19" i="6"/>
  <c r="AO19" i="6"/>
  <c r="AN308" i="6"/>
  <c r="AO308" i="6"/>
  <c r="AN164" i="6"/>
  <c r="AO164" i="6"/>
  <c r="AN278" i="6"/>
  <c r="AO278" i="6"/>
  <c r="AN20" i="6"/>
  <c r="AO20" i="6"/>
  <c r="AN21" i="6"/>
  <c r="AO21" i="6"/>
  <c r="AN349" i="6"/>
  <c r="AO349" i="6"/>
  <c r="AQ349" i="6" s="1"/>
  <c r="AN295" i="6"/>
  <c r="AO295" i="6"/>
  <c r="AQ295" i="6" s="1"/>
  <c r="AN367" i="6"/>
  <c r="AO367" i="6"/>
  <c r="AN194" i="6"/>
  <c r="AO194" i="6"/>
  <c r="AQ194" i="6" s="1"/>
  <c r="AN357" i="6"/>
  <c r="AO357" i="6"/>
  <c r="AN329" i="6"/>
  <c r="AO329" i="6"/>
  <c r="AN236" i="6"/>
  <c r="AO236" i="6"/>
  <c r="AQ236" i="6" s="1"/>
  <c r="AN237" i="6"/>
  <c r="AO237" i="6"/>
  <c r="AN83" i="6"/>
  <c r="AO83" i="6"/>
  <c r="AN259" i="6"/>
  <c r="AO259" i="6"/>
  <c r="AN238" i="6"/>
  <c r="AO238" i="6"/>
  <c r="AN287" i="6"/>
  <c r="AO287" i="6"/>
  <c r="AN165" i="6"/>
  <c r="AO165" i="6"/>
  <c r="AN84" i="6"/>
  <c r="AO84" i="6"/>
  <c r="AN252" i="6"/>
  <c r="AO252" i="6"/>
  <c r="AN281" i="6"/>
  <c r="AO281" i="6"/>
  <c r="AN204" i="6"/>
  <c r="AO204" i="6"/>
  <c r="AN362" i="6"/>
  <c r="AO362" i="6"/>
  <c r="AN85" i="6"/>
  <c r="AO85" i="6"/>
  <c r="AN264" i="6"/>
  <c r="AO264" i="6"/>
  <c r="AN218" i="6"/>
  <c r="AO218" i="6"/>
  <c r="AN239" i="6"/>
  <c r="AO239" i="6"/>
  <c r="AN86" i="6"/>
  <c r="AO86" i="6"/>
  <c r="AN22" i="6"/>
  <c r="AO22" i="6"/>
  <c r="AN87" i="6"/>
  <c r="AO87" i="6"/>
  <c r="AN276" i="6"/>
  <c r="AO276" i="6"/>
  <c r="AN267" i="6"/>
  <c r="AO267" i="6"/>
  <c r="AN88" i="6"/>
  <c r="AO88" i="6"/>
  <c r="AN370" i="6"/>
  <c r="AO370" i="6"/>
  <c r="AQ370" i="6" s="1"/>
  <c r="AN89" i="6"/>
  <c r="AO89" i="6"/>
  <c r="AN192" i="6"/>
  <c r="AO192" i="6"/>
  <c r="AN23" i="6"/>
  <c r="AO23" i="6"/>
  <c r="AN139" i="6"/>
  <c r="AO139" i="6"/>
  <c r="AN286" i="6"/>
  <c r="AO286" i="6"/>
  <c r="AQ286" i="6" s="1"/>
  <c r="AN318" i="6"/>
  <c r="AO318" i="6"/>
  <c r="AN129" i="6"/>
  <c r="AO129" i="6"/>
  <c r="AN265" i="6"/>
  <c r="AO265" i="6"/>
  <c r="AN142" i="6"/>
  <c r="AO142" i="6"/>
  <c r="AN378" i="6"/>
  <c r="AO378" i="6"/>
  <c r="AN90" i="6"/>
  <c r="AO90" i="6"/>
  <c r="AN91" i="6"/>
  <c r="AO91" i="6"/>
  <c r="AN126" i="6"/>
  <c r="AO126" i="6"/>
  <c r="AN382" i="6"/>
  <c r="AO382" i="6"/>
  <c r="AN240" i="6"/>
  <c r="AO240" i="6"/>
  <c r="AN350" i="6"/>
  <c r="AO350" i="6"/>
  <c r="AQ350" i="6" s="1"/>
  <c r="AN166" i="6"/>
  <c r="AO166" i="6"/>
  <c r="AN24" i="6"/>
  <c r="AO24" i="6"/>
  <c r="AN92" i="6"/>
  <c r="AO92" i="6"/>
  <c r="AN167" i="6"/>
  <c r="AO167" i="6"/>
  <c r="AN380" i="6"/>
  <c r="AO380" i="6"/>
  <c r="AN25" i="6"/>
  <c r="AO25" i="6"/>
  <c r="AN26" i="6"/>
  <c r="AO26" i="6"/>
  <c r="AN258" i="6"/>
  <c r="AO258" i="6"/>
  <c r="AN62" i="6"/>
  <c r="AO62" i="6"/>
  <c r="AN145" i="6"/>
  <c r="AO145" i="6"/>
  <c r="AN93" i="6"/>
  <c r="AO93" i="6"/>
  <c r="AN309" i="6"/>
  <c r="AO309" i="6"/>
  <c r="AN193" i="6"/>
  <c r="AO193" i="6"/>
  <c r="AN27" i="6"/>
  <c r="AO27" i="6"/>
  <c r="AQ27" i="6" s="1"/>
  <c r="AN319" i="6"/>
  <c r="AO319" i="6"/>
  <c r="AN270" i="6"/>
  <c r="AO270" i="6"/>
  <c r="AN51" i="6"/>
  <c r="AO51" i="6"/>
  <c r="AN368" i="6"/>
  <c r="AO368" i="6"/>
  <c r="AN168" i="6"/>
  <c r="AO168" i="6"/>
  <c r="AN334" i="6"/>
  <c r="AO334" i="6"/>
  <c r="AN94" i="6"/>
  <c r="AO94" i="6"/>
  <c r="AN296" i="6"/>
  <c r="AO296" i="6"/>
  <c r="AN28" i="6"/>
  <c r="AO28" i="6"/>
  <c r="AN95" i="6"/>
  <c r="AO95" i="6"/>
  <c r="AN283" i="6"/>
  <c r="AO283" i="6"/>
  <c r="AN29" i="6"/>
  <c r="AO29" i="6"/>
  <c r="AN143" i="6"/>
  <c r="AO143" i="6"/>
  <c r="AN310" i="6"/>
  <c r="AO310" i="6"/>
  <c r="AN96" i="6"/>
  <c r="AO96" i="6"/>
  <c r="AN222" i="6"/>
  <c r="AO222" i="6"/>
  <c r="AN301" i="6"/>
  <c r="AO301" i="6"/>
  <c r="AQ301" i="6" s="1"/>
  <c r="AN169" i="6"/>
  <c r="AO169" i="6"/>
  <c r="AQ169" i="6" s="1"/>
  <c r="AN30" i="6"/>
  <c r="AO30" i="6"/>
  <c r="AQ30" i="6" s="1"/>
  <c r="AN97" i="6"/>
  <c r="AO97" i="6"/>
  <c r="AN98" i="6"/>
  <c r="AO98" i="6"/>
  <c r="AN273" i="6"/>
  <c r="AO273" i="6"/>
  <c r="AN311" i="6"/>
  <c r="AO311" i="6"/>
  <c r="AN241" i="6"/>
  <c r="AO241" i="6"/>
  <c r="AN99" i="6"/>
  <c r="AO99" i="6"/>
  <c r="AN100" i="6"/>
  <c r="AO100" i="6"/>
  <c r="AN170" i="6"/>
  <c r="AO170" i="6"/>
  <c r="AN101" i="6"/>
  <c r="AO101" i="6"/>
  <c r="AN242" i="6"/>
  <c r="AO242" i="6"/>
  <c r="AN63" i="6"/>
  <c r="AO63" i="6"/>
  <c r="AN263" i="6"/>
  <c r="AO263" i="6"/>
  <c r="AN260" i="6"/>
  <c r="AO260" i="6"/>
  <c r="AQ260" i="6" s="1"/>
  <c r="AN205" i="6"/>
  <c r="AO205" i="6"/>
  <c r="AN243" i="6"/>
  <c r="AO243" i="6"/>
  <c r="AN387" i="6"/>
  <c r="AO387" i="6"/>
  <c r="AN171" i="6"/>
  <c r="AO171" i="6"/>
  <c r="AN102" i="6"/>
  <c r="AO102" i="6"/>
  <c r="AN125" i="6"/>
  <c r="AO125" i="6"/>
  <c r="AN268" i="6"/>
  <c r="AO268" i="6"/>
  <c r="AN31" i="6"/>
  <c r="AO31" i="6"/>
  <c r="AN188" i="6"/>
  <c r="AO188" i="6"/>
  <c r="AN374" i="6"/>
  <c r="AO374" i="6"/>
  <c r="AN172" i="6"/>
  <c r="AO172" i="6"/>
  <c r="AQ172" i="6" s="1"/>
  <c r="AN141" i="6"/>
  <c r="AO141" i="6"/>
  <c r="AN147" i="6"/>
  <c r="AO147" i="6"/>
  <c r="AN302" i="6"/>
  <c r="AO302" i="6"/>
  <c r="AN103" i="6"/>
  <c r="AO103" i="6"/>
  <c r="AN52" i="6"/>
  <c r="AO52" i="6"/>
  <c r="AN221" i="6"/>
  <c r="AO221" i="6"/>
  <c r="AN322" i="6"/>
  <c r="AO322" i="6"/>
  <c r="AN135" i="6"/>
  <c r="AO135" i="6"/>
  <c r="AN383" i="6"/>
  <c r="AO383" i="6"/>
  <c r="AN341" i="6"/>
  <c r="AO341" i="6"/>
  <c r="AN257" i="6"/>
  <c r="AO257" i="6"/>
  <c r="AN32" i="6"/>
  <c r="AO32" i="6"/>
  <c r="AN323" i="6"/>
  <c r="AO323" i="6"/>
  <c r="AQ323" i="6" s="1"/>
  <c r="AN33" i="6"/>
  <c r="AO33" i="6"/>
  <c r="AQ33" i="6" s="1"/>
  <c r="AN173" i="6"/>
  <c r="AO173" i="6"/>
  <c r="AN244" i="6"/>
  <c r="AO244" i="6"/>
  <c r="AN284" i="6"/>
  <c r="AO284" i="6"/>
  <c r="AN104" i="6"/>
  <c r="AO104" i="6"/>
  <c r="AN288" i="6"/>
  <c r="AO288" i="6"/>
  <c r="AN208" i="6"/>
  <c r="AO208" i="6"/>
  <c r="AN105" i="6"/>
  <c r="AO105" i="6"/>
  <c r="AN174" i="6"/>
  <c r="AO174" i="6"/>
  <c r="AN291" i="6"/>
  <c r="AO291" i="6"/>
  <c r="AN106" i="6"/>
  <c r="AO106" i="6"/>
  <c r="AN34" i="6"/>
  <c r="AO34" i="6"/>
  <c r="AN215" i="6"/>
  <c r="AO215" i="6"/>
  <c r="AN343" i="6"/>
  <c r="AO343" i="6"/>
  <c r="AN274" i="6"/>
  <c r="AO274" i="6"/>
  <c r="AQ274" i="6" s="1"/>
  <c r="AN107" i="6"/>
  <c r="AO107" i="6"/>
  <c r="AQ107" i="6" s="1"/>
  <c r="AN203" i="6"/>
  <c r="AO203" i="6"/>
  <c r="AN108" i="6"/>
  <c r="AO108" i="6"/>
  <c r="AN312" i="6"/>
  <c r="AO312" i="6"/>
  <c r="AN391" i="6"/>
  <c r="AO391" i="6"/>
  <c r="AN109" i="6"/>
  <c r="AO109" i="6"/>
  <c r="AN384" i="6"/>
  <c r="AO384" i="6"/>
  <c r="AN304" i="6"/>
  <c r="AO304" i="6"/>
  <c r="AQ304" i="6" s="1"/>
  <c r="AN245" i="6"/>
  <c r="AO245" i="6"/>
  <c r="AN110" i="6"/>
  <c r="AO110" i="6"/>
  <c r="AN294" i="6"/>
  <c r="AO294" i="6"/>
  <c r="AN364" i="6"/>
  <c r="AO364" i="6"/>
  <c r="AN111" i="6"/>
  <c r="AO111" i="6"/>
  <c r="AN144" i="6"/>
  <c r="AO144" i="6"/>
  <c r="AN212" i="6"/>
  <c r="AO212" i="6"/>
  <c r="AN53" i="6"/>
  <c r="AO53" i="6"/>
  <c r="AQ53" i="6" s="1"/>
  <c r="AN112" i="6"/>
  <c r="AO112" i="6"/>
  <c r="AN320" i="6"/>
  <c r="AO320" i="6"/>
  <c r="AN148" i="6"/>
  <c r="AO148" i="6"/>
  <c r="AN113" i="6"/>
  <c r="AO113" i="6"/>
  <c r="AN35" i="6"/>
  <c r="AO35" i="6"/>
  <c r="AQ35" i="6" s="1"/>
  <c r="AN36" i="6"/>
  <c r="AO36" i="6"/>
  <c r="AN219" i="6"/>
  <c r="AO219" i="6"/>
  <c r="AQ219" i="6" s="1"/>
  <c r="AN37" i="6"/>
  <c r="AO37" i="6"/>
  <c r="AN54" i="6"/>
  <c r="AO54" i="6"/>
  <c r="AN133" i="6"/>
  <c r="AO133" i="6"/>
  <c r="AN175" i="6"/>
  <c r="AO175" i="6"/>
  <c r="AN253" i="6"/>
  <c r="AO253" i="6"/>
  <c r="AN369" i="6"/>
  <c r="AO369" i="6"/>
  <c r="AN321" i="6"/>
  <c r="AO321" i="6"/>
  <c r="AN342" i="6"/>
  <c r="AO342" i="6"/>
  <c r="AN136" i="6"/>
  <c r="AO136" i="6"/>
  <c r="AN338" i="6"/>
  <c r="AO338" i="6"/>
  <c r="AN366" i="6"/>
  <c r="AO366" i="6"/>
  <c r="AN176" i="6"/>
  <c r="AO176" i="6"/>
  <c r="AN197" i="6"/>
  <c r="AO197" i="6"/>
  <c r="AN358" i="6"/>
  <c r="AO358" i="6"/>
  <c r="AN389" i="6"/>
  <c r="AO389" i="6"/>
  <c r="AN137" i="6"/>
  <c r="AO137" i="6"/>
  <c r="AN177" i="6"/>
  <c r="AO177" i="6"/>
  <c r="AQ177" i="6" s="1"/>
  <c r="AN299" i="6"/>
  <c r="AO299" i="6"/>
  <c r="AN313" i="6"/>
  <c r="AO313" i="6"/>
  <c r="AQ313" i="6" s="1"/>
  <c r="AN178" i="6"/>
  <c r="AO178" i="6"/>
  <c r="AN114" i="6"/>
  <c r="AO114" i="6"/>
  <c r="AN198" i="6"/>
  <c r="AO198" i="6"/>
  <c r="AN128" i="6"/>
  <c r="AO128" i="6"/>
  <c r="AN64" i="6"/>
  <c r="AO64" i="6"/>
  <c r="AN199" i="6"/>
  <c r="AO199" i="6"/>
  <c r="AN115" i="6"/>
  <c r="AO115" i="6"/>
  <c r="AN38" i="6"/>
  <c r="AO38" i="6"/>
  <c r="AN179" i="6"/>
  <c r="AO179" i="6"/>
  <c r="AN351" i="6"/>
  <c r="AO351" i="6"/>
  <c r="AN116" i="6"/>
  <c r="AO116" i="6"/>
  <c r="AN314" i="6"/>
  <c r="AO314" i="6"/>
  <c r="AN59" i="6"/>
  <c r="AO59" i="6"/>
  <c r="AN39" i="6"/>
  <c r="AO39" i="6"/>
  <c r="AN180" i="6"/>
  <c r="AO180" i="6"/>
  <c r="AN352" i="6"/>
  <c r="AO352" i="6"/>
  <c r="AN315" i="6"/>
  <c r="AO315" i="6"/>
  <c r="AN189" i="6"/>
  <c r="AO189" i="6"/>
  <c r="AN206" i="6"/>
  <c r="AO206" i="6"/>
  <c r="AN246" i="6"/>
  <c r="AO246" i="6"/>
  <c r="AQ246" i="6" s="1"/>
  <c r="AN275" i="6"/>
  <c r="AO275" i="6"/>
  <c r="AN127" i="6"/>
  <c r="AO127" i="6"/>
  <c r="AN379" i="6"/>
  <c r="AO379" i="6"/>
  <c r="AN247" i="6"/>
  <c r="AO247" i="6"/>
  <c r="AN40" i="6"/>
  <c r="AO40" i="6"/>
  <c r="AN316" i="6"/>
  <c r="AO316" i="6"/>
  <c r="AN181" i="6"/>
  <c r="AO181" i="6"/>
  <c r="AN117" i="6"/>
  <c r="AO117" i="6"/>
  <c r="AN182" i="6"/>
  <c r="AO182" i="6"/>
  <c r="AN183" i="6"/>
  <c r="AO183" i="6"/>
  <c r="AN355" i="6"/>
  <c r="AO355" i="6"/>
  <c r="AN118" i="6"/>
  <c r="AO118" i="6"/>
  <c r="AN254" i="6"/>
  <c r="AO254" i="6"/>
  <c r="AN41" i="6"/>
  <c r="AO41" i="6"/>
  <c r="AQ41" i="6" s="1"/>
  <c r="AN184" i="6"/>
  <c r="AO184" i="6"/>
  <c r="AN119" i="6"/>
  <c r="AO119" i="6"/>
  <c r="AN185" i="6"/>
  <c r="AO185" i="6"/>
  <c r="AN196" i="6"/>
  <c r="AO196" i="6"/>
  <c r="AN248" i="6"/>
  <c r="AO248" i="6"/>
  <c r="AN120" i="6"/>
  <c r="AO120" i="6"/>
  <c r="AN262" i="6"/>
  <c r="AO262" i="6"/>
  <c r="AN220" i="6"/>
  <c r="AO220" i="6"/>
  <c r="AN42" i="6"/>
  <c r="AO42" i="6"/>
  <c r="AN371" i="6"/>
  <c r="AO371" i="6"/>
  <c r="AN353" i="6"/>
  <c r="AO353" i="6"/>
  <c r="AN354" i="6"/>
  <c r="AO354" i="6"/>
  <c r="AN121" i="6"/>
  <c r="AO121" i="6"/>
  <c r="AN317" i="6"/>
  <c r="AO317" i="6"/>
  <c r="AN43" i="6"/>
  <c r="AO43" i="6"/>
  <c r="AN122" i="6"/>
  <c r="AO122" i="6"/>
  <c r="AN249" i="6"/>
  <c r="AO249" i="6"/>
  <c r="AN44" i="6"/>
  <c r="AO44" i="6"/>
  <c r="AN45" i="6"/>
  <c r="AO45" i="6"/>
  <c r="AN46" i="6"/>
  <c r="AO46" i="6"/>
  <c r="AN123" i="6"/>
  <c r="AO123" i="6"/>
  <c r="AN186" i="6"/>
  <c r="AO186" i="6"/>
  <c r="AN381" i="6"/>
  <c r="AO381" i="6"/>
  <c r="AN360" i="6"/>
  <c r="AO360" i="6"/>
  <c r="AN47" i="6"/>
  <c r="AO47" i="6"/>
  <c r="AN131" i="6"/>
  <c r="AO131" i="6"/>
  <c r="AN277" i="6"/>
  <c r="AO277" i="6"/>
  <c r="AQ277" i="6" s="1"/>
  <c r="AN386" i="6"/>
  <c r="AO386" i="6"/>
  <c r="AN187" i="6"/>
  <c r="AO187" i="6"/>
  <c r="AN195" i="6"/>
  <c r="AO195" i="6"/>
  <c r="AN48" i="6"/>
  <c r="AO48" i="6"/>
  <c r="AN213" i="6"/>
  <c r="AO213" i="6"/>
  <c r="AN202" i="6"/>
  <c r="AO202" i="6"/>
  <c r="AN324" i="6"/>
  <c r="AO324" i="6"/>
  <c r="AQ324" i="6" s="1"/>
  <c r="AN146" i="6"/>
  <c r="AO146" i="6"/>
  <c r="AN211" i="6"/>
  <c r="AO211" i="6"/>
  <c r="AN49" i="6"/>
  <c r="AO49" i="6"/>
  <c r="AQ49" i="6" s="1"/>
  <c r="AN363" i="6"/>
  <c r="AO363" i="6"/>
  <c r="AN376" i="6"/>
  <c r="AO376" i="6"/>
  <c r="AQ376" i="6" s="1"/>
  <c r="AN272" i="6"/>
  <c r="AO272" i="6"/>
  <c r="AN50" i="6"/>
  <c r="AO50" i="6"/>
  <c r="AN385" i="6"/>
  <c r="AO385" i="6"/>
  <c r="E395" i="5"/>
  <c r="F395" i="5"/>
  <c r="G395" i="5"/>
  <c r="H395" i="5"/>
  <c r="I395" i="5"/>
  <c r="J395" i="5"/>
  <c r="K395" i="5"/>
  <c r="L395" i="5"/>
  <c r="M395" i="5"/>
  <c r="N395" i="5"/>
  <c r="O395" i="5"/>
  <c r="V395" i="5"/>
  <c r="Y395" i="5"/>
  <c r="Z395" i="5"/>
  <c r="AA395" i="5"/>
  <c r="AC395" i="5"/>
  <c r="AF395" i="5"/>
  <c r="D395" i="5"/>
  <c r="E394" i="5"/>
  <c r="F394" i="5"/>
  <c r="G394" i="5"/>
  <c r="H394" i="5"/>
  <c r="I394" i="5"/>
  <c r="J394" i="5"/>
  <c r="K394" i="5"/>
  <c r="L394" i="5"/>
  <c r="M394" i="5"/>
  <c r="N394" i="5"/>
  <c r="O394" i="5"/>
  <c r="V394" i="5"/>
  <c r="Y394" i="5"/>
  <c r="Z394" i="5"/>
  <c r="AA394" i="5"/>
  <c r="AC394" i="5"/>
  <c r="AF394" i="5"/>
  <c r="D394" i="5"/>
  <c r="P226" i="5"/>
  <c r="Q226" i="5"/>
  <c r="R226" i="5"/>
  <c r="S226" i="5"/>
  <c r="T226" i="5"/>
  <c r="U226" i="5"/>
  <c r="P148" i="5"/>
  <c r="Q148" i="5"/>
  <c r="R148" i="5"/>
  <c r="S148" i="5"/>
  <c r="T148" i="5"/>
  <c r="U148" i="5"/>
  <c r="P149" i="5"/>
  <c r="Q149" i="5"/>
  <c r="R149" i="5"/>
  <c r="S149" i="5"/>
  <c r="T149" i="5"/>
  <c r="U149" i="5"/>
  <c r="P150" i="5"/>
  <c r="Q150" i="5"/>
  <c r="R150" i="5"/>
  <c r="S150" i="5"/>
  <c r="T150" i="5"/>
  <c r="U150" i="5"/>
  <c r="P151" i="5"/>
  <c r="Q151" i="5"/>
  <c r="R151" i="5"/>
  <c r="S151" i="5"/>
  <c r="T151" i="5"/>
  <c r="U151" i="5"/>
  <c r="P4" i="5"/>
  <c r="Q4" i="5"/>
  <c r="R4" i="5"/>
  <c r="S4" i="5"/>
  <c r="T4" i="5"/>
  <c r="U4" i="5"/>
  <c r="P227" i="5"/>
  <c r="Q227" i="5"/>
  <c r="R227" i="5"/>
  <c r="S227" i="5"/>
  <c r="T227" i="5"/>
  <c r="U227" i="5"/>
  <c r="P305" i="5"/>
  <c r="Q305" i="5"/>
  <c r="R305" i="5"/>
  <c r="S305" i="5"/>
  <c r="T305" i="5"/>
  <c r="U305" i="5"/>
  <c r="P306" i="5"/>
  <c r="Q306" i="5"/>
  <c r="R306" i="5"/>
  <c r="S306" i="5"/>
  <c r="T306" i="5"/>
  <c r="U306" i="5"/>
  <c r="P152" i="5"/>
  <c r="Q152" i="5"/>
  <c r="R152" i="5"/>
  <c r="S152" i="5"/>
  <c r="T152" i="5"/>
  <c r="U152" i="5"/>
  <c r="P71" i="5"/>
  <c r="Q71" i="5"/>
  <c r="R71" i="5"/>
  <c r="S71" i="5"/>
  <c r="T71" i="5"/>
  <c r="U71" i="5"/>
  <c r="P307" i="5"/>
  <c r="Q307" i="5"/>
  <c r="R307" i="5"/>
  <c r="S307" i="5"/>
  <c r="T307" i="5"/>
  <c r="U307" i="5"/>
  <c r="P153" i="5"/>
  <c r="Q153" i="5"/>
  <c r="R153" i="5"/>
  <c r="S153" i="5"/>
  <c r="T153" i="5"/>
  <c r="U153" i="5"/>
  <c r="P348" i="5"/>
  <c r="Q348" i="5"/>
  <c r="R348" i="5"/>
  <c r="S348" i="5"/>
  <c r="T348" i="5"/>
  <c r="U348" i="5"/>
  <c r="P72" i="5"/>
  <c r="Q72" i="5"/>
  <c r="R72" i="5"/>
  <c r="S72" i="5"/>
  <c r="T72" i="5"/>
  <c r="U72" i="5"/>
  <c r="P5" i="5"/>
  <c r="Q5" i="5"/>
  <c r="R5" i="5"/>
  <c r="S5" i="5"/>
  <c r="T5" i="5"/>
  <c r="U5" i="5"/>
  <c r="P73" i="5"/>
  <c r="Q73" i="5"/>
  <c r="R73" i="5"/>
  <c r="S73" i="5"/>
  <c r="T73" i="5"/>
  <c r="U73" i="5"/>
  <c r="P228" i="5"/>
  <c r="Q228" i="5"/>
  <c r="R228" i="5"/>
  <c r="S228" i="5"/>
  <c r="T228" i="5"/>
  <c r="U228" i="5"/>
  <c r="P154" i="5"/>
  <c r="Q154" i="5"/>
  <c r="R154" i="5"/>
  <c r="S154" i="5"/>
  <c r="T154" i="5"/>
  <c r="U154" i="5"/>
  <c r="P229" i="5"/>
  <c r="Q229" i="5"/>
  <c r="R229" i="5"/>
  <c r="S229" i="5"/>
  <c r="T229" i="5"/>
  <c r="U229" i="5"/>
  <c r="P74" i="5"/>
  <c r="Q74" i="5"/>
  <c r="R74" i="5"/>
  <c r="S74" i="5"/>
  <c r="T74" i="5"/>
  <c r="U74" i="5"/>
  <c r="P308" i="5"/>
  <c r="Q308" i="5"/>
  <c r="R308" i="5"/>
  <c r="S308" i="5"/>
  <c r="T308" i="5"/>
  <c r="U308" i="5"/>
  <c r="P75" i="5"/>
  <c r="Q75" i="5"/>
  <c r="R75" i="5"/>
  <c r="S75" i="5"/>
  <c r="T75" i="5"/>
  <c r="U75" i="5"/>
  <c r="P155" i="5"/>
  <c r="Q155" i="5"/>
  <c r="R155" i="5"/>
  <c r="S155" i="5"/>
  <c r="T155" i="5"/>
  <c r="U155" i="5"/>
  <c r="P349" i="5"/>
  <c r="Q349" i="5"/>
  <c r="R349" i="5"/>
  <c r="S349" i="5"/>
  <c r="T349" i="5"/>
  <c r="U349" i="5"/>
  <c r="P6" i="5"/>
  <c r="Q6" i="5"/>
  <c r="R6" i="5"/>
  <c r="S6" i="5"/>
  <c r="T6" i="5"/>
  <c r="U6" i="5"/>
  <c r="P7" i="5"/>
  <c r="Q7" i="5"/>
  <c r="R7" i="5"/>
  <c r="S7" i="5"/>
  <c r="T7" i="5"/>
  <c r="U7" i="5"/>
  <c r="P309" i="5"/>
  <c r="Q309" i="5"/>
  <c r="R309" i="5"/>
  <c r="S309" i="5"/>
  <c r="T309" i="5"/>
  <c r="U309" i="5"/>
  <c r="P8" i="5"/>
  <c r="Q8" i="5"/>
  <c r="R8" i="5"/>
  <c r="S8" i="5"/>
  <c r="T8" i="5"/>
  <c r="U8" i="5"/>
  <c r="P230" i="5"/>
  <c r="Q230" i="5"/>
  <c r="R230" i="5"/>
  <c r="S230" i="5"/>
  <c r="T230" i="5"/>
  <c r="U230" i="5"/>
  <c r="P9" i="5"/>
  <c r="Q9" i="5"/>
  <c r="R9" i="5"/>
  <c r="S9" i="5"/>
  <c r="T9" i="5"/>
  <c r="U9" i="5"/>
  <c r="P10" i="5"/>
  <c r="Q10" i="5"/>
  <c r="R10" i="5"/>
  <c r="S10" i="5"/>
  <c r="T10" i="5"/>
  <c r="U10" i="5"/>
  <c r="P231" i="5"/>
  <c r="Q231" i="5"/>
  <c r="R231" i="5"/>
  <c r="S231" i="5"/>
  <c r="T231" i="5"/>
  <c r="U231" i="5"/>
  <c r="P156" i="5"/>
  <c r="Q156" i="5"/>
  <c r="R156" i="5"/>
  <c r="S156" i="5"/>
  <c r="T156" i="5"/>
  <c r="U156" i="5"/>
  <c r="P76" i="5"/>
  <c r="Q76" i="5"/>
  <c r="R76" i="5"/>
  <c r="S76" i="5"/>
  <c r="T76" i="5"/>
  <c r="U76" i="5"/>
  <c r="P11" i="5"/>
  <c r="Q11" i="5"/>
  <c r="R11" i="5"/>
  <c r="S11" i="5"/>
  <c r="T11" i="5"/>
  <c r="U11" i="5"/>
  <c r="P232" i="5"/>
  <c r="Q232" i="5"/>
  <c r="R232" i="5"/>
  <c r="S232" i="5"/>
  <c r="T232" i="5"/>
  <c r="U232" i="5"/>
  <c r="P157" i="5"/>
  <c r="Q157" i="5"/>
  <c r="R157" i="5"/>
  <c r="S157" i="5"/>
  <c r="T157" i="5"/>
  <c r="U157" i="5"/>
  <c r="P310" i="5"/>
  <c r="Q310" i="5"/>
  <c r="R310" i="5"/>
  <c r="S310" i="5"/>
  <c r="T310" i="5"/>
  <c r="U310" i="5"/>
  <c r="P158" i="5"/>
  <c r="Q158" i="5"/>
  <c r="R158" i="5"/>
  <c r="S158" i="5"/>
  <c r="T158" i="5"/>
  <c r="U158" i="5"/>
  <c r="P311" i="5"/>
  <c r="Q311" i="5"/>
  <c r="R311" i="5"/>
  <c r="S311" i="5"/>
  <c r="T311" i="5"/>
  <c r="U311" i="5"/>
  <c r="P233" i="5"/>
  <c r="Q233" i="5"/>
  <c r="R233" i="5"/>
  <c r="S233" i="5"/>
  <c r="T233" i="5"/>
  <c r="U233" i="5"/>
  <c r="P234" i="5"/>
  <c r="Q234" i="5"/>
  <c r="R234" i="5"/>
  <c r="S234" i="5"/>
  <c r="T234" i="5"/>
  <c r="U234" i="5"/>
  <c r="P77" i="5"/>
  <c r="Q77" i="5"/>
  <c r="R77" i="5"/>
  <c r="S77" i="5"/>
  <c r="T77" i="5"/>
  <c r="U77" i="5"/>
  <c r="P235" i="5"/>
  <c r="Q235" i="5"/>
  <c r="R235" i="5"/>
  <c r="S235" i="5"/>
  <c r="T235" i="5"/>
  <c r="U235" i="5"/>
  <c r="P312" i="5"/>
  <c r="Q312" i="5"/>
  <c r="R312" i="5"/>
  <c r="S312" i="5"/>
  <c r="T312" i="5"/>
  <c r="U312" i="5"/>
  <c r="P78" i="5"/>
  <c r="Q78" i="5"/>
  <c r="R78" i="5"/>
  <c r="S78" i="5"/>
  <c r="T78" i="5"/>
  <c r="U78" i="5"/>
  <c r="P159" i="5"/>
  <c r="Q159" i="5"/>
  <c r="R159" i="5"/>
  <c r="S159" i="5"/>
  <c r="T159" i="5"/>
  <c r="U159" i="5"/>
  <c r="P160" i="5"/>
  <c r="Q160" i="5"/>
  <c r="R160" i="5"/>
  <c r="S160" i="5"/>
  <c r="T160" i="5"/>
  <c r="U160" i="5"/>
  <c r="P12" i="5"/>
  <c r="Q12" i="5"/>
  <c r="R12" i="5"/>
  <c r="S12" i="5"/>
  <c r="T12" i="5"/>
  <c r="U12" i="5"/>
  <c r="P313" i="5"/>
  <c r="Q313" i="5"/>
  <c r="R313" i="5"/>
  <c r="S313" i="5"/>
  <c r="T313" i="5"/>
  <c r="U313" i="5"/>
  <c r="P161" i="5"/>
  <c r="Q161" i="5"/>
  <c r="R161" i="5"/>
  <c r="S161" i="5"/>
  <c r="T161" i="5"/>
  <c r="U161" i="5"/>
  <c r="P79" i="5"/>
  <c r="Q79" i="5"/>
  <c r="R79" i="5"/>
  <c r="S79" i="5"/>
  <c r="T79" i="5"/>
  <c r="U79" i="5"/>
  <c r="P350" i="5"/>
  <c r="Q350" i="5"/>
  <c r="R350" i="5"/>
  <c r="S350" i="5"/>
  <c r="T350" i="5"/>
  <c r="U350" i="5"/>
  <c r="P351" i="5"/>
  <c r="Q351" i="5"/>
  <c r="R351" i="5"/>
  <c r="S351" i="5"/>
  <c r="T351" i="5"/>
  <c r="U351" i="5"/>
  <c r="P162" i="5"/>
  <c r="Q162" i="5"/>
  <c r="R162" i="5"/>
  <c r="S162" i="5"/>
  <c r="T162" i="5"/>
  <c r="U162" i="5"/>
  <c r="P13" i="5"/>
  <c r="Q13" i="5"/>
  <c r="R13" i="5"/>
  <c r="S13" i="5"/>
  <c r="T13" i="5"/>
  <c r="U13" i="5"/>
  <c r="P163" i="5"/>
  <c r="Q163" i="5"/>
  <c r="R163" i="5"/>
  <c r="S163" i="5"/>
  <c r="T163" i="5"/>
  <c r="U163" i="5"/>
  <c r="P314" i="5"/>
  <c r="Q314" i="5"/>
  <c r="R314" i="5"/>
  <c r="S314" i="5"/>
  <c r="T314" i="5"/>
  <c r="U314" i="5"/>
  <c r="P164" i="5"/>
  <c r="Q164" i="5"/>
  <c r="R164" i="5"/>
  <c r="S164" i="5"/>
  <c r="T164" i="5"/>
  <c r="U164" i="5"/>
  <c r="P165" i="5"/>
  <c r="Q165" i="5"/>
  <c r="R165" i="5"/>
  <c r="S165" i="5"/>
  <c r="T165" i="5"/>
  <c r="U165" i="5"/>
  <c r="P14" i="5"/>
  <c r="Q14" i="5"/>
  <c r="R14" i="5"/>
  <c r="S14" i="5"/>
  <c r="T14" i="5"/>
  <c r="U14" i="5"/>
  <c r="P236" i="5"/>
  <c r="Q236" i="5"/>
  <c r="R236" i="5"/>
  <c r="S236" i="5"/>
  <c r="T236" i="5"/>
  <c r="U236" i="5"/>
  <c r="P166" i="5"/>
  <c r="Q166" i="5"/>
  <c r="R166" i="5"/>
  <c r="S166" i="5"/>
  <c r="T166" i="5"/>
  <c r="U166" i="5"/>
  <c r="P237" i="5"/>
  <c r="Q237" i="5"/>
  <c r="R237" i="5"/>
  <c r="S237" i="5"/>
  <c r="T237" i="5"/>
  <c r="U237" i="5"/>
  <c r="P15" i="5"/>
  <c r="Q15" i="5"/>
  <c r="R15" i="5"/>
  <c r="S15" i="5"/>
  <c r="T15" i="5"/>
  <c r="U15" i="5"/>
  <c r="P238" i="5"/>
  <c r="Q238" i="5"/>
  <c r="R238" i="5"/>
  <c r="S238" i="5"/>
  <c r="T238" i="5"/>
  <c r="U238" i="5"/>
  <c r="P239" i="5"/>
  <c r="Q239" i="5"/>
  <c r="R239" i="5"/>
  <c r="S239" i="5"/>
  <c r="T239" i="5"/>
  <c r="U239" i="5"/>
  <c r="P315" i="5"/>
  <c r="Q315" i="5"/>
  <c r="R315" i="5"/>
  <c r="S315" i="5"/>
  <c r="T315" i="5"/>
  <c r="U315" i="5"/>
  <c r="P352" i="5"/>
  <c r="Q352" i="5"/>
  <c r="R352" i="5"/>
  <c r="S352" i="5"/>
  <c r="T352" i="5"/>
  <c r="U352" i="5"/>
  <c r="P316" i="5"/>
  <c r="Q316" i="5"/>
  <c r="R316" i="5"/>
  <c r="S316" i="5"/>
  <c r="T316" i="5"/>
  <c r="U316" i="5"/>
  <c r="P16" i="5"/>
  <c r="Q16" i="5"/>
  <c r="R16" i="5"/>
  <c r="S16" i="5"/>
  <c r="T16" i="5"/>
  <c r="U16" i="5"/>
  <c r="P353" i="5"/>
  <c r="Q353" i="5"/>
  <c r="R353" i="5"/>
  <c r="S353" i="5"/>
  <c r="T353" i="5"/>
  <c r="U353" i="5"/>
  <c r="P80" i="5"/>
  <c r="Q80" i="5"/>
  <c r="R80" i="5"/>
  <c r="S80" i="5"/>
  <c r="T80" i="5"/>
  <c r="U80" i="5"/>
  <c r="P240" i="5"/>
  <c r="Q240" i="5"/>
  <c r="R240" i="5"/>
  <c r="S240" i="5"/>
  <c r="T240" i="5"/>
  <c r="U240" i="5"/>
  <c r="P17" i="5"/>
  <c r="Q17" i="5"/>
  <c r="R17" i="5"/>
  <c r="S17" i="5"/>
  <c r="T17" i="5"/>
  <c r="U17" i="5"/>
  <c r="P18" i="5"/>
  <c r="Q18" i="5"/>
  <c r="R18" i="5"/>
  <c r="S18" i="5"/>
  <c r="T18" i="5"/>
  <c r="U18" i="5"/>
  <c r="P317" i="5"/>
  <c r="Q317" i="5"/>
  <c r="R317" i="5"/>
  <c r="S317" i="5"/>
  <c r="T317" i="5"/>
  <c r="U317" i="5"/>
  <c r="P318" i="5"/>
  <c r="Q318" i="5"/>
  <c r="R318" i="5"/>
  <c r="S318" i="5"/>
  <c r="T318" i="5"/>
  <c r="U318" i="5"/>
  <c r="P241" i="5"/>
  <c r="Q241" i="5"/>
  <c r="R241" i="5"/>
  <c r="S241" i="5"/>
  <c r="T241" i="5"/>
  <c r="U241" i="5"/>
  <c r="P81" i="5"/>
  <c r="Q81" i="5"/>
  <c r="R81" i="5"/>
  <c r="S81" i="5"/>
  <c r="T81" i="5"/>
  <c r="U81" i="5"/>
  <c r="P167" i="5"/>
  <c r="Q167" i="5"/>
  <c r="R167" i="5"/>
  <c r="S167" i="5"/>
  <c r="T167" i="5"/>
  <c r="U167" i="5"/>
  <c r="P242" i="5"/>
  <c r="Q242" i="5"/>
  <c r="R242" i="5"/>
  <c r="S242" i="5"/>
  <c r="T242" i="5"/>
  <c r="U242" i="5"/>
  <c r="P319" i="5"/>
  <c r="Q319" i="5"/>
  <c r="R319" i="5"/>
  <c r="S319" i="5"/>
  <c r="T319" i="5"/>
  <c r="U319" i="5"/>
  <c r="P19" i="5"/>
  <c r="Q19" i="5"/>
  <c r="R19" i="5"/>
  <c r="S19" i="5"/>
  <c r="T19" i="5"/>
  <c r="U19" i="5"/>
  <c r="P20" i="5"/>
  <c r="Q20" i="5"/>
  <c r="R20" i="5"/>
  <c r="S20" i="5"/>
  <c r="T20" i="5"/>
  <c r="U20" i="5"/>
  <c r="P21" i="5"/>
  <c r="Q21" i="5"/>
  <c r="R21" i="5"/>
  <c r="S21" i="5"/>
  <c r="T21" i="5"/>
  <c r="U21" i="5"/>
  <c r="P22" i="5"/>
  <c r="Q22" i="5"/>
  <c r="R22" i="5"/>
  <c r="S22" i="5"/>
  <c r="T22" i="5"/>
  <c r="U22" i="5"/>
  <c r="P23" i="5"/>
  <c r="Q23" i="5"/>
  <c r="R23" i="5"/>
  <c r="S23" i="5"/>
  <c r="T23" i="5"/>
  <c r="U23" i="5"/>
  <c r="P354" i="5"/>
  <c r="Q354" i="5"/>
  <c r="R354" i="5"/>
  <c r="S354" i="5"/>
  <c r="T354" i="5"/>
  <c r="U354" i="5"/>
  <c r="P355" i="5"/>
  <c r="Q355" i="5"/>
  <c r="R355" i="5"/>
  <c r="S355" i="5"/>
  <c r="T355" i="5"/>
  <c r="U355" i="5"/>
  <c r="P82" i="5"/>
  <c r="Q82" i="5"/>
  <c r="R82" i="5"/>
  <c r="S82" i="5"/>
  <c r="T82" i="5"/>
  <c r="U82" i="5"/>
  <c r="P320" i="5"/>
  <c r="Q320" i="5"/>
  <c r="R320" i="5"/>
  <c r="S320" i="5"/>
  <c r="T320" i="5"/>
  <c r="U320" i="5"/>
  <c r="P168" i="5"/>
  <c r="Q168" i="5"/>
  <c r="R168" i="5"/>
  <c r="S168" i="5"/>
  <c r="T168" i="5"/>
  <c r="U168" i="5"/>
  <c r="P356" i="5"/>
  <c r="Q356" i="5"/>
  <c r="R356" i="5"/>
  <c r="S356" i="5"/>
  <c r="T356" i="5"/>
  <c r="U356" i="5"/>
  <c r="P243" i="5"/>
  <c r="Q243" i="5"/>
  <c r="R243" i="5"/>
  <c r="S243" i="5"/>
  <c r="T243" i="5"/>
  <c r="U243" i="5"/>
  <c r="P244" i="5"/>
  <c r="Q244" i="5"/>
  <c r="R244" i="5"/>
  <c r="S244" i="5"/>
  <c r="T244" i="5"/>
  <c r="U244" i="5"/>
  <c r="P321" i="5"/>
  <c r="Q321" i="5"/>
  <c r="R321" i="5"/>
  <c r="S321" i="5"/>
  <c r="T321" i="5"/>
  <c r="U321" i="5"/>
  <c r="P83" i="5"/>
  <c r="Q83" i="5"/>
  <c r="R83" i="5"/>
  <c r="S83" i="5"/>
  <c r="T83" i="5"/>
  <c r="U83" i="5"/>
  <c r="P169" i="5"/>
  <c r="Q169" i="5"/>
  <c r="R169" i="5"/>
  <c r="S169" i="5"/>
  <c r="T169" i="5"/>
  <c r="U169" i="5"/>
  <c r="P245" i="5"/>
  <c r="Q245" i="5"/>
  <c r="R245" i="5"/>
  <c r="S245" i="5"/>
  <c r="T245" i="5"/>
  <c r="U245" i="5"/>
  <c r="P84" i="5"/>
  <c r="Q84" i="5"/>
  <c r="R84" i="5"/>
  <c r="S84" i="5"/>
  <c r="T84" i="5"/>
  <c r="U84" i="5"/>
  <c r="P85" i="5"/>
  <c r="Q85" i="5"/>
  <c r="R85" i="5"/>
  <c r="S85" i="5"/>
  <c r="T85" i="5"/>
  <c r="U85" i="5"/>
  <c r="P322" i="5"/>
  <c r="Q322" i="5"/>
  <c r="R322" i="5"/>
  <c r="S322" i="5"/>
  <c r="T322" i="5"/>
  <c r="U322" i="5"/>
  <c r="P323" i="5"/>
  <c r="Q323" i="5"/>
  <c r="R323" i="5"/>
  <c r="S323" i="5"/>
  <c r="T323" i="5"/>
  <c r="U323" i="5"/>
  <c r="P246" i="5"/>
  <c r="Q246" i="5"/>
  <c r="R246" i="5"/>
  <c r="S246" i="5"/>
  <c r="T246" i="5"/>
  <c r="U246" i="5"/>
  <c r="P170" i="5"/>
  <c r="Q170" i="5"/>
  <c r="R170" i="5"/>
  <c r="S170" i="5"/>
  <c r="T170" i="5"/>
  <c r="U170" i="5"/>
  <c r="P171" i="5"/>
  <c r="Q171" i="5"/>
  <c r="R171" i="5"/>
  <c r="S171" i="5"/>
  <c r="T171" i="5"/>
  <c r="U171" i="5"/>
  <c r="P86" i="5"/>
  <c r="Q86" i="5"/>
  <c r="R86" i="5"/>
  <c r="S86" i="5"/>
  <c r="T86" i="5"/>
  <c r="U86" i="5"/>
  <c r="P24" i="5"/>
  <c r="Q24" i="5"/>
  <c r="R24" i="5"/>
  <c r="S24" i="5"/>
  <c r="T24" i="5"/>
  <c r="U24" i="5"/>
  <c r="P25" i="5"/>
  <c r="Q25" i="5"/>
  <c r="R25" i="5"/>
  <c r="S25" i="5"/>
  <c r="T25" i="5"/>
  <c r="U25" i="5"/>
  <c r="P247" i="5"/>
  <c r="Q247" i="5"/>
  <c r="R247" i="5"/>
  <c r="S247" i="5"/>
  <c r="T247" i="5"/>
  <c r="U247" i="5"/>
  <c r="P172" i="5"/>
  <c r="Q172" i="5"/>
  <c r="R172" i="5"/>
  <c r="S172" i="5"/>
  <c r="T172" i="5"/>
  <c r="U172" i="5"/>
  <c r="P26" i="5"/>
  <c r="Q26" i="5"/>
  <c r="R26" i="5"/>
  <c r="S26" i="5"/>
  <c r="T26" i="5"/>
  <c r="U26" i="5"/>
  <c r="P357" i="5"/>
  <c r="Q357" i="5"/>
  <c r="R357" i="5"/>
  <c r="S357" i="5"/>
  <c r="T357" i="5"/>
  <c r="U357" i="5"/>
  <c r="P248" i="5"/>
  <c r="Q248" i="5"/>
  <c r="R248" i="5"/>
  <c r="S248" i="5"/>
  <c r="T248" i="5"/>
  <c r="U248" i="5"/>
  <c r="P249" i="5"/>
  <c r="Q249" i="5"/>
  <c r="R249" i="5"/>
  <c r="S249" i="5"/>
  <c r="T249" i="5"/>
  <c r="U249" i="5"/>
  <c r="P27" i="5"/>
  <c r="Q27" i="5"/>
  <c r="R27" i="5"/>
  <c r="S27" i="5"/>
  <c r="T27" i="5"/>
  <c r="U27" i="5"/>
  <c r="P250" i="5"/>
  <c r="Q250" i="5"/>
  <c r="R250" i="5"/>
  <c r="S250" i="5"/>
  <c r="T250" i="5"/>
  <c r="U250" i="5"/>
  <c r="P251" i="5"/>
  <c r="Q251" i="5"/>
  <c r="R251" i="5"/>
  <c r="S251" i="5"/>
  <c r="T251" i="5"/>
  <c r="U251" i="5"/>
  <c r="P358" i="5"/>
  <c r="Q358" i="5"/>
  <c r="R358" i="5"/>
  <c r="S358" i="5"/>
  <c r="T358" i="5"/>
  <c r="U358" i="5"/>
  <c r="P87" i="5"/>
  <c r="Q87" i="5"/>
  <c r="R87" i="5"/>
  <c r="S87" i="5"/>
  <c r="T87" i="5"/>
  <c r="U87" i="5"/>
  <c r="P252" i="5"/>
  <c r="Q252" i="5"/>
  <c r="R252" i="5"/>
  <c r="S252" i="5"/>
  <c r="T252" i="5"/>
  <c r="U252" i="5"/>
  <c r="P173" i="5"/>
  <c r="Q173" i="5"/>
  <c r="R173" i="5"/>
  <c r="S173" i="5"/>
  <c r="T173" i="5"/>
  <c r="U173" i="5"/>
  <c r="P28" i="5"/>
  <c r="Q28" i="5"/>
  <c r="R28" i="5"/>
  <c r="S28" i="5"/>
  <c r="T28" i="5"/>
  <c r="U28" i="5"/>
  <c r="P253" i="5"/>
  <c r="Q253" i="5"/>
  <c r="R253" i="5"/>
  <c r="S253" i="5"/>
  <c r="T253" i="5"/>
  <c r="U253" i="5"/>
  <c r="P88" i="5"/>
  <c r="Q88" i="5"/>
  <c r="R88" i="5"/>
  <c r="S88" i="5"/>
  <c r="T88" i="5"/>
  <c r="U88" i="5"/>
  <c r="P254" i="5"/>
  <c r="Q254" i="5"/>
  <c r="R254" i="5"/>
  <c r="S254" i="5"/>
  <c r="T254" i="5"/>
  <c r="U254" i="5"/>
  <c r="P255" i="5"/>
  <c r="Q255" i="5"/>
  <c r="R255" i="5"/>
  <c r="S255" i="5"/>
  <c r="T255" i="5"/>
  <c r="U255" i="5"/>
  <c r="P174" i="5"/>
  <c r="Q174" i="5"/>
  <c r="R174" i="5"/>
  <c r="S174" i="5"/>
  <c r="T174" i="5"/>
  <c r="U174" i="5"/>
  <c r="P29" i="5"/>
  <c r="Q29" i="5"/>
  <c r="R29" i="5"/>
  <c r="S29" i="5"/>
  <c r="T29" i="5"/>
  <c r="U29" i="5"/>
  <c r="P324" i="5"/>
  <c r="Q324" i="5"/>
  <c r="R324" i="5"/>
  <c r="S324" i="5"/>
  <c r="T324" i="5"/>
  <c r="U324" i="5"/>
  <c r="P175" i="5"/>
  <c r="Q175" i="5"/>
  <c r="R175" i="5"/>
  <c r="S175" i="5"/>
  <c r="T175" i="5"/>
  <c r="U175" i="5"/>
  <c r="P359" i="5"/>
  <c r="Q359" i="5"/>
  <c r="R359" i="5"/>
  <c r="S359" i="5"/>
  <c r="T359" i="5"/>
  <c r="U359" i="5"/>
  <c r="P30" i="5"/>
  <c r="Q30" i="5"/>
  <c r="R30" i="5"/>
  <c r="S30" i="5"/>
  <c r="T30" i="5"/>
  <c r="U30" i="5"/>
  <c r="P325" i="5"/>
  <c r="Q325" i="5"/>
  <c r="R325" i="5"/>
  <c r="S325" i="5"/>
  <c r="T325" i="5"/>
  <c r="U325" i="5"/>
  <c r="P176" i="5"/>
  <c r="Q176" i="5"/>
  <c r="R176" i="5"/>
  <c r="S176" i="5"/>
  <c r="T176" i="5"/>
  <c r="U176" i="5"/>
  <c r="P256" i="5"/>
  <c r="Q256" i="5"/>
  <c r="R256" i="5"/>
  <c r="S256" i="5"/>
  <c r="T256" i="5"/>
  <c r="U256" i="5"/>
  <c r="P31" i="5"/>
  <c r="Q31" i="5"/>
  <c r="R31" i="5"/>
  <c r="S31" i="5"/>
  <c r="T31" i="5"/>
  <c r="U31" i="5"/>
  <c r="P32" i="5"/>
  <c r="Q32" i="5"/>
  <c r="R32" i="5"/>
  <c r="S32" i="5"/>
  <c r="T32" i="5"/>
  <c r="U32" i="5"/>
  <c r="P360" i="5"/>
  <c r="Q360" i="5"/>
  <c r="R360" i="5"/>
  <c r="S360" i="5"/>
  <c r="T360" i="5"/>
  <c r="U360" i="5"/>
  <c r="P257" i="5"/>
  <c r="Q257" i="5"/>
  <c r="R257" i="5"/>
  <c r="S257" i="5"/>
  <c r="T257" i="5"/>
  <c r="U257" i="5"/>
  <c r="P361" i="5"/>
  <c r="Q361" i="5"/>
  <c r="R361" i="5"/>
  <c r="S361" i="5"/>
  <c r="T361" i="5"/>
  <c r="U361" i="5"/>
  <c r="P177" i="5"/>
  <c r="Q177" i="5"/>
  <c r="R177" i="5"/>
  <c r="S177" i="5"/>
  <c r="T177" i="5"/>
  <c r="U177" i="5"/>
  <c r="P362" i="5"/>
  <c r="Q362" i="5"/>
  <c r="R362" i="5"/>
  <c r="S362" i="5"/>
  <c r="T362" i="5"/>
  <c r="U362" i="5"/>
  <c r="P326" i="5"/>
  <c r="Q326" i="5"/>
  <c r="R326" i="5"/>
  <c r="S326" i="5"/>
  <c r="T326" i="5"/>
  <c r="U326" i="5"/>
  <c r="P258" i="5"/>
  <c r="Q258" i="5"/>
  <c r="R258" i="5"/>
  <c r="S258" i="5"/>
  <c r="T258" i="5"/>
  <c r="U258" i="5"/>
  <c r="P259" i="5"/>
  <c r="Q259" i="5"/>
  <c r="R259" i="5"/>
  <c r="S259" i="5"/>
  <c r="T259" i="5"/>
  <c r="U259" i="5"/>
  <c r="P89" i="5"/>
  <c r="Q89" i="5"/>
  <c r="R89" i="5"/>
  <c r="S89" i="5"/>
  <c r="T89" i="5"/>
  <c r="U89" i="5"/>
  <c r="P260" i="5"/>
  <c r="Q260" i="5"/>
  <c r="R260" i="5"/>
  <c r="S260" i="5"/>
  <c r="T260" i="5"/>
  <c r="U260" i="5"/>
  <c r="P261" i="5"/>
  <c r="Q261" i="5"/>
  <c r="R261" i="5"/>
  <c r="S261" i="5"/>
  <c r="T261" i="5"/>
  <c r="U261" i="5"/>
  <c r="P262" i="5"/>
  <c r="Q262" i="5"/>
  <c r="R262" i="5"/>
  <c r="S262" i="5"/>
  <c r="T262" i="5"/>
  <c r="U262" i="5"/>
  <c r="P178" i="5"/>
  <c r="Q178" i="5"/>
  <c r="R178" i="5"/>
  <c r="S178" i="5"/>
  <c r="T178" i="5"/>
  <c r="U178" i="5"/>
  <c r="P90" i="5"/>
  <c r="Q90" i="5"/>
  <c r="R90" i="5"/>
  <c r="S90" i="5"/>
  <c r="T90" i="5"/>
  <c r="U90" i="5"/>
  <c r="P263" i="5"/>
  <c r="Q263" i="5"/>
  <c r="R263" i="5"/>
  <c r="S263" i="5"/>
  <c r="T263" i="5"/>
  <c r="U263" i="5"/>
  <c r="P264" i="5"/>
  <c r="Q264" i="5"/>
  <c r="R264" i="5"/>
  <c r="S264" i="5"/>
  <c r="T264" i="5"/>
  <c r="U264" i="5"/>
  <c r="P179" i="5"/>
  <c r="Q179" i="5"/>
  <c r="R179" i="5"/>
  <c r="S179" i="5"/>
  <c r="T179" i="5"/>
  <c r="U179" i="5"/>
  <c r="P363" i="5"/>
  <c r="Q363" i="5"/>
  <c r="R363" i="5"/>
  <c r="S363" i="5"/>
  <c r="T363" i="5"/>
  <c r="U363" i="5"/>
  <c r="P91" i="5"/>
  <c r="Q91" i="5"/>
  <c r="R91" i="5"/>
  <c r="S91" i="5"/>
  <c r="T91" i="5"/>
  <c r="U91" i="5"/>
  <c r="P265" i="5"/>
  <c r="Q265" i="5"/>
  <c r="R265" i="5"/>
  <c r="S265" i="5"/>
  <c r="T265" i="5"/>
  <c r="U265" i="5"/>
  <c r="P180" i="5"/>
  <c r="Q180" i="5"/>
  <c r="R180" i="5"/>
  <c r="S180" i="5"/>
  <c r="T180" i="5"/>
  <c r="U180" i="5"/>
  <c r="P266" i="5"/>
  <c r="Q266" i="5"/>
  <c r="R266" i="5"/>
  <c r="S266" i="5"/>
  <c r="T266" i="5"/>
  <c r="U266" i="5"/>
  <c r="P92" i="5"/>
  <c r="Q92" i="5"/>
  <c r="R92" i="5"/>
  <c r="S92" i="5"/>
  <c r="T92" i="5"/>
  <c r="U92" i="5"/>
  <c r="P33" i="5"/>
  <c r="Q33" i="5"/>
  <c r="R33" i="5"/>
  <c r="S33" i="5"/>
  <c r="T33" i="5"/>
  <c r="U33" i="5"/>
  <c r="P93" i="5"/>
  <c r="Q93" i="5"/>
  <c r="R93" i="5"/>
  <c r="S93" i="5"/>
  <c r="T93" i="5"/>
  <c r="U93" i="5"/>
  <c r="P267" i="5"/>
  <c r="Q267" i="5"/>
  <c r="R267" i="5"/>
  <c r="S267" i="5"/>
  <c r="T267" i="5"/>
  <c r="U267" i="5"/>
  <c r="P268" i="5"/>
  <c r="Q268" i="5"/>
  <c r="R268" i="5"/>
  <c r="S268" i="5"/>
  <c r="T268" i="5"/>
  <c r="U268" i="5"/>
  <c r="P94" i="5"/>
  <c r="Q94" i="5"/>
  <c r="R94" i="5"/>
  <c r="S94" i="5"/>
  <c r="T94" i="5"/>
  <c r="U94" i="5"/>
  <c r="P364" i="5"/>
  <c r="Q364" i="5"/>
  <c r="R364" i="5"/>
  <c r="S364" i="5"/>
  <c r="T364" i="5"/>
  <c r="U364" i="5"/>
  <c r="P95" i="5"/>
  <c r="Q95" i="5"/>
  <c r="R95" i="5"/>
  <c r="S95" i="5"/>
  <c r="T95" i="5"/>
  <c r="U95" i="5"/>
  <c r="P181" i="5"/>
  <c r="Q181" i="5"/>
  <c r="R181" i="5"/>
  <c r="S181" i="5"/>
  <c r="T181" i="5"/>
  <c r="U181" i="5"/>
  <c r="P34" i="5"/>
  <c r="Q34" i="5"/>
  <c r="R34" i="5"/>
  <c r="S34" i="5"/>
  <c r="T34" i="5"/>
  <c r="U34" i="5"/>
  <c r="P96" i="5"/>
  <c r="Q96" i="5"/>
  <c r="R96" i="5"/>
  <c r="S96" i="5"/>
  <c r="T96" i="5"/>
  <c r="U96" i="5"/>
  <c r="P269" i="5"/>
  <c r="Q269" i="5"/>
  <c r="R269" i="5"/>
  <c r="S269" i="5"/>
  <c r="T269" i="5"/>
  <c r="U269" i="5"/>
  <c r="P327" i="5"/>
  <c r="Q327" i="5"/>
  <c r="R327" i="5"/>
  <c r="S327" i="5"/>
  <c r="T327" i="5"/>
  <c r="U327" i="5"/>
  <c r="P97" i="5"/>
  <c r="Q97" i="5"/>
  <c r="R97" i="5"/>
  <c r="S97" i="5"/>
  <c r="T97" i="5"/>
  <c r="U97" i="5"/>
  <c r="P270" i="5"/>
  <c r="Q270" i="5"/>
  <c r="R270" i="5"/>
  <c r="S270" i="5"/>
  <c r="T270" i="5"/>
  <c r="U270" i="5"/>
  <c r="P98" i="5"/>
  <c r="Q98" i="5"/>
  <c r="R98" i="5"/>
  <c r="S98" i="5"/>
  <c r="T98" i="5"/>
  <c r="U98" i="5"/>
  <c r="P365" i="5"/>
  <c r="Q365" i="5"/>
  <c r="R365" i="5"/>
  <c r="S365" i="5"/>
  <c r="T365" i="5"/>
  <c r="U365" i="5"/>
  <c r="P99" i="5"/>
  <c r="Q99" i="5"/>
  <c r="R99" i="5"/>
  <c r="S99" i="5"/>
  <c r="T99" i="5"/>
  <c r="U99" i="5"/>
  <c r="P100" i="5"/>
  <c r="Q100" i="5"/>
  <c r="R100" i="5"/>
  <c r="S100" i="5"/>
  <c r="T100" i="5"/>
  <c r="U100" i="5"/>
  <c r="P101" i="5"/>
  <c r="Q101" i="5"/>
  <c r="R101" i="5"/>
  <c r="S101" i="5"/>
  <c r="T101" i="5"/>
  <c r="U101" i="5"/>
  <c r="P366" i="5"/>
  <c r="Q366" i="5"/>
  <c r="R366" i="5"/>
  <c r="S366" i="5"/>
  <c r="T366" i="5"/>
  <c r="U366" i="5"/>
  <c r="P271" i="5"/>
  <c r="Q271" i="5"/>
  <c r="R271" i="5"/>
  <c r="S271" i="5"/>
  <c r="T271" i="5"/>
  <c r="U271" i="5"/>
  <c r="P367" i="5"/>
  <c r="Q367" i="5"/>
  <c r="R367" i="5"/>
  <c r="S367" i="5"/>
  <c r="T367" i="5"/>
  <c r="U367" i="5"/>
  <c r="P183" i="5"/>
  <c r="Q183" i="5"/>
  <c r="R183" i="5"/>
  <c r="S183" i="5"/>
  <c r="T183" i="5"/>
  <c r="U183" i="5"/>
  <c r="P182" i="5"/>
  <c r="Q182" i="5"/>
  <c r="R182" i="5"/>
  <c r="S182" i="5"/>
  <c r="T182" i="5"/>
  <c r="U182" i="5"/>
  <c r="P35" i="5"/>
  <c r="Q35" i="5"/>
  <c r="R35" i="5"/>
  <c r="S35" i="5"/>
  <c r="T35" i="5"/>
  <c r="U35" i="5"/>
  <c r="P102" i="5"/>
  <c r="Q102" i="5"/>
  <c r="R102" i="5"/>
  <c r="S102" i="5"/>
  <c r="T102" i="5"/>
  <c r="U102" i="5"/>
  <c r="P368" i="5"/>
  <c r="Q368" i="5"/>
  <c r="R368" i="5"/>
  <c r="S368" i="5"/>
  <c r="T368" i="5"/>
  <c r="U368" i="5"/>
  <c r="P36" i="5"/>
  <c r="Q36" i="5"/>
  <c r="R36" i="5"/>
  <c r="S36" i="5"/>
  <c r="T36" i="5"/>
  <c r="U36" i="5"/>
  <c r="P37" i="5"/>
  <c r="Q37" i="5"/>
  <c r="R37" i="5"/>
  <c r="S37" i="5"/>
  <c r="T37" i="5"/>
  <c r="U37" i="5"/>
  <c r="P272" i="5"/>
  <c r="Q272" i="5"/>
  <c r="R272" i="5"/>
  <c r="S272" i="5"/>
  <c r="T272" i="5"/>
  <c r="U272" i="5"/>
  <c r="P38" i="5"/>
  <c r="Q38" i="5"/>
  <c r="R38" i="5"/>
  <c r="S38" i="5"/>
  <c r="T38" i="5"/>
  <c r="U38" i="5"/>
  <c r="P103" i="5"/>
  <c r="Q103" i="5"/>
  <c r="R103" i="5"/>
  <c r="S103" i="5"/>
  <c r="T103" i="5"/>
  <c r="U103" i="5"/>
  <c r="P104" i="5"/>
  <c r="Q104" i="5"/>
  <c r="R104" i="5"/>
  <c r="S104" i="5"/>
  <c r="T104" i="5"/>
  <c r="U104" i="5"/>
  <c r="P328" i="5"/>
  <c r="Q328" i="5"/>
  <c r="R328" i="5"/>
  <c r="S328" i="5"/>
  <c r="T328" i="5"/>
  <c r="U328" i="5"/>
  <c r="P184" i="5"/>
  <c r="Q184" i="5"/>
  <c r="R184" i="5"/>
  <c r="S184" i="5"/>
  <c r="T184" i="5"/>
  <c r="U184" i="5"/>
  <c r="P39" i="5"/>
  <c r="Q39" i="5"/>
  <c r="R39" i="5"/>
  <c r="S39" i="5"/>
  <c r="T39" i="5"/>
  <c r="U39" i="5"/>
  <c r="P329" i="5"/>
  <c r="Q329" i="5"/>
  <c r="R329" i="5"/>
  <c r="S329" i="5"/>
  <c r="T329" i="5"/>
  <c r="U329" i="5"/>
  <c r="P273" i="5"/>
  <c r="Q273" i="5"/>
  <c r="R273" i="5"/>
  <c r="S273" i="5"/>
  <c r="T273" i="5"/>
  <c r="U273" i="5"/>
  <c r="P40" i="5"/>
  <c r="Q40" i="5"/>
  <c r="R40" i="5"/>
  <c r="S40" i="5"/>
  <c r="T40" i="5"/>
  <c r="U40" i="5"/>
  <c r="P369" i="5"/>
  <c r="Q369" i="5"/>
  <c r="R369" i="5"/>
  <c r="S369" i="5"/>
  <c r="T369" i="5"/>
  <c r="U369" i="5"/>
  <c r="P185" i="5"/>
  <c r="Q185" i="5"/>
  <c r="R185" i="5"/>
  <c r="S185" i="5"/>
  <c r="T185" i="5"/>
  <c r="U185" i="5"/>
  <c r="P330" i="5"/>
  <c r="Q330" i="5"/>
  <c r="R330" i="5"/>
  <c r="S330" i="5"/>
  <c r="T330" i="5"/>
  <c r="U330" i="5"/>
  <c r="P105" i="5"/>
  <c r="Q105" i="5"/>
  <c r="R105" i="5"/>
  <c r="S105" i="5"/>
  <c r="T105" i="5"/>
  <c r="U105" i="5"/>
  <c r="P274" i="5"/>
  <c r="Q274" i="5"/>
  <c r="R274" i="5"/>
  <c r="S274" i="5"/>
  <c r="T274" i="5"/>
  <c r="U274" i="5"/>
  <c r="P41" i="5"/>
  <c r="Q41" i="5"/>
  <c r="R41" i="5"/>
  <c r="S41" i="5"/>
  <c r="T41" i="5"/>
  <c r="U41" i="5"/>
  <c r="P106" i="5"/>
  <c r="Q106" i="5"/>
  <c r="R106" i="5"/>
  <c r="S106" i="5"/>
  <c r="T106" i="5"/>
  <c r="U106" i="5"/>
  <c r="P275" i="5"/>
  <c r="Q275" i="5"/>
  <c r="R275" i="5"/>
  <c r="S275" i="5"/>
  <c r="T275" i="5"/>
  <c r="U275" i="5"/>
  <c r="P42" i="5"/>
  <c r="Q42" i="5"/>
  <c r="R42" i="5"/>
  <c r="S42" i="5"/>
  <c r="T42" i="5"/>
  <c r="U42" i="5"/>
  <c r="P107" i="5"/>
  <c r="Q107" i="5"/>
  <c r="R107" i="5"/>
  <c r="S107" i="5"/>
  <c r="T107" i="5"/>
  <c r="U107" i="5"/>
  <c r="P331" i="5"/>
  <c r="Q331" i="5"/>
  <c r="R331" i="5"/>
  <c r="S331" i="5"/>
  <c r="T331" i="5"/>
  <c r="U331" i="5"/>
  <c r="P108" i="5"/>
  <c r="Q108" i="5"/>
  <c r="R108" i="5"/>
  <c r="S108" i="5"/>
  <c r="T108" i="5"/>
  <c r="U108" i="5"/>
  <c r="P186" i="5"/>
  <c r="Q186" i="5"/>
  <c r="R186" i="5"/>
  <c r="S186" i="5"/>
  <c r="T186" i="5"/>
  <c r="U186" i="5"/>
  <c r="P276" i="5"/>
  <c r="Q276" i="5"/>
  <c r="R276" i="5"/>
  <c r="S276" i="5"/>
  <c r="T276" i="5"/>
  <c r="U276" i="5"/>
  <c r="P187" i="5"/>
  <c r="Q187" i="5"/>
  <c r="R187" i="5"/>
  <c r="S187" i="5"/>
  <c r="T187" i="5"/>
  <c r="U187" i="5"/>
  <c r="P43" i="5"/>
  <c r="Q43" i="5"/>
  <c r="R43" i="5"/>
  <c r="S43" i="5"/>
  <c r="T43" i="5"/>
  <c r="U43" i="5"/>
  <c r="P109" i="5"/>
  <c r="Q109" i="5"/>
  <c r="R109" i="5"/>
  <c r="S109" i="5"/>
  <c r="T109" i="5"/>
  <c r="U109" i="5"/>
  <c r="P110" i="5"/>
  <c r="Q110" i="5"/>
  <c r="R110" i="5"/>
  <c r="S110" i="5"/>
  <c r="T110" i="5"/>
  <c r="U110" i="5"/>
  <c r="P277" i="5"/>
  <c r="Q277" i="5"/>
  <c r="R277" i="5"/>
  <c r="S277" i="5"/>
  <c r="T277" i="5"/>
  <c r="U277" i="5"/>
  <c r="P332" i="5"/>
  <c r="Q332" i="5"/>
  <c r="R332" i="5"/>
  <c r="S332" i="5"/>
  <c r="T332" i="5"/>
  <c r="U332" i="5"/>
  <c r="P278" i="5"/>
  <c r="Q278" i="5"/>
  <c r="R278" i="5"/>
  <c r="S278" i="5"/>
  <c r="T278" i="5"/>
  <c r="U278" i="5"/>
  <c r="P111" i="5"/>
  <c r="Q111" i="5"/>
  <c r="R111" i="5"/>
  <c r="S111" i="5"/>
  <c r="T111" i="5"/>
  <c r="U111" i="5"/>
  <c r="P112" i="5"/>
  <c r="Q112" i="5"/>
  <c r="R112" i="5"/>
  <c r="S112" i="5"/>
  <c r="T112" i="5"/>
  <c r="U112" i="5"/>
  <c r="P188" i="5"/>
  <c r="Q188" i="5"/>
  <c r="R188" i="5"/>
  <c r="S188" i="5"/>
  <c r="T188" i="5"/>
  <c r="U188" i="5"/>
  <c r="P113" i="5"/>
  <c r="Q113" i="5"/>
  <c r="R113" i="5"/>
  <c r="S113" i="5"/>
  <c r="T113" i="5"/>
  <c r="U113" i="5"/>
  <c r="P279" i="5"/>
  <c r="Q279" i="5"/>
  <c r="R279" i="5"/>
  <c r="S279" i="5"/>
  <c r="T279" i="5"/>
  <c r="U279" i="5"/>
  <c r="P44" i="5"/>
  <c r="Q44" i="5"/>
  <c r="R44" i="5"/>
  <c r="S44" i="5"/>
  <c r="T44" i="5"/>
  <c r="U44" i="5"/>
  <c r="P280" i="5"/>
  <c r="Q280" i="5"/>
  <c r="R280" i="5"/>
  <c r="S280" i="5"/>
  <c r="T280" i="5"/>
  <c r="U280" i="5"/>
  <c r="P281" i="5"/>
  <c r="Q281" i="5"/>
  <c r="R281" i="5"/>
  <c r="S281" i="5"/>
  <c r="T281" i="5"/>
  <c r="U281" i="5"/>
  <c r="P189" i="5"/>
  <c r="Q189" i="5"/>
  <c r="R189" i="5"/>
  <c r="S189" i="5"/>
  <c r="T189" i="5"/>
  <c r="U189" i="5"/>
  <c r="P282" i="5"/>
  <c r="Q282" i="5"/>
  <c r="R282" i="5"/>
  <c r="S282" i="5"/>
  <c r="T282" i="5"/>
  <c r="U282" i="5"/>
  <c r="P370" i="5"/>
  <c r="Q370" i="5"/>
  <c r="R370" i="5"/>
  <c r="S370" i="5"/>
  <c r="T370" i="5"/>
  <c r="U370" i="5"/>
  <c r="P190" i="5"/>
  <c r="Q190" i="5"/>
  <c r="R190" i="5"/>
  <c r="S190" i="5"/>
  <c r="T190" i="5"/>
  <c r="U190" i="5"/>
  <c r="P114" i="5"/>
  <c r="Q114" i="5"/>
  <c r="R114" i="5"/>
  <c r="S114" i="5"/>
  <c r="T114" i="5"/>
  <c r="U114" i="5"/>
  <c r="P115" i="5"/>
  <c r="Q115" i="5"/>
  <c r="R115" i="5"/>
  <c r="S115" i="5"/>
  <c r="T115" i="5"/>
  <c r="U115" i="5"/>
  <c r="P283" i="5"/>
  <c r="Q283" i="5"/>
  <c r="R283" i="5"/>
  <c r="S283" i="5"/>
  <c r="T283" i="5"/>
  <c r="U283" i="5"/>
  <c r="P45" i="5"/>
  <c r="Q45" i="5"/>
  <c r="R45" i="5"/>
  <c r="S45" i="5"/>
  <c r="T45" i="5"/>
  <c r="U45" i="5"/>
  <c r="P191" i="5"/>
  <c r="Q191" i="5"/>
  <c r="R191" i="5"/>
  <c r="S191" i="5"/>
  <c r="T191" i="5"/>
  <c r="U191" i="5"/>
  <c r="P371" i="5"/>
  <c r="Q371" i="5"/>
  <c r="R371" i="5"/>
  <c r="S371" i="5"/>
  <c r="T371" i="5"/>
  <c r="U371" i="5"/>
  <c r="P192" i="5"/>
  <c r="Q192" i="5"/>
  <c r="R192" i="5"/>
  <c r="S192" i="5"/>
  <c r="T192" i="5"/>
  <c r="U192" i="5"/>
  <c r="P116" i="5"/>
  <c r="Q116" i="5"/>
  <c r="R116" i="5"/>
  <c r="S116" i="5"/>
  <c r="T116" i="5"/>
  <c r="U116" i="5"/>
  <c r="P117" i="5"/>
  <c r="Q117" i="5"/>
  <c r="R117" i="5"/>
  <c r="S117" i="5"/>
  <c r="T117" i="5"/>
  <c r="U117" i="5"/>
  <c r="P284" i="5"/>
  <c r="Q284" i="5"/>
  <c r="R284" i="5"/>
  <c r="S284" i="5"/>
  <c r="T284" i="5"/>
  <c r="U284" i="5"/>
  <c r="P118" i="5"/>
  <c r="Q118" i="5"/>
  <c r="R118" i="5"/>
  <c r="S118" i="5"/>
  <c r="T118" i="5"/>
  <c r="U118" i="5"/>
  <c r="P46" i="5"/>
  <c r="Q46" i="5"/>
  <c r="R46" i="5"/>
  <c r="S46" i="5"/>
  <c r="T46" i="5"/>
  <c r="U46" i="5"/>
  <c r="P193" i="5"/>
  <c r="Q193" i="5"/>
  <c r="R193" i="5"/>
  <c r="S193" i="5"/>
  <c r="T193" i="5"/>
  <c r="U193" i="5"/>
  <c r="P333" i="5"/>
  <c r="Q333" i="5"/>
  <c r="R333" i="5"/>
  <c r="S333" i="5"/>
  <c r="T333" i="5"/>
  <c r="U333" i="5"/>
  <c r="P119" i="5"/>
  <c r="Q119" i="5"/>
  <c r="R119" i="5"/>
  <c r="S119" i="5"/>
  <c r="T119" i="5"/>
  <c r="U119" i="5"/>
  <c r="P372" i="5"/>
  <c r="Q372" i="5"/>
  <c r="R372" i="5"/>
  <c r="S372" i="5"/>
  <c r="T372" i="5"/>
  <c r="U372" i="5"/>
  <c r="P334" i="5"/>
  <c r="Q334" i="5"/>
  <c r="R334" i="5"/>
  <c r="S334" i="5"/>
  <c r="T334" i="5"/>
  <c r="U334" i="5"/>
  <c r="P285" i="5"/>
  <c r="Q285" i="5"/>
  <c r="R285" i="5"/>
  <c r="S285" i="5"/>
  <c r="T285" i="5"/>
  <c r="U285" i="5"/>
  <c r="P47" i="5"/>
  <c r="Q47" i="5"/>
  <c r="R47" i="5"/>
  <c r="S47" i="5"/>
  <c r="T47" i="5"/>
  <c r="U47" i="5"/>
  <c r="P335" i="5"/>
  <c r="Q335" i="5"/>
  <c r="R335" i="5"/>
  <c r="S335" i="5"/>
  <c r="T335" i="5"/>
  <c r="U335" i="5"/>
  <c r="P48" i="5"/>
  <c r="Q48" i="5"/>
  <c r="R48" i="5"/>
  <c r="S48" i="5"/>
  <c r="T48" i="5"/>
  <c r="U48" i="5"/>
  <c r="P194" i="5"/>
  <c r="Q194" i="5"/>
  <c r="R194" i="5"/>
  <c r="S194" i="5"/>
  <c r="T194" i="5"/>
  <c r="U194" i="5"/>
  <c r="P286" i="5"/>
  <c r="Q286" i="5"/>
  <c r="R286" i="5"/>
  <c r="S286" i="5"/>
  <c r="T286" i="5"/>
  <c r="U286" i="5"/>
  <c r="P287" i="5"/>
  <c r="Q287" i="5"/>
  <c r="R287" i="5"/>
  <c r="S287" i="5"/>
  <c r="T287" i="5"/>
  <c r="U287" i="5"/>
  <c r="P120" i="5"/>
  <c r="Q120" i="5"/>
  <c r="R120" i="5"/>
  <c r="S120" i="5"/>
  <c r="T120" i="5"/>
  <c r="U120" i="5"/>
  <c r="P288" i="5"/>
  <c r="Q288" i="5"/>
  <c r="R288" i="5"/>
  <c r="S288" i="5"/>
  <c r="T288" i="5"/>
  <c r="U288" i="5"/>
  <c r="P195" i="5"/>
  <c r="Q195" i="5"/>
  <c r="R195" i="5"/>
  <c r="S195" i="5"/>
  <c r="T195" i="5"/>
  <c r="U195" i="5"/>
  <c r="P121" i="5"/>
  <c r="Q121" i="5"/>
  <c r="R121" i="5"/>
  <c r="S121" i="5"/>
  <c r="T121" i="5"/>
  <c r="U121" i="5"/>
  <c r="P196" i="5"/>
  <c r="Q196" i="5"/>
  <c r="R196" i="5"/>
  <c r="S196" i="5"/>
  <c r="T196" i="5"/>
  <c r="U196" i="5"/>
  <c r="P289" i="5"/>
  <c r="Q289" i="5"/>
  <c r="R289" i="5"/>
  <c r="S289" i="5"/>
  <c r="T289" i="5"/>
  <c r="U289" i="5"/>
  <c r="P122" i="5"/>
  <c r="Q122" i="5"/>
  <c r="R122" i="5"/>
  <c r="S122" i="5"/>
  <c r="T122" i="5"/>
  <c r="U122" i="5"/>
  <c r="P49" i="5"/>
  <c r="Q49" i="5"/>
  <c r="R49" i="5"/>
  <c r="S49" i="5"/>
  <c r="T49" i="5"/>
  <c r="U49" i="5"/>
  <c r="P197" i="5"/>
  <c r="Q197" i="5"/>
  <c r="R197" i="5"/>
  <c r="S197" i="5"/>
  <c r="T197" i="5"/>
  <c r="U197" i="5"/>
  <c r="P336" i="5"/>
  <c r="Q336" i="5"/>
  <c r="R336" i="5"/>
  <c r="S336" i="5"/>
  <c r="T336" i="5"/>
  <c r="U336" i="5"/>
  <c r="P290" i="5"/>
  <c r="Q290" i="5"/>
  <c r="R290" i="5"/>
  <c r="S290" i="5"/>
  <c r="T290" i="5"/>
  <c r="U290" i="5"/>
  <c r="P123" i="5"/>
  <c r="Q123" i="5"/>
  <c r="R123" i="5"/>
  <c r="S123" i="5"/>
  <c r="T123" i="5"/>
  <c r="U123" i="5"/>
  <c r="P198" i="5"/>
  <c r="Q198" i="5"/>
  <c r="R198" i="5"/>
  <c r="S198" i="5"/>
  <c r="T198" i="5"/>
  <c r="U198" i="5"/>
  <c r="P124" i="5"/>
  <c r="Q124" i="5"/>
  <c r="R124" i="5"/>
  <c r="S124" i="5"/>
  <c r="T124" i="5"/>
  <c r="U124" i="5"/>
  <c r="P337" i="5"/>
  <c r="Q337" i="5"/>
  <c r="R337" i="5"/>
  <c r="S337" i="5"/>
  <c r="T337" i="5"/>
  <c r="U337" i="5"/>
  <c r="P373" i="5"/>
  <c r="Q373" i="5"/>
  <c r="R373" i="5"/>
  <c r="S373" i="5"/>
  <c r="T373" i="5"/>
  <c r="U373" i="5"/>
  <c r="P125" i="5"/>
  <c r="Q125" i="5"/>
  <c r="R125" i="5"/>
  <c r="S125" i="5"/>
  <c r="T125" i="5"/>
  <c r="U125" i="5"/>
  <c r="P374" i="5"/>
  <c r="Q374" i="5"/>
  <c r="R374" i="5"/>
  <c r="S374" i="5"/>
  <c r="T374" i="5"/>
  <c r="U374" i="5"/>
  <c r="P291" i="5"/>
  <c r="Q291" i="5"/>
  <c r="R291" i="5"/>
  <c r="S291" i="5"/>
  <c r="T291" i="5"/>
  <c r="U291" i="5"/>
  <c r="P292" i="5"/>
  <c r="Q292" i="5"/>
  <c r="R292" i="5"/>
  <c r="S292" i="5"/>
  <c r="T292" i="5"/>
  <c r="U292" i="5"/>
  <c r="P126" i="5"/>
  <c r="Q126" i="5"/>
  <c r="R126" i="5"/>
  <c r="S126" i="5"/>
  <c r="T126" i="5"/>
  <c r="U126" i="5"/>
  <c r="P293" i="5"/>
  <c r="Q293" i="5"/>
  <c r="R293" i="5"/>
  <c r="S293" i="5"/>
  <c r="T293" i="5"/>
  <c r="U293" i="5"/>
  <c r="P375" i="5"/>
  <c r="Q375" i="5"/>
  <c r="R375" i="5"/>
  <c r="S375" i="5"/>
  <c r="T375" i="5"/>
  <c r="U375" i="5"/>
  <c r="P127" i="5"/>
  <c r="Q127" i="5"/>
  <c r="R127" i="5"/>
  <c r="S127" i="5"/>
  <c r="T127" i="5"/>
  <c r="U127" i="5"/>
  <c r="P128" i="5"/>
  <c r="Q128" i="5"/>
  <c r="R128" i="5"/>
  <c r="S128" i="5"/>
  <c r="T128" i="5"/>
  <c r="U128" i="5"/>
  <c r="P199" i="5"/>
  <c r="Q199" i="5"/>
  <c r="R199" i="5"/>
  <c r="S199" i="5"/>
  <c r="T199" i="5"/>
  <c r="U199" i="5"/>
  <c r="P50" i="5"/>
  <c r="Q50" i="5"/>
  <c r="R50" i="5"/>
  <c r="S50" i="5"/>
  <c r="T50" i="5"/>
  <c r="U50" i="5"/>
  <c r="P129" i="5"/>
  <c r="Q129" i="5"/>
  <c r="R129" i="5"/>
  <c r="S129" i="5"/>
  <c r="T129" i="5"/>
  <c r="U129" i="5"/>
  <c r="P338" i="5"/>
  <c r="Q338" i="5"/>
  <c r="R338" i="5"/>
  <c r="S338" i="5"/>
  <c r="T338" i="5"/>
  <c r="U338" i="5"/>
  <c r="P200" i="5"/>
  <c r="Q200" i="5"/>
  <c r="R200" i="5"/>
  <c r="S200" i="5"/>
  <c r="T200" i="5"/>
  <c r="U200" i="5"/>
  <c r="P130" i="5"/>
  <c r="Q130" i="5"/>
  <c r="R130" i="5"/>
  <c r="S130" i="5"/>
  <c r="T130" i="5"/>
  <c r="U130" i="5"/>
  <c r="P51" i="5"/>
  <c r="Q51" i="5"/>
  <c r="R51" i="5"/>
  <c r="S51" i="5"/>
  <c r="T51" i="5"/>
  <c r="U51" i="5"/>
  <c r="P52" i="5"/>
  <c r="Q52" i="5"/>
  <c r="R52" i="5"/>
  <c r="S52" i="5"/>
  <c r="T52" i="5"/>
  <c r="U52" i="5"/>
  <c r="P201" i="5"/>
  <c r="Q201" i="5"/>
  <c r="R201" i="5"/>
  <c r="S201" i="5"/>
  <c r="T201" i="5"/>
  <c r="U201" i="5"/>
  <c r="P53" i="5"/>
  <c r="Q53" i="5"/>
  <c r="R53" i="5"/>
  <c r="S53" i="5"/>
  <c r="T53" i="5"/>
  <c r="U53" i="5"/>
  <c r="P54" i="5"/>
  <c r="Q54" i="5"/>
  <c r="R54" i="5"/>
  <c r="S54" i="5"/>
  <c r="T54" i="5"/>
  <c r="U54" i="5"/>
  <c r="P131" i="5"/>
  <c r="Q131" i="5"/>
  <c r="R131" i="5"/>
  <c r="S131" i="5"/>
  <c r="T131" i="5"/>
  <c r="U131" i="5"/>
  <c r="P202" i="5"/>
  <c r="Q202" i="5"/>
  <c r="R202" i="5"/>
  <c r="S202" i="5"/>
  <c r="T202" i="5"/>
  <c r="U202" i="5"/>
  <c r="P294" i="5"/>
  <c r="Q294" i="5"/>
  <c r="R294" i="5"/>
  <c r="S294" i="5"/>
  <c r="T294" i="5"/>
  <c r="U294" i="5"/>
  <c r="P376" i="5"/>
  <c r="Q376" i="5"/>
  <c r="R376" i="5"/>
  <c r="S376" i="5"/>
  <c r="T376" i="5"/>
  <c r="U376" i="5"/>
  <c r="P339" i="5"/>
  <c r="Q339" i="5"/>
  <c r="R339" i="5"/>
  <c r="S339" i="5"/>
  <c r="T339" i="5"/>
  <c r="U339" i="5"/>
  <c r="P340" i="5"/>
  <c r="Q340" i="5"/>
  <c r="R340" i="5"/>
  <c r="S340" i="5"/>
  <c r="T340" i="5"/>
  <c r="U340" i="5"/>
  <c r="P132" i="5"/>
  <c r="Q132" i="5"/>
  <c r="R132" i="5"/>
  <c r="S132" i="5"/>
  <c r="T132" i="5"/>
  <c r="U132" i="5"/>
  <c r="P341" i="5"/>
  <c r="Q341" i="5"/>
  <c r="R341" i="5"/>
  <c r="S341" i="5"/>
  <c r="T341" i="5"/>
  <c r="U341" i="5"/>
  <c r="P377" i="5"/>
  <c r="Q377" i="5"/>
  <c r="R377" i="5"/>
  <c r="S377" i="5"/>
  <c r="T377" i="5"/>
  <c r="U377" i="5"/>
  <c r="P203" i="5"/>
  <c r="Q203" i="5"/>
  <c r="R203" i="5"/>
  <c r="S203" i="5"/>
  <c r="T203" i="5"/>
  <c r="U203" i="5"/>
  <c r="P204" i="5"/>
  <c r="Q204" i="5"/>
  <c r="R204" i="5"/>
  <c r="S204" i="5"/>
  <c r="T204" i="5"/>
  <c r="U204" i="5"/>
  <c r="P378" i="5"/>
  <c r="Q378" i="5"/>
  <c r="R378" i="5"/>
  <c r="S378" i="5"/>
  <c r="T378" i="5"/>
  <c r="U378" i="5"/>
  <c r="P379" i="5"/>
  <c r="Q379" i="5"/>
  <c r="R379" i="5"/>
  <c r="S379" i="5"/>
  <c r="T379" i="5"/>
  <c r="U379" i="5"/>
  <c r="P133" i="5"/>
  <c r="Q133" i="5"/>
  <c r="R133" i="5"/>
  <c r="S133" i="5"/>
  <c r="T133" i="5"/>
  <c r="U133" i="5"/>
  <c r="P205" i="5"/>
  <c r="Q205" i="5"/>
  <c r="R205" i="5"/>
  <c r="S205" i="5"/>
  <c r="T205" i="5"/>
  <c r="U205" i="5"/>
  <c r="P295" i="5"/>
  <c r="Q295" i="5"/>
  <c r="R295" i="5"/>
  <c r="S295" i="5"/>
  <c r="T295" i="5"/>
  <c r="U295" i="5"/>
  <c r="P342" i="5"/>
  <c r="Q342" i="5"/>
  <c r="R342" i="5"/>
  <c r="S342" i="5"/>
  <c r="T342" i="5"/>
  <c r="U342" i="5"/>
  <c r="P206" i="5"/>
  <c r="Q206" i="5"/>
  <c r="R206" i="5"/>
  <c r="S206" i="5"/>
  <c r="T206" i="5"/>
  <c r="U206" i="5"/>
  <c r="P134" i="5"/>
  <c r="Q134" i="5"/>
  <c r="R134" i="5"/>
  <c r="S134" i="5"/>
  <c r="T134" i="5"/>
  <c r="U134" i="5"/>
  <c r="P207" i="5"/>
  <c r="Q207" i="5"/>
  <c r="R207" i="5"/>
  <c r="S207" i="5"/>
  <c r="T207" i="5"/>
  <c r="U207" i="5"/>
  <c r="P135" i="5"/>
  <c r="Q135" i="5"/>
  <c r="R135" i="5"/>
  <c r="S135" i="5"/>
  <c r="T135" i="5"/>
  <c r="U135" i="5"/>
  <c r="P55" i="5"/>
  <c r="Q55" i="5"/>
  <c r="R55" i="5"/>
  <c r="S55" i="5"/>
  <c r="T55" i="5"/>
  <c r="U55" i="5"/>
  <c r="P208" i="5"/>
  <c r="Q208" i="5"/>
  <c r="R208" i="5"/>
  <c r="S208" i="5"/>
  <c r="T208" i="5"/>
  <c r="U208" i="5"/>
  <c r="P136" i="5"/>
  <c r="Q136" i="5"/>
  <c r="R136" i="5"/>
  <c r="S136" i="5"/>
  <c r="T136" i="5"/>
  <c r="U136" i="5"/>
  <c r="P56" i="5"/>
  <c r="Q56" i="5"/>
  <c r="R56" i="5"/>
  <c r="S56" i="5"/>
  <c r="T56" i="5"/>
  <c r="U56" i="5"/>
  <c r="P209" i="5"/>
  <c r="Q209" i="5"/>
  <c r="R209" i="5"/>
  <c r="S209" i="5"/>
  <c r="T209" i="5"/>
  <c r="U209" i="5"/>
  <c r="P380" i="5"/>
  <c r="Q380" i="5"/>
  <c r="R380" i="5"/>
  <c r="S380" i="5"/>
  <c r="T380" i="5"/>
  <c r="U380" i="5"/>
  <c r="P137" i="5"/>
  <c r="Q137" i="5"/>
  <c r="R137" i="5"/>
  <c r="S137" i="5"/>
  <c r="T137" i="5"/>
  <c r="U137" i="5"/>
  <c r="P343" i="5"/>
  <c r="Q343" i="5"/>
  <c r="R343" i="5"/>
  <c r="S343" i="5"/>
  <c r="T343" i="5"/>
  <c r="U343" i="5"/>
  <c r="P57" i="5"/>
  <c r="Q57" i="5"/>
  <c r="R57" i="5"/>
  <c r="S57" i="5"/>
  <c r="T57" i="5"/>
  <c r="U57" i="5"/>
  <c r="P58" i="5"/>
  <c r="Q58" i="5"/>
  <c r="R58" i="5"/>
  <c r="S58" i="5"/>
  <c r="T58" i="5"/>
  <c r="U58" i="5"/>
  <c r="P210" i="5"/>
  <c r="Q210" i="5"/>
  <c r="R210" i="5"/>
  <c r="S210" i="5"/>
  <c r="T210" i="5"/>
  <c r="U210" i="5"/>
  <c r="P381" i="5"/>
  <c r="Q381" i="5"/>
  <c r="R381" i="5"/>
  <c r="S381" i="5"/>
  <c r="T381" i="5"/>
  <c r="U381" i="5"/>
  <c r="P344" i="5"/>
  <c r="Q344" i="5"/>
  <c r="R344" i="5"/>
  <c r="S344" i="5"/>
  <c r="T344" i="5"/>
  <c r="U344" i="5"/>
  <c r="P211" i="5"/>
  <c r="Q211" i="5"/>
  <c r="R211" i="5"/>
  <c r="S211" i="5"/>
  <c r="T211" i="5"/>
  <c r="U211" i="5"/>
  <c r="P212" i="5"/>
  <c r="Q212" i="5"/>
  <c r="R212" i="5"/>
  <c r="S212" i="5"/>
  <c r="T212" i="5"/>
  <c r="U212" i="5"/>
  <c r="P296" i="5"/>
  <c r="Q296" i="5"/>
  <c r="R296" i="5"/>
  <c r="S296" i="5"/>
  <c r="T296" i="5"/>
  <c r="U296" i="5"/>
  <c r="P297" i="5"/>
  <c r="Q297" i="5"/>
  <c r="R297" i="5"/>
  <c r="S297" i="5"/>
  <c r="T297" i="5"/>
  <c r="U297" i="5"/>
  <c r="P138" i="5"/>
  <c r="Q138" i="5"/>
  <c r="R138" i="5"/>
  <c r="S138" i="5"/>
  <c r="T138" i="5"/>
  <c r="U138" i="5"/>
  <c r="P382" i="5"/>
  <c r="Q382" i="5"/>
  <c r="R382" i="5"/>
  <c r="S382" i="5"/>
  <c r="T382" i="5"/>
  <c r="U382" i="5"/>
  <c r="P298" i="5"/>
  <c r="Q298" i="5"/>
  <c r="R298" i="5"/>
  <c r="S298" i="5"/>
  <c r="T298" i="5"/>
  <c r="U298" i="5"/>
  <c r="P59" i="5"/>
  <c r="Q59" i="5"/>
  <c r="R59" i="5"/>
  <c r="S59" i="5"/>
  <c r="T59" i="5"/>
  <c r="U59" i="5"/>
  <c r="P345" i="5"/>
  <c r="Q345" i="5"/>
  <c r="R345" i="5"/>
  <c r="S345" i="5"/>
  <c r="T345" i="5"/>
  <c r="U345" i="5"/>
  <c r="P213" i="5"/>
  <c r="Q213" i="5"/>
  <c r="R213" i="5"/>
  <c r="S213" i="5"/>
  <c r="T213" i="5"/>
  <c r="U213" i="5"/>
  <c r="P139" i="5"/>
  <c r="Q139" i="5"/>
  <c r="R139" i="5"/>
  <c r="S139" i="5"/>
  <c r="T139" i="5"/>
  <c r="U139" i="5"/>
  <c r="P214" i="5"/>
  <c r="Q214" i="5"/>
  <c r="R214" i="5"/>
  <c r="S214" i="5"/>
  <c r="T214" i="5"/>
  <c r="U214" i="5"/>
  <c r="P215" i="5"/>
  <c r="Q215" i="5"/>
  <c r="R215" i="5"/>
  <c r="S215" i="5"/>
  <c r="T215" i="5"/>
  <c r="U215" i="5"/>
  <c r="P383" i="5"/>
  <c r="Q383" i="5"/>
  <c r="R383" i="5"/>
  <c r="S383" i="5"/>
  <c r="T383" i="5"/>
  <c r="U383" i="5"/>
  <c r="P140" i="5"/>
  <c r="Q140" i="5"/>
  <c r="R140" i="5"/>
  <c r="S140" i="5"/>
  <c r="T140" i="5"/>
  <c r="U140" i="5"/>
  <c r="P299" i="5"/>
  <c r="Q299" i="5"/>
  <c r="R299" i="5"/>
  <c r="S299" i="5"/>
  <c r="T299" i="5"/>
  <c r="U299" i="5"/>
  <c r="P60" i="5"/>
  <c r="Q60" i="5"/>
  <c r="R60" i="5"/>
  <c r="S60" i="5"/>
  <c r="T60" i="5"/>
  <c r="U60" i="5"/>
  <c r="P216" i="5"/>
  <c r="Q216" i="5"/>
  <c r="R216" i="5"/>
  <c r="S216" i="5"/>
  <c r="T216" i="5"/>
  <c r="U216" i="5"/>
  <c r="P141" i="5"/>
  <c r="Q141" i="5"/>
  <c r="R141" i="5"/>
  <c r="S141" i="5"/>
  <c r="T141" i="5"/>
  <c r="U141" i="5"/>
  <c r="P217" i="5"/>
  <c r="Q217" i="5"/>
  <c r="R217" i="5"/>
  <c r="S217" i="5"/>
  <c r="T217" i="5"/>
  <c r="U217" i="5"/>
  <c r="P218" i="5"/>
  <c r="Q218" i="5"/>
  <c r="R218" i="5"/>
  <c r="S218" i="5"/>
  <c r="T218" i="5"/>
  <c r="U218" i="5"/>
  <c r="P300" i="5"/>
  <c r="Q300" i="5"/>
  <c r="R300" i="5"/>
  <c r="S300" i="5"/>
  <c r="T300" i="5"/>
  <c r="U300" i="5"/>
  <c r="P142" i="5"/>
  <c r="Q142" i="5"/>
  <c r="R142" i="5"/>
  <c r="S142" i="5"/>
  <c r="T142" i="5"/>
  <c r="U142" i="5"/>
  <c r="P301" i="5"/>
  <c r="Q301" i="5"/>
  <c r="R301" i="5"/>
  <c r="S301" i="5"/>
  <c r="T301" i="5"/>
  <c r="U301" i="5"/>
  <c r="P219" i="5"/>
  <c r="Q219" i="5"/>
  <c r="R219" i="5"/>
  <c r="S219" i="5"/>
  <c r="T219" i="5"/>
  <c r="U219" i="5"/>
  <c r="P61" i="5"/>
  <c r="Q61" i="5"/>
  <c r="R61" i="5"/>
  <c r="S61" i="5"/>
  <c r="T61" i="5"/>
  <c r="U61" i="5"/>
  <c r="P384" i="5"/>
  <c r="Q384" i="5"/>
  <c r="R384" i="5"/>
  <c r="S384" i="5"/>
  <c r="T384" i="5"/>
  <c r="U384" i="5"/>
  <c r="P385" i="5"/>
  <c r="Q385" i="5"/>
  <c r="R385" i="5"/>
  <c r="S385" i="5"/>
  <c r="T385" i="5"/>
  <c r="U385" i="5"/>
  <c r="P386" i="5"/>
  <c r="Q386" i="5"/>
  <c r="R386" i="5"/>
  <c r="S386" i="5"/>
  <c r="T386" i="5"/>
  <c r="U386" i="5"/>
  <c r="P143" i="5"/>
  <c r="Q143" i="5"/>
  <c r="R143" i="5"/>
  <c r="S143" i="5"/>
  <c r="T143" i="5"/>
  <c r="U143" i="5"/>
  <c r="P346" i="5"/>
  <c r="Q346" i="5"/>
  <c r="R346" i="5"/>
  <c r="S346" i="5"/>
  <c r="T346" i="5"/>
  <c r="U346" i="5"/>
  <c r="P62" i="5"/>
  <c r="Q62" i="5"/>
  <c r="R62" i="5"/>
  <c r="S62" i="5"/>
  <c r="T62" i="5"/>
  <c r="U62" i="5"/>
  <c r="P144" i="5"/>
  <c r="Q144" i="5"/>
  <c r="R144" i="5"/>
  <c r="S144" i="5"/>
  <c r="T144" i="5"/>
  <c r="U144" i="5"/>
  <c r="P302" i="5"/>
  <c r="Q302" i="5"/>
  <c r="R302" i="5"/>
  <c r="S302" i="5"/>
  <c r="T302" i="5"/>
  <c r="U302" i="5"/>
  <c r="P63" i="5"/>
  <c r="Q63" i="5"/>
  <c r="R63" i="5"/>
  <c r="S63" i="5"/>
  <c r="T63" i="5"/>
  <c r="U63" i="5"/>
  <c r="P64" i="5"/>
  <c r="Q64" i="5"/>
  <c r="R64" i="5"/>
  <c r="S64" i="5"/>
  <c r="T64" i="5"/>
  <c r="U64" i="5"/>
  <c r="P65" i="5"/>
  <c r="Q65" i="5"/>
  <c r="R65" i="5"/>
  <c r="S65" i="5"/>
  <c r="T65" i="5"/>
  <c r="U65" i="5"/>
  <c r="P145" i="5"/>
  <c r="Q145" i="5"/>
  <c r="R145" i="5"/>
  <c r="S145" i="5"/>
  <c r="T145" i="5"/>
  <c r="U145" i="5"/>
  <c r="P220" i="5"/>
  <c r="Q220" i="5"/>
  <c r="R220" i="5"/>
  <c r="S220" i="5"/>
  <c r="T220" i="5"/>
  <c r="U220" i="5"/>
  <c r="P387" i="5"/>
  <c r="Q387" i="5"/>
  <c r="R387" i="5"/>
  <c r="S387" i="5"/>
  <c r="T387" i="5"/>
  <c r="U387" i="5"/>
  <c r="P388" i="5"/>
  <c r="Q388" i="5"/>
  <c r="R388" i="5"/>
  <c r="S388" i="5"/>
  <c r="T388" i="5"/>
  <c r="U388" i="5"/>
  <c r="P66" i="5"/>
  <c r="Q66" i="5"/>
  <c r="R66" i="5"/>
  <c r="S66" i="5"/>
  <c r="T66" i="5"/>
  <c r="U66" i="5"/>
  <c r="P146" i="5"/>
  <c r="Q146" i="5"/>
  <c r="R146" i="5"/>
  <c r="S146" i="5"/>
  <c r="T146" i="5"/>
  <c r="U146" i="5"/>
  <c r="P303" i="5"/>
  <c r="Q303" i="5"/>
  <c r="R303" i="5"/>
  <c r="S303" i="5"/>
  <c r="T303" i="5"/>
  <c r="U303" i="5"/>
  <c r="P389" i="5"/>
  <c r="Q389" i="5"/>
  <c r="R389" i="5"/>
  <c r="S389" i="5"/>
  <c r="T389" i="5"/>
  <c r="U389" i="5"/>
  <c r="P221" i="5"/>
  <c r="Q221" i="5"/>
  <c r="R221" i="5"/>
  <c r="S221" i="5"/>
  <c r="T221" i="5"/>
  <c r="U221" i="5"/>
  <c r="P222" i="5"/>
  <c r="Q222" i="5"/>
  <c r="R222" i="5"/>
  <c r="S222" i="5"/>
  <c r="T222" i="5"/>
  <c r="U222" i="5"/>
  <c r="P67" i="5"/>
  <c r="Q67" i="5"/>
  <c r="R67" i="5"/>
  <c r="S67" i="5"/>
  <c r="T67" i="5"/>
  <c r="U67" i="5"/>
  <c r="P223" i="5"/>
  <c r="Q223" i="5"/>
  <c r="R223" i="5"/>
  <c r="S223" i="5"/>
  <c r="T223" i="5"/>
  <c r="U223" i="5"/>
  <c r="P224" i="5"/>
  <c r="Q224" i="5"/>
  <c r="R224" i="5"/>
  <c r="S224" i="5"/>
  <c r="T224" i="5"/>
  <c r="U224" i="5"/>
  <c r="P347" i="5"/>
  <c r="Q347" i="5"/>
  <c r="R347" i="5"/>
  <c r="S347" i="5"/>
  <c r="T347" i="5"/>
  <c r="U347" i="5"/>
  <c r="P147" i="5"/>
  <c r="Q147" i="5"/>
  <c r="R147" i="5"/>
  <c r="S147" i="5"/>
  <c r="T147" i="5"/>
  <c r="U147" i="5"/>
  <c r="P225" i="5"/>
  <c r="Q225" i="5"/>
  <c r="R225" i="5"/>
  <c r="S225" i="5"/>
  <c r="T225" i="5"/>
  <c r="U225" i="5"/>
  <c r="P68" i="5"/>
  <c r="Q68" i="5"/>
  <c r="R68" i="5"/>
  <c r="S68" i="5"/>
  <c r="T68" i="5"/>
  <c r="U68" i="5"/>
  <c r="P390" i="5"/>
  <c r="Q390" i="5"/>
  <c r="R390" i="5"/>
  <c r="S390" i="5"/>
  <c r="T390" i="5"/>
  <c r="U390" i="5"/>
  <c r="P391" i="5"/>
  <c r="Q391" i="5"/>
  <c r="R391" i="5"/>
  <c r="S391" i="5"/>
  <c r="T391" i="5"/>
  <c r="U391" i="5"/>
  <c r="P304" i="5"/>
  <c r="Q304" i="5"/>
  <c r="R304" i="5"/>
  <c r="S304" i="5"/>
  <c r="T304" i="5"/>
  <c r="U304" i="5"/>
  <c r="P69" i="5"/>
  <c r="Q69" i="5"/>
  <c r="R69" i="5"/>
  <c r="S69" i="5"/>
  <c r="T69" i="5"/>
  <c r="U69" i="5"/>
  <c r="P392" i="5"/>
  <c r="Q392" i="5"/>
  <c r="R392" i="5"/>
  <c r="S392" i="5"/>
  <c r="T392" i="5"/>
  <c r="U392" i="5"/>
  <c r="U70" i="5"/>
  <c r="T70" i="5"/>
  <c r="S70" i="5"/>
  <c r="R70" i="5"/>
  <c r="Q70" i="5"/>
  <c r="P70" i="5"/>
  <c r="F397" i="4"/>
  <c r="G397" i="4"/>
  <c r="H397" i="4"/>
  <c r="I397" i="4"/>
  <c r="J397" i="4"/>
  <c r="K397" i="4"/>
  <c r="L397" i="4"/>
  <c r="M397" i="4"/>
  <c r="N397" i="4"/>
  <c r="O397" i="4"/>
  <c r="P397" i="4"/>
  <c r="Q397" i="4"/>
  <c r="E397" i="4"/>
  <c r="D397" i="4"/>
  <c r="F396" i="4"/>
  <c r="G396" i="4"/>
  <c r="H396" i="4"/>
  <c r="I396" i="4"/>
  <c r="J396" i="4"/>
  <c r="K396" i="4"/>
  <c r="L396" i="4"/>
  <c r="M396" i="4"/>
  <c r="N396" i="4"/>
  <c r="E396" i="4"/>
  <c r="D396" i="4"/>
  <c r="C395" i="4"/>
  <c r="C394" i="4"/>
  <c r="AO397" i="6" l="1"/>
  <c r="AN397" i="6"/>
  <c r="AP147" i="6"/>
  <c r="AP132" i="6"/>
  <c r="AO396" i="6"/>
  <c r="AN396" i="6"/>
  <c r="AP187" i="6"/>
  <c r="AP121" i="6"/>
  <c r="AP184" i="6"/>
  <c r="AP180" i="6"/>
  <c r="AP116" i="6"/>
  <c r="AP198" i="6"/>
  <c r="AP299" i="6"/>
  <c r="AP358" i="6"/>
  <c r="AP344" i="6"/>
  <c r="AP338" i="6"/>
  <c r="AP54" i="6"/>
  <c r="AP391" i="6"/>
  <c r="AP105" i="6"/>
  <c r="AP141" i="6"/>
  <c r="AP29" i="6"/>
  <c r="AP296" i="6"/>
  <c r="AP86" i="6"/>
  <c r="AP85" i="6"/>
  <c r="AP67" i="6"/>
  <c r="AP81" i="6"/>
  <c r="AP56" i="6"/>
  <c r="AP232" i="6"/>
  <c r="AP339" i="6"/>
  <c r="AP255" i="6"/>
  <c r="AP231" i="6"/>
  <c r="AP326" i="6"/>
  <c r="AP365" i="6"/>
  <c r="AP327" i="6"/>
  <c r="AP75" i="6"/>
  <c r="AP230" i="6"/>
  <c r="AP305" i="6"/>
  <c r="AP57" i="6"/>
  <c r="AP68" i="6"/>
  <c r="AP72" i="6"/>
  <c r="AP190" i="6"/>
  <c r="AP130" i="6"/>
  <c r="AP70" i="6"/>
  <c r="AP271" i="6"/>
  <c r="AP150" i="6"/>
  <c r="AQ132" i="6"/>
  <c r="AQ255" i="6"/>
  <c r="AP275" i="6"/>
  <c r="AP315" i="6"/>
  <c r="AP179" i="6"/>
  <c r="AP137" i="6"/>
  <c r="AP176" i="6"/>
  <c r="AP212" i="6"/>
  <c r="AP343" i="6"/>
  <c r="AP291" i="6"/>
  <c r="AP273" i="6"/>
  <c r="AP270" i="6"/>
  <c r="AP87" i="6"/>
  <c r="AP357" i="6"/>
  <c r="AP164" i="6"/>
  <c r="AP282" i="6"/>
  <c r="AP269" i="6"/>
  <c r="AP10" i="6"/>
  <c r="AP330" i="6"/>
  <c r="AP76" i="6"/>
  <c r="AQ147" i="6"/>
  <c r="AP58" i="6"/>
  <c r="AQ269" i="6"/>
  <c r="AP386" i="6"/>
  <c r="AP354" i="6"/>
  <c r="AP41" i="6"/>
  <c r="AP183" i="6"/>
  <c r="AP189" i="6"/>
  <c r="AP39" i="6"/>
  <c r="AP197" i="6"/>
  <c r="AP253" i="6"/>
  <c r="AP106" i="6"/>
  <c r="AP32" i="6"/>
  <c r="AP193" i="6"/>
  <c r="AP142" i="6"/>
  <c r="AP361" i="6"/>
  <c r="AP292" i="6"/>
  <c r="AP16" i="6"/>
  <c r="AP15" i="6"/>
  <c r="AP14" i="6"/>
  <c r="AP279" i="6"/>
  <c r="AP80" i="6"/>
  <c r="AP345" i="6"/>
  <c r="AP158" i="6"/>
  <c r="AP69" i="6"/>
  <c r="AP157" i="6"/>
  <c r="AP306" i="6"/>
  <c r="AP138" i="6"/>
  <c r="AP61" i="6"/>
  <c r="AP8" i="6"/>
  <c r="AP155" i="6"/>
  <c r="AP348" i="6"/>
  <c r="AP289" i="6"/>
  <c r="AP201" i="6"/>
  <c r="AP207" i="6"/>
  <c r="AP250" i="6"/>
  <c r="AP55" i="6"/>
  <c r="AP346" i="6"/>
  <c r="AP303" i="6"/>
  <c r="AP390" i="6"/>
  <c r="AP223" i="6"/>
  <c r="AP4" i="6"/>
  <c r="AQ230" i="6"/>
  <c r="AP350" i="6"/>
  <c r="AQ292" i="6"/>
  <c r="AQ232" i="6"/>
  <c r="AQ253" i="6"/>
  <c r="AP375" i="6"/>
  <c r="AQ390" i="6"/>
  <c r="AQ271" i="6"/>
  <c r="AQ130" i="6"/>
  <c r="AQ197" i="6"/>
  <c r="AQ306" i="6"/>
  <c r="AQ164" i="6"/>
  <c r="AP149" i="6"/>
  <c r="AP298" i="6"/>
  <c r="AP295" i="6"/>
  <c r="AP277" i="6"/>
  <c r="AQ344" i="6"/>
  <c r="AP349" i="6"/>
  <c r="AP11" i="6"/>
  <c r="AQ75" i="6"/>
  <c r="AP340" i="6"/>
  <c r="AQ138" i="6"/>
  <c r="AQ70" i="6"/>
  <c r="AQ142" i="6"/>
  <c r="AQ72" i="6"/>
  <c r="AP392" i="6"/>
  <c r="AQ330" i="6"/>
  <c r="AQ61" i="6"/>
  <c r="AP163" i="6"/>
  <c r="AP377" i="6"/>
  <c r="AP71" i="6"/>
  <c r="AP226" i="6"/>
  <c r="AQ223" i="6"/>
  <c r="AQ361" i="6"/>
  <c r="AP301" i="6"/>
  <c r="AQ189" i="6"/>
  <c r="AQ212" i="6"/>
  <c r="AQ158" i="6"/>
  <c r="AQ14" i="6"/>
  <c r="AP131" i="6"/>
  <c r="AP186" i="6"/>
  <c r="AP371" i="6"/>
  <c r="AP246" i="6"/>
  <c r="AP321" i="6"/>
  <c r="AP36" i="6"/>
  <c r="AP144" i="6"/>
  <c r="AP109" i="6"/>
  <c r="AP215" i="6"/>
  <c r="AP341" i="6"/>
  <c r="AP205" i="6"/>
  <c r="AP242" i="6"/>
  <c r="AP26" i="6"/>
  <c r="AP331" i="6"/>
  <c r="AP297" i="6"/>
  <c r="AP266" i="6"/>
  <c r="AP256" i="6"/>
  <c r="AP60" i="6"/>
  <c r="AP332" i="6"/>
  <c r="AP216" i="6"/>
  <c r="AQ327" i="6"/>
  <c r="AQ131" i="6"/>
  <c r="AQ109" i="6"/>
  <c r="AQ55" i="6"/>
  <c r="AQ379" i="6"/>
  <c r="AP379" i="6"/>
  <c r="AP111" i="6"/>
  <c r="AQ111" i="6"/>
  <c r="AQ34" i="6"/>
  <c r="AP34" i="6"/>
  <c r="AP101" i="6"/>
  <c r="AQ101" i="6"/>
  <c r="AP97" i="6"/>
  <c r="AQ97" i="6"/>
  <c r="AP368" i="6"/>
  <c r="AQ368" i="6"/>
  <c r="AQ24" i="6"/>
  <c r="AP24" i="6"/>
  <c r="AP192" i="6"/>
  <c r="AQ192" i="6"/>
  <c r="AP267" i="6"/>
  <c r="AQ267" i="6"/>
  <c r="AP238" i="6"/>
  <c r="AQ238" i="6"/>
  <c r="AQ18" i="6"/>
  <c r="AP18" i="6"/>
  <c r="AP79" i="6"/>
  <c r="AQ79" i="6"/>
  <c r="AP325" i="6"/>
  <c r="AQ325" i="6"/>
  <c r="AQ299" i="6"/>
  <c r="AQ86" i="6"/>
  <c r="AP272" i="6"/>
  <c r="AQ272" i="6"/>
  <c r="AP211" i="6"/>
  <c r="AQ211" i="6"/>
  <c r="AP213" i="6"/>
  <c r="AQ213" i="6"/>
  <c r="AP360" i="6"/>
  <c r="AQ360" i="6"/>
  <c r="AP46" i="6"/>
  <c r="AQ46" i="6"/>
  <c r="AP122" i="6"/>
  <c r="AQ122" i="6"/>
  <c r="AP220" i="6"/>
  <c r="AQ220" i="6"/>
  <c r="AP196" i="6"/>
  <c r="AQ196" i="6"/>
  <c r="AP316" i="6"/>
  <c r="AQ316" i="6"/>
  <c r="AP127" i="6"/>
  <c r="AQ127" i="6"/>
  <c r="AP351" i="6"/>
  <c r="AQ351" i="6"/>
  <c r="AP199" i="6"/>
  <c r="AQ199" i="6"/>
  <c r="AQ114" i="6"/>
  <c r="AP114" i="6"/>
  <c r="AP136" i="6"/>
  <c r="AQ136" i="6"/>
  <c r="AP37" i="6"/>
  <c r="AQ37" i="6"/>
  <c r="AP113" i="6"/>
  <c r="AQ113" i="6"/>
  <c r="AP364" i="6"/>
  <c r="AQ364" i="6"/>
  <c r="AP312" i="6"/>
  <c r="AQ312" i="6"/>
  <c r="AP208" i="6"/>
  <c r="AQ208" i="6"/>
  <c r="AQ244" i="6"/>
  <c r="AP244" i="6"/>
  <c r="AP135" i="6"/>
  <c r="AQ135" i="6"/>
  <c r="AQ103" i="6"/>
  <c r="AP103" i="6"/>
  <c r="AP268" i="6"/>
  <c r="AQ268" i="6"/>
  <c r="AP387" i="6"/>
  <c r="AQ387" i="6"/>
  <c r="AQ263" i="6"/>
  <c r="AP263" i="6"/>
  <c r="AP170" i="6"/>
  <c r="AQ170" i="6"/>
  <c r="AP311" i="6"/>
  <c r="AQ311" i="6"/>
  <c r="AP96" i="6"/>
  <c r="AQ96" i="6"/>
  <c r="AP283" i="6"/>
  <c r="AQ283" i="6"/>
  <c r="AP94" i="6"/>
  <c r="AQ94" i="6"/>
  <c r="AQ51" i="6"/>
  <c r="AP51" i="6"/>
  <c r="AQ62" i="6"/>
  <c r="AP62" i="6"/>
  <c r="AP380" i="6"/>
  <c r="AQ380" i="6"/>
  <c r="AP166" i="6"/>
  <c r="AQ166" i="6"/>
  <c r="AP126" i="6"/>
  <c r="AQ126" i="6"/>
  <c r="AP89" i="6"/>
  <c r="AQ89" i="6"/>
  <c r="AP276" i="6"/>
  <c r="AQ276" i="6"/>
  <c r="AP239" i="6"/>
  <c r="AQ239" i="6"/>
  <c r="AP362" i="6"/>
  <c r="AQ362" i="6"/>
  <c r="AQ84" i="6"/>
  <c r="AP84" i="6"/>
  <c r="AQ259" i="6"/>
  <c r="AP259" i="6"/>
  <c r="AP329" i="6"/>
  <c r="AQ329" i="6"/>
  <c r="AQ278" i="6"/>
  <c r="AP278" i="6"/>
  <c r="AP82" i="6"/>
  <c r="AQ82" i="6"/>
  <c r="AP304" i="6"/>
  <c r="AP251" i="6"/>
  <c r="AQ137" i="6"/>
  <c r="AP17" i="6"/>
  <c r="AP169" i="6"/>
  <c r="AQ205" i="6"/>
  <c r="AP140" i="6"/>
  <c r="AQ321" i="6"/>
  <c r="AP236" i="6"/>
  <c r="AP177" i="6"/>
  <c r="AQ10" i="6"/>
  <c r="AQ85" i="6"/>
  <c r="AP78" i="6"/>
  <c r="AP30" i="6"/>
  <c r="AP355" i="6"/>
  <c r="AQ355" i="6"/>
  <c r="AP382" i="6"/>
  <c r="AQ382" i="6"/>
  <c r="AQ354" i="6"/>
  <c r="AQ357" i="6"/>
  <c r="AP260" i="6"/>
  <c r="AP285" i="6"/>
  <c r="AQ358" i="6"/>
  <c r="AQ282" i="6"/>
  <c r="AQ106" i="6"/>
  <c r="AQ297" i="6"/>
  <c r="AQ105" i="6"/>
  <c r="AQ266" i="6"/>
  <c r="AQ187" i="6"/>
  <c r="AQ121" i="6"/>
  <c r="AQ50" i="6"/>
  <c r="AP50" i="6"/>
  <c r="AP52" i="6"/>
  <c r="AQ52" i="6"/>
  <c r="AP378" i="6"/>
  <c r="AQ378" i="6"/>
  <c r="AQ124" i="6"/>
  <c r="AP124" i="6"/>
  <c r="AP388" i="6"/>
  <c r="AQ388" i="6"/>
  <c r="AP146" i="6"/>
  <c r="AQ146" i="6"/>
  <c r="AP48" i="6"/>
  <c r="AQ48" i="6"/>
  <c r="AP381" i="6"/>
  <c r="AQ381" i="6"/>
  <c r="AP45" i="6"/>
  <c r="AQ45" i="6"/>
  <c r="AP43" i="6"/>
  <c r="AQ43" i="6"/>
  <c r="AP353" i="6"/>
  <c r="AQ353" i="6"/>
  <c r="AP262" i="6"/>
  <c r="AQ262" i="6"/>
  <c r="AP185" i="6"/>
  <c r="AQ185" i="6"/>
  <c r="AP254" i="6"/>
  <c r="AQ254" i="6"/>
  <c r="AP182" i="6"/>
  <c r="AQ182" i="6"/>
  <c r="AP40" i="6"/>
  <c r="AQ40" i="6"/>
  <c r="AP59" i="6"/>
  <c r="AQ59" i="6"/>
  <c r="AP64" i="6"/>
  <c r="AQ64" i="6"/>
  <c r="AP178" i="6"/>
  <c r="AQ178" i="6"/>
  <c r="AQ342" i="6"/>
  <c r="AP342" i="6"/>
  <c r="AP175" i="6"/>
  <c r="AQ175" i="6"/>
  <c r="AP148" i="6"/>
  <c r="AQ148" i="6"/>
  <c r="AP294" i="6"/>
  <c r="AQ294" i="6"/>
  <c r="AP384" i="6"/>
  <c r="AQ384" i="6"/>
  <c r="AP108" i="6"/>
  <c r="AQ108" i="6"/>
  <c r="AP288" i="6"/>
  <c r="AQ288" i="6"/>
  <c r="AQ173" i="6"/>
  <c r="AP173" i="6"/>
  <c r="AP257" i="6"/>
  <c r="AQ257" i="6"/>
  <c r="AP322" i="6"/>
  <c r="AQ322" i="6"/>
  <c r="AQ302" i="6"/>
  <c r="AP302" i="6"/>
  <c r="AP374" i="6"/>
  <c r="AQ374" i="6"/>
  <c r="AP125" i="6"/>
  <c r="AQ125" i="6"/>
  <c r="AP243" i="6"/>
  <c r="AQ243" i="6"/>
  <c r="AQ63" i="6"/>
  <c r="AP63" i="6"/>
  <c r="AP100" i="6"/>
  <c r="AQ100" i="6"/>
  <c r="AP310" i="6"/>
  <c r="AQ310" i="6"/>
  <c r="AQ95" i="6"/>
  <c r="AP95" i="6"/>
  <c r="AP334" i="6"/>
  <c r="AQ334" i="6"/>
  <c r="AP309" i="6"/>
  <c r="AQ309" i="6"/>
  <c r="AQ258" i="6"/>
  <c r="AP258" i="6"/>
  <c r="AQ167" i="6"/>
  <c r="AP167" i="6"/>
  <c r="AP91" i="6"/>
  <c r="AQ91" i="6"/>
  <c r="AQ265" i="6"/>
  <c r="AP265" i="6"/>
  <c r="AQ139" i="6"/>
  <c r="AP139" i="6"/>
  <c r="AP218" i="6"/>
  <c r="AQ218" i="6"/>
  <c r="AP204" i="6"/>
  <c r="AQ204" i="6"/>
  <c r="AP165" i="6"/>
  <c r="AQ165" i="6"/>
  <c r="AP83" i="6"/>
  <c r="AQ83" i="6"/>
  <c r="AP210" i="6"/>
  <c r="AQ210" i="6"/>
  <c r="AP235" i="6"/>
  <c r="AQ235" i="6"/>
  <c r="AP373" i="6"/>
  <c r="AQ373" i="6"/>
  <c r="AP161" i="6"/>
  <c r="AQ161" i="6"/>
  <c r="AP328" i="6"/>
  <c r="AQ328" i="6"/>
  <c r="AQ307" i="6"/>
  <c r="AP307" i="6"/>
  <c r="AP13" i="6"/>
  <c r="AQ13" i="6"/>
  <c r="AP77" i="6"/>
  <c r="AQ77" i="6"/>
  <c r="AP280" i="6"/>
  <c r="AQ280" i="6"/>
  <c r="AP156" i="6"/>
  <c r="AQ156" i="6"/>
  <c r="AP7" i="6"/>
  <c r="AQ7" i="6"/>
  <c r="AP293" i="6"/>
  <c r="AQ293" i="6"/>
  <c r="AP228" i="6"/>
  <c r="AP134" i="6"/>
  <c r="AP225" i="6"/>
  <c r="AP333" i="6"/>
  <c r="AP151" i="6"/>
  <c r="AP323" i="6"/>
  <c r="AP324" i="6"/>
  <c r="AQ341" i="6"/>
  <c r="AQ270" i="6"/>
  <c r="AQ338" i="6"/>
  <c r="AP376" i="6"/>
  <c r="AQ76" i="6"/>
  <c r="AQ144" i="6"/>
  <c r="AP191" i="6"/>
  <c r="AQ54" i="6"/>
  <c r="AP313" i="6"/>
  <c r="AP107" i="6"/>
  <c r="AQ183" i="6"/>
  <c r="AQ67" i="6"/>
  <c r="AP53" i="6"/>
  <c r="AQ81" i="6"/>
  <c r="AQ186" i="6"/>
  <c r="AP47" i="6"/>
  <c r="AQ47" i="6"/>
  <c r="AQ42" i="6"/>
  <c r="AP42" i="6"/>
  <c r="AP206" i="6"/>
  <c r="AQ206" i="6"/>
  <c r="AP383" i="6"/>
  <c r="AQ383" i="6"/>
  <c r="AP171" i="6"/>
  <c r="AQ171" i="6"/>
  <c r="AP25" i="6"/>
  <c r="AQ25" i="6"/>
  <c r="AP20" i="6"/>
  <c r="AQ20" i="6"/>
  <c r="AP159" i="6"/>
  <c r="AQ159" i="6"/>
  <c r="AP356" i="6"/>
  <c r="AQ356" i="6"/>
  <c r="AQ56" i="6"/>
  <c r="AQ141" i="6"/>
  <c r="AQ343" i="6"/>
  <c r="AQ386" i="6"/>
  <c r="AP172" i="6"/>
  <c r="AQ215" i="6"/>
  <c r="AQ179" i="6"/>
  <c r="AQ32" i="6"/>
  <c r="AQ87" i="6"/>
  <c r="AQ26" i="6"/>
  <c r="AQ39" i="6"/>
  <c r="AP123" i="6"/>
  <c r="AQ123" i="6"/>
  <c r="AQ248" i="6"/>
  <c r="AP248" i="6"/>
  <c r="AQ369" i="6"/>
  <c r="AP369" i="6"/>
  <c r="AP245" i="6"/>
  <c r="AQ245" i="6"/>
  <c r="AP31" i="6"/>
  <c r="AQ31" i="6"/>
  <c r="AP241" i="6"/>
  <c r="AQ241" i="6"/>
  <c r="AP222" i="6"/>
  <c r="AQ222" i="6"/>
  <c r="AP145" i="6"/>
  <c r="AQ145" i="6"/>
  <c r="AP318" i="6"/>
  <c r="AQ318" i="6"/>
  <c r="AP252" i="6"/>
  <c r="AQ252" i="6"/>
  <c r="AQ19" i="6"/>
  <c r="AP19" i="6"/>
  <c r="AP372" i="6"/>
  <c r="AQ372" i="6"/>
  <c r="AP27" i="6"/>
  <c r="AQ391" i="6"/>
  <c r="AQ116" i="6"/>
  <c r="AP385" i="6"/>
  <c r="AQ385" i="6"/>
  <c r="AP363" i="6"/>
  <c r="AQ363" i="6"/>
  <c r="AP195" i="6"/>
  <c r="AQ195" i="6"/>
  <c r="AQ44" i="6"/>
  <c r="AP44" i="6"/>
  <c r="AP317" i="6"/>
  <c r="AQ317" i="6"/>
  <c r="AP120" i="6"/>
  <c r="AQ120" i="6"/>
  <c r="AP119" i="6"/>
  <c r="AQ119" i="6"/>
  <c r="AP118" i="6"/>
  <c r="AQ118" i="6"/>
  <c r="AP117" i="6"/>
  <c r="AQ117" i="6"/>
  <c r="AP247" i="6"/>
  <c r="AQ247" i="6"/>
  <c r="AQ352" i="6"/>
  <c r="AP352" i="6"/>
  <c r="AP314" i="6"/>
  <c r="AQ314" i="6"/>
  <c r="AP38" i="6"/>
  <c r="AQ38" i="6"/>
  <c r="AP128" i="6"/>
  <c r="AQ128" i="6"/>
  <c r="AP389" i="6"/>
  <c r="AQ389" i="6"/>
  <c r="AP366" i="6"/>
  <c r="AQ366" i="6"/>
  <c r="AP133" i="6"/>
  <c r="AQ133" i="6"/>
  <c r="AP320" i="6"/>
  <c r="AQ320" i="6"/>
  <c r="AP110" i="6"/>
  <c r="AQ110" i="6"/>
  <c r="AP203" i="6"/>
  <c r="AQ203" i="6"/>
  <c r="AP174" i="6"/>
  <c r="AQ174" i="6"/>
  <c r="AP104" i="6"/>
  <c r="AQ104" i="6"/>
  <c r="AP221" i="6"/>
  <c r="AQ221" i="6"/>
  <c r="AP188" i="6"/>
  <c r="AQ188" i="6"/>
  <c r="AP102" i="6"/>
  <c r="AQ102" i="6"/>
  <c r="AP99" i="6"/>
  <c r="AQ99" i="6"/>
  <c r="AP98" i="6"/>
  <c r="AQ98" i="6"/>
  <c r="AP143" i="6"/>
  <c r="AQ143" i="6"/>
  <c r="AQ28" i="6"/>
  <c r="AP28" i="6"/>
  <c r="AP168" i="6"/>
  <c r="AQ168" i="6"/>
  <c r="AP319" i="6"/>
  <c r="AQ319" i="6"/>
  <c r="AP93" i="6"/>
  <c r="AQ93" i="6"/>
  <c r="AQ92" i="6"/>
  <c r="AP92" i="6"/>
  <c r="AP240" i="6"/>
  <c r="AQ240" i="6"/>
  <c r="AQ90" i="6"/>
  <c r="AP90" i="6"/>
  <c r="AP129" i="6"/>
  <c r="AQ129" i="6"/>
  <c r="AP23" i="6"/>
  <c r="AQ23" i="6"/>
  <c r="AP88" i="6"/>
  <c r="AQ88" i="6"/>
  <c r="AP22" i="6"/>
  <c r="AQ22" i="6"/>
  <c r="AP264" i="6"/>
  <c r="AQ264" i="6"/>
  <c r="AP281" i="6"/>
  <c r="AQ281" i="6"/>
  <c r="AP287" i="6"/>
  <c r="AQ287" i="6"/>
  <c r="AP237" i="6"/>
  <c r="AQ237" i="6"/>
  <c r="AP21" i="6"/>
  <c r="AQ21" i="6"/>
  <c r="AP308" i="6"/>
  <c r="AQ308" i="6"/>
  <c r="AQ162" i="6"/>
  <c r="AP162" i="6"/>
  <c r="AP300" i="6"/>
  <c r="AQ300" i="6"/>
  <c r="AQ160" i="6"/>
  <c r="AP160" i="6"/>
  <c r="AP335" i="6"/>
  <c r="AQ335" i="6"/>
  <c r="AQ214" i="6"/>
  <c r="AP214" i="6"/>
  <c r="AP290" i="6"/>
  <c r="AQ290" i="6"/>
  <c r="AQ12" i="6"/>
  <c r="AP12" i="6"/>
  <c r="AP9" i="6"/>
  <c r="AQ9" i="6"/>
  <c r="AP66" i="6"/>
  <c r="AQ66" i="6"/>
  <c r="AP217" i="6"/>
  <c r="AQ217" i="6"/>
  <c r="AP224" i="6"/>
  <c r="AQ224" i="6"/>
  <c r="AP200" i="6"/>
  <c r="AQ200" i="6"/>
  <c r="AP154" i="6"/>
  <c r="AQ154" i="6"/>
  <c r="AP209" i="6"/>
  <c r="AQ209" i="6"/>
  <c r="AP74" i="6"/>
  <c r="AQ74" i="6"/>
  <c r="AP65" i="6"/>
  <c r="AQ65" i="6"/>
  <c r="AQ337" i="6"/>
  <c r="AP337" i="6"/>
  <c r="AP152" i="6"/>
  <c r="AQ152" i="6"/>
  <c r="AP227" i="6"/>
  <c r="AQ227" i="6"/>
  <c r="AP336" i="6"/>
  <c r="AQ336" i="6"/>
  <c r="AQ296" i="6"/>
  <c r="AP274" i="6"/>
  <c r="AP370" i="6"/>
  <c r="AQ331" i="6"/>
  <c r="AP153" i="6"/>
  <c r="AQ193" i="6"/>
  <c r="AQ176" i="6"/>
  <c r="AP219" i="6"/>
  <c r="AP234" i="6"/>
  <c r="AQ216" i="6"/>
  <c r="AP194" i="6"/>
  <c r="AQ36" i="6"/>
  <c r="AQ180" i="6"/>
  <c r="AQ29" i="6"/>
  <c r="AP202" i="6"/>
  <c r="AQ202" i="6"/>
  <c r="AP249" i="6"/>
  <c r="AQ249" i="6"/>
  <c r="AP181" i="6"/>
  <c r="AQ181" i="6"/>
  <c r="AP115" i="6"/>
  <c r="AQ115" i="6"/>
  <c r="AP112" i="6"/>
  <c r="AQ112" i="6"/>
  <c r="AP284" i="6"/>
  <c r="AQ284" i="6"/>
  <c r="AP367" i="6"/>
  <c r="AQ367" i="6"/>
  <c r="AP261" i="6"/>
  <c r="AQ261" i="6"/>
  <c r="AP233" i="6"/>
  <c r="AQ233" i="6"/>
  <c r="AQ371" i="6"/>
  <c r="AQ291" i="6"/>
  <c r="AP286" i="6"/>
  <c r="AQ273" i="6"/>
  <c r="AQ256" i="6"/>
  <c r="AQ275" i="6"/>
  <c r="AQ184" i="6"/>
  <c r="AQ315" i="6"/>
  <c r="AQ242" i="6"/>
  <c r="AQ198" i="6"/>
  <c r="AP49" i="6"/>
  <c r="AP347" i="6"/>
  <c r="AP229" i="6"/>
  <c r="AP359" i="6"/>
  <c r="AQ347" i="6"/>
  <c r="AP73" i="6"/>
  <c r="AQ207" i="6"/>
  <c r="AQ228" i="6"/>
  <c r="AQ15" i="6"/>
  <c r="AQ345" i="6"/>
  <c r="AQ134" i="6"/>
  <c r="AQ155" i="6"/>
  <c r="AQ225" i="6"/>
  <c r="AQ339" i="6"/>
  <c r="AQ348" i="6"/>
  <c r="AQ57" i="6"/>
  <c r="AQ190" i="6"/>
  <c r="AQ157" i="6"/>
  <c r="AQ250" i="6"/>
  <c r="AQ149" i="6"/>
  <c r="AQ80" i="6"/>
  <c r="AQ279" i="6"/>
  <c r="AQ231" i="6"/>
  <c r="AQ303" i="6"/>
  <c r="AQ333" i="6"/>
  <c r="AQ68" i="6"/>
  <c r="AQ150" i="6"/>
  <c r="AQ365" i="6"/>
  <c r="AQ346" i="6"/>
  <c r="AQ289" i="6"/>
  <c r="AQ69" i="6"/>
  <c r="AQ151" i="6"/>
  <c r="AQ326" i="6"/>
  <c r="AQ16" i="6"/>
  <c r="AQ8" i="6"/>
  <c r="AQ4" i="6"/>
  <c r="AQ201" i="6"/>
  <c r="AQ305" i="6"/>
  <c r="P395" i="5"/>
  <c r="T395" i="5"/>
  <c r="S395" i="5"/>
  <c r="R395" i="5"/>
  <c r="Q395" i="5"/>
  <c r="U395" i="5"/>
  <c r="AQ397" i="6" l="1"/>
  <c r="AP397" i="6"/>
  <c r="J394" i="1" l="1"/>
  <c r="L394" i="1"/>
  <c r="M394" i="1"/>
  <c r="F393" i="1"/>
  <c r="G393" i="1"/>
  <c r="H393" i="1"/>
  <c r="I393" i="1"/>
  <c r="J393" i="1"/>
  <c r="K393" i="1"/>
  <c r="L393" i="1"/>
  <c r="M393" i="1"/>
  <c r="C393" i="1"/>
</calcChain>
</file>

<file path=xl/sharedStrings.xml><?xml version="1.0" encoding="utf-8"?>
<sst xmlns="http://schemas.openxmlformats.org/spreadsheetml/2006/main" count="58869" uniqueCount="3737">
  <si>
    <t>Location</t>
  </si>
  <si>
    <t>FSCS</t>
  </si>
  <si>
    <t>Report Start Period</t>
  </si>
  <si>
    <t>Report End Period</t>
  </si>
  <si>
    <t>Library Class</t>
  </si>
  <si>
    <t>Number of Central Libraries</t>
  </si>
  <si>
    <t>Number of Branch Libraries</t>
  </si>
  <si>
    <t>Number of Bookmobiles</t>
  </si>
  <si>
    <t>Total Number of Outlets</t>
  </si>
  <si>
    <t>Central Library(ies) Square Feet</t>
  </si>
  <si>
    <t>Branch(es) Square Feet</t>
  </si>
  <si>
    <t>Total Square Feet</t>
  </si>
  <si>
    <t>Total Annual Public Service Hours</t>
  </si>
  <si>
    <t>Addison Township Public Library</t>
  </si>
  <si>
    <t>MI0405</t>
  </si>
  <si>
    <t>01/01/2019</t>
  </si>
  <si>
    <t>12/31/2019</t>
  </si>
  <si>
    <t>Class 2: Serve 4,000-6,999</t>
  </si>
  <si>
    <t>Adrian District Library</t>
  </si>
  <si>
    <t>MI0406</t>
  </si>
  <si>
    <t>07/01/2019</t>
  </si>
  <si>
    <t>06/30/2020</t>
  </si>
  <si>
    <t>Class 4: Serve 12,000-25,999</t>
  </si>
  <si>
    <t>Aitkin Memorial District Library</t>
  </si>
  <si>
    <t>MI0372</t>
  </si>
  <si>
    <t>Class 3: Serve 7,000-11,999</t>
  </si>
  <si>
    <t>Alanson Area Public Library</t>
  </si>
  <si>
    <t>MI0407</t>
  </si>
  <si>
    <t>Albion District Library</t>
  </si>
  <si>
    <t>MI0408</t>
  </si>
  <si>
    <t>Alcona County Library</t>
  </si>
  <si>
    <t>MI0409</t>
  </si>
  <si>
    <t>Alden District Library</t>
  </si>
  <si>
    <t>MI0147</t>
  </si>
  <si>
    <t>Class 1: Serve 3,999 or less</t>
  </si>
  <si>
    <t>Allegan District Library</t>
  </si>
  <si>
    <t>MI0410</t>
  </si>
  <si>
    <t>Allen Park Public Library</t>
  </si>
  <si>
    <t>MI9017</t>
  </si>
  <si>
    <t>Class 5: Serve 26,000-49,999</t>
  </si>
  <si>
    <t>Allendale Township Library</t>
  </si>
  <si>
    <t>MI0411</t>
  </si>
  <si>
    <t>Alma Public Library</t>
  </si>
  <si>
    <t>MI0412</t>
  </si>
  <si>
    <t>Almont District Library</t>
  </si>
  <si>
    <t>MI0149</t>
  </si>
  <si>
    <t>12/01/2018</t>
  </si>
  <si>
    <t>11/30/2019</t>
  </si>
  <si>
    <t>Alpena County Library</t>
  </si>
  <si>
    <t>MI0414</t>
  </si>
  <si>
    <t>Alvah N. Belding Memorial Library</t>
  </si>
  <si>
    <t>MI0010</t>
  </si>
  <si>
    <t>Ann Arbor District Library</t>
  </si>
  <si>
    <t>MI0012</t>
  </si>
  <si>
    <t>Class 6: Serve 50,000+</t>
  </si>
  <si>
    <t>Armada Free Public Library</t>
  </si>
  <si>
    <t>MI0013</t>
  </si>
  <si>
    <t>Ashley District Library</t>
  </si>
  <si>
    <t>MI9010</t>
  </si>
  <si>
    <t>Athens Community Library</t>
  </si>
  <si>
    <t>MI0014</t>
  </si>
  <si>
    <t>04/01/2019</t>
  </si>
  <si>
    <t>03/31/2020</t>
  </si>
  <si>
    <t>Auburn Hills Public Library</t>
  </si>
  <si>
    <t>MI0015</t>
  </si>
  <si>
    <t>Augusta-Ross Township District Library</t>
  </si>
  <si>
    <t>MI0016</t>
  </si>
  <si>
    <t>Bacon Memorial District Library</t>
  </si>
  <si>
    <t>MI0017</t>
  </si>
  <si>
    <t>Bad Axe District Library</t>
  </si>
  <si>
    <t>MI0018</t>
  </si>
  <si>
    <t>Baldwin Public Library</t>
  </si>
  <si>
    <t>MI0019</t>
  </si>
  <si>
    <t>Barryton Public Library</t>
  </si>
  <si>
    <t>MI0020</t>
  </si>
  <si>
    <t>Bath Township Public Library</t>
  </si>
  <si>
    <t>MI9026</t>
  </si>
  <si>
    <t>Bay County Library System</t>
  </si>
  <si>
    <t>MI0021</t>
  </si>
  <si>
    <t>Beaver Island District Library</t>
  </si>
  <si>
    <t>MI0023</t>
  </si>
  <si>
    <t>Bellaire Public Library</t>
  </si>
  <si>
    <t>MI0024</t>
  </si>
  <si>
    <t>Belleville Area District Library</t>
  </si>
  <si>
    <t>MI0430</t>
  </si>
  <si>
    <t>Bellevue Township Library</t>
  </si>
  <si>
    <t>MI0025</t>
  </si>
  <si>
    <t>Benton Harbor Public Library</t>
  </si>
  <si>
    <t>MI0027</t>
  </si>
  <si>
    <t>Benzie Shores District Library</t>
  </si>
  <si>
    <t>MI0114</t>
  </si>
  <si>
    <t>Benzonia Public Library</t>
  </si>
  <si>
    <t>MI0029</t>
  </si>
  <si>
    <t>Berkley Public Library</t>
  </si>
  <si>
    <t>MI0030</t>
  </si>
  <si>
    <t>Berrien Springs Community Library</t>
  </si>
  <si>
    <t>MI0031</t>
  </si>
  <si>
    <t>Bessemer Public Library</t>
  </si>
  <si>
    <t>MI0032</t>
  </si>
  <si>
    <t>Betsie Valley District Library</t>
  </si>
  <si>
    <t>MI0033</t>
  </si>
  <si>
    <t>10/01/2019</t>
  </si>
  <si>
    <t>09/30/2020</t>
  </si>
  <si>
    <t>Big Rapids Community Library</t>
  </si>
  <si>
    <t>MI0035</t>
  </si>
  <si>
    <t>Blair Memorial Library</t>
  </si>
  <si>
    <t>MI0036</t>
  </si>
  <si>
    <t>Bloomfield Township Public Library</t>
  </si>
  <si>
    <t>MI0037</t>
  </si>
  <si>
    <t>Boyne District Library</t>
  </si>
  <si>
    <t>MI0038</t>
  </si>
  <si>
    <t>05/01/2019</t>
  </si>
  <si>
    <t>04/30/2020</t>
  </si>
  <si>
    <t>Branch District Library</t>
  </si>
  <si>
    <t>MI0039</t>
  </si>
  <si>
    <t>Brandon Township Public Library</t>
  </si>
  <si>
    <t>MI0040</t>
  </si>
  <si>
    <t>Bridgeport Public Library</t>
  </si>
  <si>
    <t>MI0041</t>
  </si>
  <si>
    <t>Bridgman Public Library</t>
  </si>
  <si>
    <t>MI0042</t>
  </si>
  <si>
    <t>Briggs District Library</t>
  </si>
  <si>
    <t>MI0026</t>
  </si>
  <si>
    <t>Brighton District Library</t>
  </si>
  <si>
    <t>MI0043</t>
  </si>
  <si>
    <t>Brown City Public Library</t>
  </si>
  <si>
    <t>MI0044</t>
  </si>
  <si>
    <t>Buchanan District Library</t>
  </si>
  <si>
    <t>MI0045</t>
  </si>
  <si>
    <t>Bullard Sanford Memorial Library</t>
  </si>
  <si>
    <t>MI0046</t>
  </si>
  <si>
    <t>Burr Oak Township Library</t>
  </si>
  <si>
    <t>MI0048</t>
  </si>
  <si>
    <t>Cadillac-Wexford County Public Library</t>
  </si>
  <si>
    <t>MI0049</t>
  </si>
  <si>
    <t>Calumet Public School Library</t>
  </si>
  <si>
    <t>MI0050</t>
  </si>
  <si>
    <t>Camden Township Library</t>
  </si>
  <si>
    <t>MI0051</t>
  </si>
  <si>
    <t>Canton Public Library</t>
  </si>
  <si>
    <t>MI0052</t>
  </si>
  <si>
    <t>Capital Area District Libraries</t>
  </si>
  <si>
    <t>MI0424</t>
  </si>
  <si>
    <t>Caro Area District Library</t>
  </si>
  <si>
    <t>MI0168</t>
  </si>
  <si>
    <t>Carp Lake Township Library</t>
  </si>
  <si>
    <t>MI0053</t>
  </si>
  <si>
    <t>Carson City Public Library</t>
  </si>
  <si>
    <t>MI0054</t>
  </si>
  <si>
    <t>Cass District Library</t>
  </si>
  <si>
    <t>MI0055</t>
  </si>
  <si>
    <t>Cedar Springs Public Library</t>
  </si>
  <si>
    <t>MI0056</t>
  </si>
  <si>
    <t>Center Line Public Library</t>
  </si>
  <si>
    <t>MI0057</t>
  </si>
  <si>
    <t>Central Lake District Library</t>
  </si>
  <si>
    <t>MI0058</t>
  </si>
  <si>
    <t>Charles A. Ransom District Library</t>
  </si>
  <si>
    <t>MI0059</t>
  </si>
  <si>
    <t>Charlevoix Public Library</t>
  </si>
  <si>
    <t>MI0060</t>
  </si>
  <si>
    <t>Charlotte Community Library</t>
  </si>
  <si>
    <t>MI0061</t>
  </si>
  <si>
    <t>Chase Township Public Library</t>
  </si>
  <si>
    <t>MI0062</t>
  </si>
  <si>
    <t>Cheboygan Area Public Library</t>
  </si>
  <si>
    <t>MI0063</t>
  </si>
  <si>
    <t>Chelsea District Library</t>
  </si>
  <si>
    <t>MI0223</t>
  </si>
  <si>
    <t>Chesterfield Township Library</t>
  </si>
  <si>
    <t>MI0416</t>
  </si>
  <si>
    <t>Chippewa River District Library System</t>
  </si>
  <si>
    <t>MI0348</t>
  </si>
  <si>
    <t>Clarkston Independence District Library</t>
  </si>
  <si>
    <t>MI0166</t>
  </si>
  <si>
    <t>Clinton Township Public Library</t>
  </si>
  <si>
    <t>MI0065</t>
  </si>
  <si>
    <t>Clinton-Macomb Public Library</t>
  </si>
  <si>
    <t>MI0397</t>
  </si>
  <si>
    <t>Coleman Area Library</t>
  </si>
  <si>
    <t>MI0066</t>
  </si>
  <si>
    <t>Coloma Public Library</t>
  </si>
  <si>
    <t>MI0067</t>
  </si>
  <si>
    <t>Colon Township Library</t>
  </si>
  <si>
    <t>MI0068</t>
  </si>
  <si>
    <t>Columbia Township Library</t>
  </si>
  <si>
    <t>MI0069</t>
  </si>
  <si>
    <t>Commerce Township Community Library</t>
  </si>
  <si>
    <t>MI0426</t>
  </si>
  <si>
    <t>Community District Library</t>
  </si>
  <si>
    <t>MI0310</t>
  </si>
  <si>
    <t>Comstock Township Library</t>
  </si>
  <si>
    <t>MI0070</t>
  </si>
  <si>
    <t>Constantine Township Library</t>
  </si>
  <si>
    <t>MI0071</t>
  </si>
  <si>
    <t>Coopersville Area District Library</t>
  </si>
  <si>
    <t>MI0072</t>
  </si>
  <si>
    <t>Crawford County Library</t>
  </si>
  <si>
    <t>MI0074</t>
  </si>
  <si>
    <t>Cromaine District Library</t>
  </si>
  <si>
    <t>MI0075</t>
  </si>
  <si>
    <t>Crooked Tree District Library</t>
  </si>
  <si>
    <t>MI0076</t>
  </si>
  <si>
    <t>Croton Township Library</t>
  </si>
  <si>
    <t>MI0429</t>
  </si>
  <si>
    <t>Crystal Falls District Community Library</t>
  </si>
  <si>
    <t>MI0077</t>
  </si>
  <si>
    <t>Curtis Township Library</t>
  </si>
  <si>
    <t>MI0417</t>
  </si>
  <si>
    <t>Darcy Library of Beulah</t>
  </si>
  <si>
    <t>MI0034</t>
  </si>
  <si>
    <t>Dearborn Heights City Libraries</t>
  </si>
  <si>
    <t>MI0425</t>
  </si>
  <si>
    <t>Dearborn Public Library</t>
  </si>
  <si>
    <t>MI0078</t>
  </si>
  <si>
    <t>Deckerville Public Library</t>
  </si>
  <si>
    <t>MI0080</t>
  </si>
  <si>
    <t>Delta Township District Library</t>
  </si>
  <si>
    <t>MI9009</t>
  </si>
  <si>
    <t>Delton District Library</t>
  </si>
  <si>
    <t>MI0081</t>
  </si>
  <si>
    <t>Detroit Public Library</t>
  </si>
  <si>
    <t>MI0083</t>
  </si>
  <si>
    <t>DeWitt District Library</t>
  </si>
  <si>
    <t>MI0106</t>
  </si>
  <si>
    <t>Dexter District Library</t>
  </si>
  <si>
    <t>MI0084</t>
  </si>
  <si>
    <t>Dickinson County Library</t>
  </si>
  <si>
    <t>MI0085</t>
  </si>
  <si>
    <t>Dorothy Hull Library - Windsor Township</t>
  </si>
  <si>
    <t>MI0373</t>
  </si>
  <si>
    <t>Dorr Township Library</t>
  </si>
  <si>
    <t>MI0086</t>
  </si>
  <si>
    <t>Dowagiac District Library</t>
  </si>
  <si>
    <t>MI0087</t>
  </si>
  <si>
    <t>Dowling Public Library</t>
  </si>
  <si>
    <t>MI0088</t>
  </si>
  <si>
    <t>Dryden Township Library</t>
  </si>
  <si>
    <t>MI0089</t>
  </si>
  <si>
    <t>East Lansing Public Library</t>
  </si>
  <si>
    <t>MI0093</t>
  </si>
  <si>
    <t>Eastpointe Memorial Library</t>
  </si>
  <si>
    <t>MI0092</t>
  </si>
  <si>
    <t>Eaton Rapids Area District Library</t>
  </si>
  <si>
    <t>MI0094</t>
  </si>
  <si>
    <t>Eau Claire District Library</t>
  </si>
  <si>
    <t>MI0095</t>
  </si>
  <si>
    <t>08/01/2019</t>
  </si>
  <si>
    <t>07/31/2020</t>
  </si>
  <si>
    <t>Ecorse Public Library</t>
  </si>
  <si>
    <t>MI9021</t>
  </si>
  <si>
    <t>Elk Rapids District Library</t>
  </si>
  <si>
    <t>MI0098</t>
  </si>
  <si>
    <t>03/01/2019</t>
  </si>
  <si>
    <t>02/28/2020</t>
  </si>
  <si>
    <t>Elk Township Library</t>
  </si>
  <si>
    <t>MI0099</t>
  </si>
  <si>
    <t>Elsie Public Library</t>
  </si>
  <si>
    <t>MI0100</t>
  </si>
  <si>
    <t>Escanaba Public Library</t>
  </si>
  <si>
    <t>MI0101</t>
  </si>
  <si>
    <t>Evart Public Library</t>
  </si>
  <si>
    <t>MI0102</t>
  </si>
  <si>
    <t>Fairgrove District Library</t>
  </si>
  <si>
    <t>MI0103</t>
  </si>
  <si>
    <t>Farmington Community Library</t>
  </si>
  <si>
    <t>MI0105</t>
  </si>
  <si>
    <t>Fennville District Library</t>
  </si>
  <si>
    <t>MI0107</t>
  </si>
  <si>
    <t>Ferndale Area District Library</t>
  </si>
  <si>
    <t>MI0108</t>
  </si>
  <si>
    <t>Fife Lake Public Library</t>
  </si>
  <si>
    <t>MI0109</t>
  </si>
  <si>
    <t>Flat River Community Library</t>
  </si>
  <si>
    <t>MI0133</t>
  </si>
  <si>
    <t>Flat Rock Public Library</t>
  </si>
  <si>
    <t>MI0421</t>
  </si>
  <si>
    <t>Flint Public Library</t>
  </si>
  <si>
    <t>MI0111</t>
  </si>
  <si>
    <t>Forsyth Township Public Library</t>
  </si>
  <si>
    <t>MI0112</t>
  </si>
  <si>
    <t>Fowlerville District Library</t>
  </si>
  <si>
    <t>MI0113</t>
  </si>
  <si>
    <t>Frankenmuth James E. Wickson District Library</t>
  </si>
  <si>
    <t>MI0177</t>
  </si>
  <si>
    <t>Franklin Public Library</t>
  </si>
  <si>
    <t>MI0115</t>
  </si>
  <si>
    <t>Fraser Public Library</t>
  </si>
  <si>
    <t>MI0116</t>
  </si>
  <si>
    <t>Freeport District Library</t>
  </si>
  <si>
    <t>MI0117</t>
  </si>
  <si>
    <t>Fremont Area District Library</t>
  </si>
  <si>
    <t>MI0118</t>
  </si>
  <si>
    <t>Fruitport District Library</t>
  </si>
  <si>
    <t>MI9022</t>
  </si>
  <si>
    <t>Galesburg-Charleston Memorial District Library</t>
  </si>
  <si>
    <t>MI0119</t>
  </si>
  <si>
    <t>Galien Township Public Library</t>
  </si>
  <si>
    <t>MI0120</t>
  </si>
  <si>
    <t>Garden City Public Library</t>
  </si>
  <si>
    <t>MI0121</t>
  </si>
  <si>
    <t>Gary Byker Memorial Library of Hudsonville</t>
  </si>
  <si>
    <t>MI0162</t>
  </si>
  <si>
    <t>Genesee District Library</t>
  </si>
  <si>
    <t>MI0123</t>
  </si>
  <si>
    <t>George W. Spindler Memorial Library</t>
  </si>
  <si>
    <t>MI0376</t>
  </si>
  <si>
    <t>Georgetown Township Public Library</t>
  </si>
  <si>
    <t>MI0124</t>
  </si>
  <si>
    <t>Gladstone School &amp; Public Library</t>
  </si>
  <si>
    <t>MI0126</t>
  </si>
  <si>
    <t>Gladwin County District Library</t>
  </si>
  <si>
    <t>MI0127</t>
  </si>
  <si>
    <t>Glen Lake Community Library</t>
  </si>
  <si>
    <t>MI0128</t>
  </si>
  <si>
    <t>Goodland Township Library</t>
  </si>
  <si>
    <t>MI0436</t>
  </si>
  <si>
    <t>Grace A. Dow Memorial Library</t>
  </si>
  <si>
    <t>MI0129</t>
  </si>
  <si>
    <t>Grand Ledge Area District Library</t>
  </si>
  <si>
    <t>MI0130</t>
  </si>
  <si>
    <t>Grand Rapids Public Library</t>
  </si>
  <si>
    <t>MI0131</t>
  </si>
  <si>
    <t>Grant Area District Library</t>
  </si>
  <si>
    <t>MI0132</t>
  </si>
  <si>
    <t>Grosse Pointe Public Library</t>
  </si>
  <si>
    <t>MI0134</t>
  </si>
  <si>
    <t>Hackley Public Library</t>
  </si>
  <si>
    <t>MI0135</t>
  </si>
  <si>
    <t>Hamburg Township Library</t>
  </si>
  <si>
    <t>MI0137</t>
  </si>
  <si>
    <t>Hamtramck Public Library</t>
  </si>
  <si>
    <t>MI0138</t>
  </si>
  <si>
    <t>Harbor Beach Area District Library</t>
  </si>
  <si>
    <t>MI0140</t>
  </si>
  <si>
    <t>Harper Woods Public Library</t>
  </si>
  <si>
    <t>MI0141</t>
  </si>
  <si>
    <t>Harrison District Library</t>
  </si>
  <si>
    <t>MI0142</t>
  </si>
  <si>
    <t>Harrison Township Public Library</t>
  </si>
  <si>
    <t>MI0435</t>
  </si>
  <si>
    <t>Hart Area Public Library</t>
  </si>
  <si>
    <t>MI0143</t>
  </si>
  <si>
    <t>Hartford Public Library</t>
  </si>
  <si>
    <t>MI0144</t>
  </si>
  <si>
    <t>Hastings Public Library</t>
  </si>
  <si>
    <t>MI0145</t>
  </si>
  <si>
    <t>Hazel Park Memorial District Library</t>
  </si>
  <si>
    <t>MI0146</t>
  </si>
  <si>
    <t>Henika District Library</t>
  </si>
  <si>
    <t>MI0148</t>
  </si>
  <si>
    <t>Herrick District Library</t>
  </si>
  <si>
    <t>MI0150</t>
  </si>
  <si>
    <t>Hesperia Community Library</t>
  </si>
  <si>
    <t>MI0151</t>
  </si>
  <si>
    <t>Highland Township Public Library</t>
  </si>
  <si>
    <t>MI0152</t>
  </si>
  <si>
    <t>Hillsdale Community Library</t>
  </si>
  <si>
    <t>MI0232</t>
  </si>
  <si>
    <t>Holly Township Library</t>
  </si>
  <si>
    <t>MI0153</t>
  </si>
  <si>
    <t>Home Township Library</t>
  </si>
  <si>
    <t>MI0154</t>
  </si>
  <si>
    <t>Homer Public Library</t>
  </si>
  <si>
    <t>MI0155</t>
  </si>
  <si>
    <t>Hopkins District Library</t>
  </si>
  <si>
    <t>MI0157</t>
  </si>
  <si>
    <t>Houghton Lake Public Library</t>
  </si>
  <si>
    <t>MI0158</t>
  </si>
  <si>
    <t>Howard Miller Library</t>
  </si>
  <si>
    <t>MI0378</t>
  </si>
  <si>
    <t>Howe Memorial Library</t>
  </si>
  <si>
    <t>MI0159</t>
  </si>
  <si>
    <t>Howell Carnegie District Library</t>
  </si>
  <si>
    <t>MI0160</t>
  </si>
  <si>
    <t>Hudson Carnegie District Library</t>
  </si>
  <si>
    <t>MI0161</t>
  </si>
  <si>
    <t>Huntington Woods Public Library</t>
  </si>
  <si>
    <t>MI0163</t>
  </si>
  <si>
    <t>Indian River Area Library</t>
  </si>
  <si>
    <t>MI0167</t>
  </si>
  <si>
    <t>Interlochen Public Library</t>
  </si>
  <si>
    <t>MI0170</t>
  </si>
  <si>
    <t>Ionia Community Library</t>
  </si>
  <si>
    <t>MI0136</t>
  </si>
  <si>
    <t>Iosco-Arenac District Library</t>
  </si>
  <si>
    <t>MI0171</t>
  </si>
  <si>
    <t>Ironwood Carnegie Library</t>
  </si>
  <si>
    <t>MI0172</t>
  </si>
  <si>
    <t>Ishpeming Carnegie Public Library</t>
  </si>
  <si>
    <t>MI0173</t>
  </si>
  <si>
    <t>J. C. Wheeler Public Library</t>
  </si>
  <si>
    <t>MI0174</t>
  </si>
  <si>
    <t>Jackson District Library</t>
  </si>
  <si>
    <t>MI0175</t>
  </si>
  <si>
    <t>Jacquelin E. Opperman Memorial Library</t>
  </si>
  <si>
    <t>MI0176</t>
  </si>
  <si>
    <t>Jonesville District Library</t>
  </si>
  <si>
    <t>MI0178</t>
  </si>
  <si>
    <t>Jordan Valley District Library</t>
  </si>
  <si>
    <t>MI0179</t>
  </si>
  <si>
    <t>Kalamazoo Public Library</t>
  </si>
  <si>
    <t>MI0180</t>
  </si>
  <si>
    <t>Kalkaska County Library</t>
  </si>
  <si>
    <t>MI0181</t>
  </si>
  <si>
    <t>Kent District Library</t>
  </si>
  <si>
    <t>MI0182</t>
  </si>
  <si>
    <t>L'Anse Area School-Public Library</t>
  </si>
  <si>
    <t>MI0184</t>
  </si>
  <si>
    <t>Laingsburg Public Library</t>
  </si>
  <si>
    <t>MI0186</t>
  </si>
  <si>
    <t>Lake Linden-Hubbell School/Public Library</t>
  </si>
  <si>
    <t>MI0187</t>
  </si>
  <si>
    <t>Lake Odessa Community Library</t>
  </si>
  <si>
    <t>MI0188</t>
  </si>
  <si>
    <t>02/29/2020</t>
  </si>
  <si>
    <t>Lapeer District Library</t>
  </si>
  <si>
    <t>MI0190</t>
  </si>
  <si>
    <t>Lawrence Memorial Public Library</t>
  </si>
  <si>
    <t>MI0191</t>
  </si>
  <si>
    <t>Lawton Public Library</t>
  </si>
  <si>
    <t>MI0192</t>
  </si>
  <si>
    <t>Leanna Hicks Public Library of Inkster</t>
  </si>
  <si>
    <t>MI0431</t>
  </si>
  <si>
    <t>Leelanau Township Library</t>
  </si>
  <si>
    <t>MI0193</t>
  </si>
  <si>
    <t>Leighton Township Library</t>
  </si>
  <si>
    <t>MI0422</t>
  </si>
  <si>
    <t>Leland Township Public Library</t>
  </si>
  <si>
    <t>MI0194</t>
  </si>
  <si>
    <t>Lenawee District Library</t>
  </si>
  <si>
    <t>MI0195</t>
  </si>
  <si>
    <t>Lenox Township Library</t>
  </si>
  <si>
    <t>MI0196</t>
  </si>
  <si>
    <t>LeRoy Community Library</t>
  </si>
  <si>
    <t>MI0197</t>
  </si>
  <si>
    <t>Lincoln Park Public Library</t>
  </si>
  <si>
    <t>MI9025</t>
  </si>
  <si>
    <t>Lincoln Township Public Library</t>
  </si>
  <si>
    <t>MI0198</t>
  </si>
  <si>
    <t>Litchfield District Library</t>
  </si>
  <si>
    <t>MI0199</t>
  </si>
  <si>
    <t>Livonia Public Library</t>
  </si>
  <si>
    <t>MI0200</t>
  </si>
  <si>
    <t>01/1/2019</t>
  </si>
  <si>
    <t>Lois Wagner Memorial Library</t>
  </si>
  <si>
    <t>MI0290</t>
  </si>
  <si>
    <t>Loutit District Library</t>
  </si>
  <si>
    <t>MI0201</t>
  </si>
  <si>
    <t>Luther Area Public Library</t>
  </si>
  <si>
    <t>MI0203</t>
  </si>
  <si>
    <t>Lyon Township Public Library</t>
  </si>
  <si>
    <t>MI0204</t>
  </si>
  <si>
    <t>Lyons Township District Library</t>
  </si>
  <si>
    <t>MI0205</t>
  </si>
  <si>
    <t>M. Alice Chapin Memorial Library</t>
  </si>
  <si>
    <t>MI0206</t>
  </si>
  <si>
    <t>MacDonald Public Library</t>
  </si>
  <si>
    <t>MI0242</t>
  </si>
  <si>
    <t>Mackinac Island Public Library</t>
  </si>
  <si>
    <t>MI0207</t>
  </si>
  <si>
    <t>Mackinaw Area Public Library</t>
  </si>
  <si>
    <t>MI0208</t>
  </si>
  <si>
    <t>Madison Heights Public Library</t>
  </si>
  <si>
    <t>MI0210</t>
  </si>
  <si>
    <t>Mancelona Township Library</t>
  </si>
  <si>
    <t>MI0211</t>
  </si>
  <si>
    <t>Manchester District Library</t>
  </si>
  <si>
    <t>MI0212</t>
  </si>
  <si>
    <t>06/01/2019</t>
  </si>
  <si>
    <t>05/31/2020</t>
  </si>
  <si>
    <t>Manistee County Library</t>
  </si>
  <si>
    <t>MI0213</t>
  </si>
  <si>
    <t>Manistique School &amp; Public Library</t>
  </si>
  <si>
    <t>MI0214</t>
  </si>
  <si>
    <t>Maple Rapids Public Library</t>
  </si>
  <si>
    <t>MI0215</t>
  </si>
  <si>
    <t>Marcellus Township Wood Memorial Library</t>
  </si>
  <si>
    <t>MI0216</t>
  </si>
  <si>
    <t>Marlette District Library</t>
  </si>
  <si>
    <t>MI0217</t>
  </si>
  <si>
    <t>Marshall District Library</t>
  </si>
  <si>
    <t>MI0218</t>
  </si>
  <si>
    <t>Mason County District Library</t>
  </si>
  <si>
    <t>MI0401</t>
  </si>
  <si>
    <t>Maud Preston Palenske Memorial Library</t>
  </si>
  <si>
    <t>MI0220</t>
  </si>
  <si>
    <t>Mayville District Public Library</t>
  </si>
  <si>
    <t>MI0221</t>
  </si>
  <si>
    <t>McBain Community Library</t>
  </si>
  <si>
    <t>MI0418</t>
  </si>
  <si>
    <t>Melvindale Public Library</t>
  </si>
  <si>
    <t>MI9018</t>
  </si>
  <si>
    <t>Mendon Township Library</t>
  </si>
  <si>
    <t>MI0225</t>
  </si>
  <si>
    <t>Menominee County Library</t>
  </si>
  <si>
    <t>MI0226</t>
  </si>
  <si>
    <t>Merrill District Library</t>
  </si>
  <si>
    <t>MI0227</t>
  </si>
  <si>
    <t>Milan Public Library</t>
  </si>
  <si>
    <t>MI0228</t>
  </si>
  <si>
    <t>Milford Public Library</t>
  </si>
  <si>
    <t>MI0229</t>
  </si>
  <si>
    <t>Millington Arbela District Library</t>
  </si>
  <si>
    <t>MI0230</t>
  </si>
  <si>
    <t>Missaukee District Library</t>
  </si>
  <si>
    <t>MI0231</t>
  </si>
  <si>
    <t>Monroe County Library System</t>
  </si>
  <si>
    <t>MI0233</t>
  </si>
  <si>
    <t>Montmorency County Public Libraries</t>
  </si>
  <si>
    <t>MI0234</t>
  </si>
  <si>
    <t>Moore Public Library</t>
  </si>
  <si>
    <t>MI0235</t>
  </si>
  <si>
    <t>Morton Township Public Library</t>
  </si>
  <si>
    <t>MI0236</t>
  </si>
  <si>
    <t>Mount Clemens Public Library</t>
  </si>
  <si>
    <t>MI0237</t>
  </si>
  <si>
    <t>Mulliken District Library</t>
  </si>
  <si>
    <t>MI0238</t>
  </si>
  <si>
    <t>Munising School Public Library</t>
  </si>
  <si>
    <t>MI0239</t>
  </si>
  <si>
    <t>Muskegon Area District Library</t>
  </si>
  <si>
    <t>MI0240</t>
  </si>
  <si>
    <t>Negaunee Public Library</t>
  </si>
  <si>
    <t>MI0241</t>
  </si>
  <si>
    <t>New Buffalo Township Public Library</t>
  </si>
  <si>
    <t>MI0243</t>
  </si>
  <si>
    <t>Newaygo Area District Library</t>
  </si>
  <si>
    <t>MI0244</t>
  </si>
  <si>
    <t>Niles District Library</t>
  </si>
  <si>
    <t>MI0245</t>
  </si>
  <si>
    <t>North Adams Community Memorial Library</t>
  </si>
  <si>
    <t>MI0246</t>
  </si>
  <si>
    <t>North Branch Township Library</t>
  </si>
  <si>
    <t>MI0247</t>
  </si>
  <si>
    <t>Northfield Township Area Library</t>
  </si>
  <si>
    <t>MI0379</t>
  </si>
  <si>
    <t>Northville District Library</t>
  </si>
  <si>
    <t>MI0248</t>
  </si>
  <si>
    <t>Nottawa Township Library</t>
  </si>
  <si>
    <t>MI0249</t>
  </si>
  <si>
    <t>Novi Public Library</t>
  </si>
  <si>
    <t>MI0250</t>
  </si>
  <si>
    <t>Oak Park Public Library</t>
  </si>
  <si>
    <t>MI0251</t>
  </si>
  <si>
    <t>Ogemaw District Library</t>
  </si>
  <si>
    <t>MI0253</t>
  </si>
  <si>
    <t>Ontonagon Township Library</t>
  </si>
  <si>
    <t>MI0254</t>
  </si>
  <si>
    <t>Orion Township Public Library</t>
  </si>
  <si>
    <t>MI0255</t>
  </si>
  <si>
    <t>Osceola Township School Public Library</t>
  </si>
  <si>
    <t>MI0256</t>
  </si>
  <si>
    <t>Oscoda County Library</t>
  </si>
  <si>
    <t>MI0257</t>
  </si>
  <si>
    <t>Otsego County Library</t>
  </si>
  <si>
    <t>MI0258</t>
  </si>
  <si>
    <t>Otsego District Public Library</t>
  </si>
  <si>
    <t>MI0259</t>
  </si>
  <si>
    <t>Ovid Public Library</t>
  </si>
  <si>
    <t>MI0260</t>
  </si>
  <si>
    <t>Oxford Public Library</t>
  </si>
  <si>
    <t>MI0262</t>
  </si>
  <si>
    <t>Parchment Community Library</t>
  </si>
  <si>
    <t>MI0263</t>
  </si>
  <si>
    <t>Pathfinder Community Library</t>
  </si>
  <si>
    <t>MI0264</t>
  </si>
  <si>
    <t>Patmos Library</t>
  </si>
  <si>
    <t>MI9012</t>
  </si>
  <si>
    <t>Paw Paw District Library</t>
  </si>
  <si>
    <t>MI0265</t>
  </si>
  <si>
    <t>Peninsula Community Library</t>
  </si>
  <si>
    <t>MI0266</t>
  </si>
  <si>
    <t>Pentwater Township Library</t>
  </si>
  <si>
    <t>MI0267</t>
  </si>
  <si>
    <t>Pere Marquette District Library</t>
  </si>
  <si>
    <t>MI0122</t>
  </si>
  <si>
    <t>Peter White Public Library</t>
  </si>
  <si>
    <t>MI0268</t>
  </si>
  <si>
    <t>Petoskey District Library</t>
  </si>
  <si>
    <t>MI0269</t>
  </si>
  <si>
    <t>Pigeon District Library</t>
  </si>
  <si>
    <t>MI0270</t>
  </si>
  <si>
    <t>Pinckney Community Public Library</t>
  </si>
  <si>
    <t>MI0271</t>
  </si>
  <si>
    <t>Pittsford Public Library</t>
  </si>
  <si>
    <t>MI0272</t>
  </si>
  <si>
    <t>Plymouth District Library</t>
  </si>
  <si>
    <t>MI0273</t>
  </si>
  <si>
    <t>Pontiac Public Library</t>
  </si>
  <si>
    <t>MI0274</t>
  </si>
  <si>
    <t>Port Austin Township Library</t>
  </si>
  <si>
    <t>MI0275</t>
  </si>
  <si>
    <t>Portage District Library</t>
  </si>
  <si>
    <t>MI0277</t>
  </si>
  <si>
    <t>Portage Lake District Library</t>
  </si>
  <si>
    <t>MI0276</t>
  </si>
  <si>
    <t>Portland District Library</t>
  </si>
  <si>
    <t>MI0278</t>
  </si>
  <si>
    <t>Potterville-Benton Township District Library</t>
  </si>
  <si>
    <t>MI0028</t>
  </si>
  <si>
    <t>Presque Isle District Library</t>
  </si>
  <si>
    <t>MI0279</t>
  </si>
  <si>
    <t>Public Libraries of Saginaw</t>
  </si>
  <si>
    <t>MI0299</t>
  </si>
  <si>
    <t>Putnam District Library</t>
  </si>
  <si>
    <t>MI0280</t>
  </si>
  <si>
    <t>Rauchholz Memorial Library</t>
  </si>
  <si>
    <t>MI0281</t>
  </si>
  <si>
    <t>Rawson Memorial Library</t>
  </si>
  <si>
    <t>MI0282</t>
  </si>
  <si>
    <t>Ray Township Public Library</t>
  </si>
  <si>
    <t>MI0427</t>
  </si>
  <si>
    <t>Reading Community Library</t>
  </si>
  <si>
    <t>MI0283</t>
  </si>
  <si>
    <t>Redford Township District Library</t>
  </si>
  <si>
    <t>MI0402</t>
  </si>
  <si>
    <t>Reed City Area District Library</t>
  </si>
  <si>
    <t>MI0284</t>
  </si>
  <si>
    <t>Reese Unity District Library</t>
  </si>
  <si>
    <t>MI0380</t>
  </si>
  <si>
    <t>Republic-Michigamme Public Library</t>
  </si>
  <si>
    <t>MI0285</t>
  </si>
  <si>
    <t>Richfield Township Public Library</t>
  </si>
  <si>
    <t>MI0287</t>
  </si>
  <si>
    <t>Richland Community Library</t>
  </si>
  <si>
    <t>MI0288</t>
  </si>
  <si>
    <t>Richland Township Library</t>
  </si>
  <si>
    <t>MI0289</t>
  </si>
  <si>
    <t>Richmond Township Library</t>
  </si>
  <si>
    <t>MI0291</t>
  </si>
  <si>
    <t>River Rapids District Library</t>
  </si>
  <si>
    <t>MI0064</t>
  </si>
  <si>
    <t>River Rouge Public Library</t>
  </si>
  <si>
    <t>MI9019</t>
  </si>
  <si>
    <t>Riverview Veterans Memorial Library</t>
  </si>
  <si>
    <t>MI0292</t>
  </si>
  <si>
    <t>Rochester Hills Public Library</t>
  </si>
  <si>
    <t>MI0293</t>
  </si>
  <si>
    <t>Romeo District Library</t>
  </si>
  <si>
    <t>MI0294</t>
  </si>
  <si>
    <t>Romulus Public Library</t>
  </si>
  <si>
    <t>MI0433</t>
  </si>
  <si>
    <t>Roscommon Area District Library</t>
  </si>
  <si>
    <t>MI0125</t>
  </si>
  <si>
    <t>Roseville Public Library</t>
  </si>
  <si>
    <t>MI0295</t>
  </si>
  <si>
    <t>Royal Oak Public Library</t>
  </si>
  <si>
    <t>MI0296</t>
  </si>
  <si>
    <t>Ruth Hughes Memorial District Library</t>
  </si>
  <si>
    <t>MI0165</t>
  </si>
  <si>
    <t>Saint Charles District Library</t>
  </si>
  <si>
    <t>MI0320</t>
  </si>
  <si>
    <t>Saint Clair County Library System</t>
  </si>
  <si>
    <t>MI0321</t>
  </si>
  <si>
    <t>Saint Clair Shores Public Library</t>
  </si>
  <si>
    <t>MI0322</t>
  </si>
  <si>
    <t>Saint Ignace Public Library</t>
  </si>
  <si>
    <t>MI0323</t>
  </si>
  <si>
    <t>Salem Township Library</t>
  </si>
  <si>
    <t>MI0423</t>
  </si>
  <si>
    <t>Salem-South Lyon District Library</t>
  </si>
  <si>
    <t>MI0315</t>
  </si>
  <si>
    <t>Saline District Library</t>
  </si>
  <si>
    <t>MI0300</t>
  </si>
  <si>
    <t>Sandusky District Library</t>
  </si>
  <si>
    <t>MI0301</t>
  </si>
  <si>
    <t>Sanilac District Library</t>
  </si>
  <si>
    <t>MI0302</t>
  </si>
  <si>
    <t>Saranac Public Library</t>
  </si>
  <si>
    <t>MI0303</t>
  </si>
  <si>
    <t>Saugatuck-Douglas District Library</t>
  </si>
  <si>
    <t>MI0304</t>
  </si>
  <si>
    <t>Schoolcraft Community Library</t>
  </si>
  <si>
    <t>MI0305</t>
  </si>
  <si>
    <t>Schultz-Holmes Memorial Library</t>
  </si>
  <si>
    <t>MI0428</t>
  </si>
  <si>
    <t>Sebewaing Township Library</t>
  </si>
  <si>
    <t>MI9007</t>
  </si>
  <si>
    <t>Seville Township Public Library</t>
  </si>
  <si>
    <t>MI0307</t>
  </si>
  <si>
    <t>Shelby Area District Library</t>
  </si>
  <si>
    <t>MI0309</t>
  </si>
  <si>
    <t>Shelby Township Library</t>
  </si>
  <si>
    <t>MI0308</t>
  </si>
  <si>
    <t>Sherman Township Library</t>
  </si>
  <si>
    <t>MI0432</t>
  </si>
  <si>
    <t>Shiawassee District Library</t>
  </si>
  <si>
    <t>MI0261</t>
  </si>
  <si>
    <t>Sleeper Public Library</t>
  </si>
  <si>
    <t>MI0311</t>
  </si>
  <si>
    <t>Sodus Township Library</t>
  </si>
  <si>
    <t>MI0312</t>
  </si>
  <si>
    <t>South Haven Memorial Library</t>
  </si>
  <si>
    <t>MI0314</t>
  </si>
  <si>
    <t>Southfield Public Library</t>
  </si>
  <si>
    <t>MI0316</t>
  </si>
  <si>
    <t>Southgate Veterans Memorial Library</t>
  </si>
  <si>
    <t>MI0434</t>
  </si>
  <si>
    <t>Sparta Carnegie Township Library</t>
  </si>
  <si>
    <t>MI0317</t>
  </si>
  <si>
    <t>Spies Public Library</t>
  </si>
  <si>
    <t>MI0318</t>
  </si>
  <si>
    <t>Spring Lake District Library</t>
  </si>
  <si>
    <t>MI0355</t>
  </si>
  <si>
    <t>Springfield Township Library</t>
  </si>
  <si>
    <t>MI0319</t>
  </si>
  <si>
    <t>Stair District Library</t>
  </si>
  <si>
    <t>MI0324</t>
  </si>
  <si>
    <t>Sterling Heights Public Library</t>
  </si>
  <si>
    <t>MI0325</t>
  </si>
  <si>
    <t>Sturgis District Library</t>
  </si>
  <si>
    <t>MI0326</t>
  </si>
  <si>
    <t>Sunfield District Library</t>
  </si>
  <si>
    <t>MI0327</t>
  </si>
  <si>
    <t>Superior District Library</t>
  </si>
  <si>
    <t>MI0022</t>
  </si>
  <si>
    <t>Surrey Township Public Library</t>
  </si>
  <si>
    <t>MI0328</t>
  </si>
  <si>
    <t>Suttons Bay-Bingham District Library</t>
  </si>
  <si>
    <t>MI0329</t>
  </si>
  <si>
    <t>Tahquamenon Area Public Library</t>
  </si>
  <si>
    <t>MI0330</t>
  </si>
  <si>
    <t>Tamarack District Library</t>
  </si>
  <si>
    <t>MI0331</t>
  </si>
  <si>
    <t>Taylor Community Library</t>
  </si>
  <si>
    <t>MI9024</t>
  </si>
  <si>
    <t>Taymouth Township Library</t>
  </si>
  <si>
    <t>MI0332</t>
  </si>
  <si>
    <t>Tecumseh District Library</t>
  </si>
  <si>
    <t>MI0333</t>
  </si>
  <si>
    <t>Tekonsha Township Public Library</t>
  </si>
  <si>
    <t>MI0334</t>
  </si>
  <si>
    <t>Theodore A. Cutler Memorial Library</t>
  </si>
  <si>
    <t>MI0335</t>
  </si>
  <si>
    <t>Thomas E. Fleschner Memorial Library</t>
  </si>
  <si>
    <t>MI0110</t>
  </si>
  <si>
    <t>Thomas Township Library</t>
  </si>
  <si>
    <t>MI0336</t>
  </si>
  <si>
    <t>Thompson Home Public Library</t>
  </si>
  <si>
    <t>MI0337</t>
  </si>
  <si>
    <t>Thornapple Kellogg School and Community Library</t>
  </si>
  <si>
    <t>MI0338</t>
  </si>
  <si>
    <t>Three Oaks Township Public Library</t>
  </si>
  <si>
    <t>MI0339</t>
  </si>
  <si>
    <t>Three Rivers Public Library</t>
  </si>
  <si>
    <t>MI0340</t>
  </si>
  <si>
    <t>Timothy C. Hauenstein Reynolds Township Library</t>
  </si>
  <si>
    <t>MI0286</t>
  </si>
  <si>
    <t>Topinabee Public Library</t>
  </si>
  <si>
    <t>MI0341</t>
  </si>
  <si>
    <t>Traverse Area District Library</t>
  </si>
  <si>
    <t>MI0342</t>
  </si>
  <si>
    <t>Trenton Veteran\'s Memorial Library</t>
  </si>
  <si>
    <t>MI9020</t>
  </si>
  <si>
    <t>Troy Public Library</t>
  </si>
  <si>
    <t>MI0343</t>
  </si>
  <si>
    <t>Utica Public Library</t>
  </si>
  <si>
    <t>MI0344</t>
  </si>
  <si>
    <t>Van Buren District Library</t>
  </si>
  <si>
    <t>MI0345</t>
  </si>
  <si>
    <t>Vermontville Township Library</t>
  </si>
  <si>
    <t>MI0346</t>
  </si>
  <si>
    <t>Vernon District Public Library</t>
  </si>
  <si>
    <t>MI0347</t>
  </si>
  <si>
    <t>Vicksburg District Library</t>
  </si>
  <si>
    <t>MI0349</t>
  </si>
  <si>
    <t>Wakefield Public Library</t>
  </si>
  <si>
    <t>MI0350</t>
  </si>
  <si>
    <t>Waldron District Library</t>
  </si>
  <si>
    <t>MI0351</t>
  </si>
  <si>
    <t>Walkerville Public/School Library</t>
  </si>
  <si>
    <t>MI0352</t>
  </si>
  <si>
    <t>Walled Lake City Library</t>
  </si>
  <si>
    <t>MI0353</t>
  </si>
  <si>
    <t>Walton Erickson Public Library</t>
  </si>
  <si>
    <t>MI0354</t>
  </si>
  <si>
    <t>Warren Public Library</t>
  </si>
  <si>
    <t>MI0356</t>
  </si>
  <si>
    <t>Waterford Township Public Library</t>
  </si>
  <si>
    <t>MI0358</t>
  </si>
  <si>
    <t>Watertown Township Library</t>
  </si>
  <si>
    <t>MI0359</t>
  </si>
  <si>
    <t>Watervliet District Library</t>
  </si>
  <si>
    <t>MI0360</t>
  </si>
  <si>
    <t>Wayne Public Library</t>
  </si>
  <si>
    <t>MI0403</t>
  </si>
  <si>
    <t>West Bloomfield Township Public Library</t>
  </si>
  <si>
    <t>MI0362</t>
  </si>
  <si>
    <t>West Branch District Library</t>
  </si>
  <si>
    <t>MI0363</t>
  </si>
  <si>
    <t>West Iron District Library</t>
  </si>
  <si>
    <t>MI0364</t>
  </si>
  <si>
    <t>Wheatland Township Library</t>
  </si>
  <si>
    <t>MI0365</t>
  </si>
  <si>
    <t>White Cloud Community Library</t>
  </si>
  <si>
    <t>MI0091</t>
  </si>
  <si>
    <t>White Lake Community Library</t>
  </si>
  <si>
    <t>MI0370</t>
  </si>
  <si>
    <t>White Lake Township Library</t>
  </si>
  <si>
    <t>MI0366</t>
  </si>
  <si>
    <t>White Pigeon Township Library</t>
  </si>
  <si>
    <t>MI0367</t>
  </si>
  <si>
    <t>White Pine District Library</t>
  </si>
  <si>
    <t>MI0368</t>
  </si>
  <si>
    <t>Whitefish Township Community Library</t>
  </si>
  <si>
    <t>MI0369</t>
  </si>
  <si>
    <t>Willard Public Library</t>
  </si>
  <si>
    <t>MI0371</t>
  </si>
  <si>
    <t>William P. Faust Public Library of Westland</t>
  </si>
  <si>
    <t>MI0415</t>
  </si>
  <si>
    <t>Wixom Public Library</t>
  </si>
  <si>
    <t>MI0374</t>
  </si>
  <si>
    <t>Wolverine Community Library</t>
  </si>
  <si>
    <t>MI0375</t>
  </si>
  <si>
    <t>Ypsilanti District Library</t>
  </si>
  <si>
    <t>MI0377</t>
  </si>
  <si>
    <t>PUBLIC LIBRARY SURVEY </t>
  </si>
  <si>
    <t>PART I: ADMINISTRATIVE ENTITY INFORMATION </t>
  </si>
  <si>
    <t>1. Report Start Period</t>
  </si>
  <si>
    <t>Most recent fiscal year completed prior to October 1, 2019, even if that means reporting less than 12 months of data. The reason for reporting less than 12 months of data could be due to a change in legal status, change in fiscal year, etc. If your reporting year has changed, please mail documentation authorizing the change (such as board minutes) to the Library of Michigan.</t>
  </si>
  <si>
    <t>2. Report End Period</t>
  </si>
  <si>
    <t>3. FSCS</t>
  </si>
  <si>
    <t>4. Current Legal Name of Main Library</t>
  </si>
  <si>
    <t>Provide the legal name of the main library that is current at the time of filing the annual report.</t>
  </si>
  <si>
    <t>5. Legal Name of Main Library at Reporting Year End</t>
  </si>
  <si>
    <t>6. Street Address</t>
  </si>
  <si>
    <t>The complete street address of the actual physical location of the main library. DO NOT report a post office box or general delivery.</t>
  </si>
  <si>
    <t>7. City</t>
  </si>
  <si>
    <t>The city or town in which the main library is located.</t>
  </si>
  <si>
    <t>8. Zip</t>
  </si>
  <si>
    <t>Include the five-digit postal zip code for the street address of the main library.</t>
  </si>
  <si>
    <t>9. Mailing Address</t>
  </si>
  <si>
    <t>The complete mailing address of the main library. DO NOT complete if this address is the same as the street address.</t>
  </si>
  <si>
    <t>10. Mailing City</t>
  </si>
  <si>
    <t>The city or town for the mailing address.</t>
  </si>
  <si>
    <t>11. Mailing ZIP Code</t>
  </si>
  <si>
    <t>Include the five-digit postal zip code for the mailing address of the main library.</t>
  </si>
  <si>
    <t>12. County</t>
  </si>
  <si>
    <t>The county in which the main library is located.</t>
  </si>
  <si>
    <t>13. Township</t>
  </si>
  <si>
    <t>The Township in which the main library is located.</t>
  </si>
  <si>
    <t>14. Cooperative</t>
  </si>
  <si>
    <t>Provide the name of the library cooperative if the library is a member at the time of filing the Annual Report. If the library is not a member at the time of filing, indicate "none."</t>
  </si>
  <si>
    <t>15. Phone Number</t>
  </si>
  <si>
    <t>Area code and telephone number of the main library.</t>
  </si>
  <si>
    <t>16. TDD Number</t>
  </si>
  <si>
    <t>Area code and telephone number to be used with a Telephone Device for the Deaf (TDD).</t>
  </si>
  <si>
    <t>17. Director's Name</t>
  </si>
  <si>
    <t>The name of the current official director of the main library. If the director position is vacant at the time of filing this report, provide the name and title for the acting or interim director and label as such.</t>
  </si>
  <si>
    <t>18. Email Address of Library Director</t>
  </si>
  <si>
    <t>The email address to be used to contact the library director.</t>
  </si>
  <si>
    <t>19. Fax</t>
  </si>
  <si>
    <t>Updated : 2015-12-21 13:11:35</t>
  </si>
  <si>
    <t>Area code and telephone number for the fax machine used for administrative purposes.</t>
  </si>
  <si>
    <t>20. Web Address</t>
  </si>
  <si>
    <t>If your library has a home page accessible over the Internet, please include the web address. (e.g. http://www.library.lib.mi.us/library.html)</t>
  </si>
  <si>
    <t>21. Has Friends Group?</t>
  </si>
  <si>
    <t>Updated : 2015-10-13 12:58:28</t>
  </si>
  <si>
    <t>Does the library have an active Friends' Group</t>
  </si>
  <si>
    <t>22. Library Class</t>
  </si>
  <si>
    <t>23. Administrative Structure Code</t>
  </si>
  <si>
    <t>Check the box that best identifies your library's administrative structure according to the described federal definitions. Administrative Entity with Multiple Direct Service Outlets where Administrative Offices are Separate: An administrative entity that serves the public directly with two or more service outlets, including some combination of central library(ies), branch(es), bookmobile(s), and/or books-by-mail only. The administrative offices are separate from the direct service outlets and do not provide direct library services. Administrative Entity with Multiple Direct Service Outlets where Administrative Offices are NOT Separate: An administrative entity that serves the public directly with two or more service outlets, including some combination of central library(ies), branch(es), bookmobile(s), and/or books-by-mail only. Administrative Entity with a Single Direct Service Outlet: An administrative entity that serves the public directly with one central library, books-by-mail only, or one bookmobile.</t>
  </si>
  <si>
    <t>24. ReEstablishDate</t>
  </si>
  <si>
    <t>If your library reorganized during the reporting year, please provide the reestablishment date.</t>
  </si>
  <si>
    <t>25. ReEstablishStatute</t>
  </si>
  <si>
    <t>If your library reorganized during the reporting year, please provide the reestablishment statute.</t>
  </si>
  <si>
    <t>26. Local Governance</t>
  </si>
  <si>
    <t>27. Type</t>
  </si>
  <si>
    <t>Check the "type name" reflecting the library's organizational structure according to establishment statutes at the end of your reporting year.</t>
  </si>
  <si>
    <t>Public Library Definition </t>
  </si>
  <si>
    <t>A public library is an entity that is established under state enabling laws or regulations to serve a community, district, or region, and that meets one or more of the listed criteria. Check all that apply based on the federal definition of a public library. </t>
  </si>
  <si>
    <t>28. Library has organized collection of printed or other library materials</t>
  </si>
  <si>
    <t>29. Library has paid staff</t>
  </si>
  <si>
    <t>30. Library has an established schedule in which services of the staff are available to the public</t>
  </si>
  <si>
    <t>31. Library facilities necessary to support collection, staff, and schedule</t>
  </si>
  <si>
    <t>32. Library is supported in whole or part with public funds</t>
  </si>
  <si>
    <t>33. Geographic Code</t>
  </si>
  <si>
    <t>34. Was there a legal service area boundary change during the reporting period?</t>
  </si>
  <si>
    <t>Answer Yes to this question, if there has been any change to the administrative entity's legal service area boundaries during the past year.</t>
  </si>
  <si>
    <t>Changes are likely to result, for example, when a municipality annexes land, when one municipality in a county becomes either an independent city or its own county necessitating its exclusion from the first county's geography, or when an administrative entity contracts to provide public library service for some additional geographic area other than the geographic area for which it was established (e.g., a municipality library contracts to serve county residents).</t>
  </si>
  <si>
    <t>PART II: OUTLETS </t>
  </si>
  <si>
    <t>Outlet Name </t>
  </si>
  <si>
    <t>State assigned identification number</t>
  </si>
  <si>
    <t>Updated : 2015-10-22 10:52:54</t>
  </si>
  <si>
    <t>Library System ID</t>
  </si>
  <si>
    <t>Outlet Name</t>
  </si>
  <si>
    <t>Outlet Address </t>
  </si>
  <si>
    <t>Physical Street Address</t>
  </si>
  <si>
    <t>The complete street address of the actual physical location of the outlet. DO NOT report a post office box or general delivery.</t>
  </si>
  <si>
    <t>City</t>
  </si>
  <si>
    <t>The city or town in which the outlet is located.</t>
  </si>
  <si>
    <t>ZIP Code</t>
  </si>
  <si>
    <t>Include the five-digit postal zip code for the street address of the outlet.</t>
  </si>
  <si>
    <t>County</t>
  </si>
  <si>
    <t>The county in which the outlet is located.</t>
  </si>
  <si>
    <t>Outlet Phone &amp; Codes </t>
  </si>
  <si>
    <t>Phone</t>
  </si>
  <si>
    <t>Outlet Type Code</t>
  </si>
  <si>
    <t>Metropolitan Status Code</t>
  </si>
  <si>
    <t>Outlet Counts </t>
  </si>
  <si>
    <t>Area in Square Feet of outlet</t>
  </si>
  <si>
    <t>Public Service Hours Per Year</t>
  </si>
  <si>
    <t>This is the number of annual public service hours for outlets (reported individually by central, branch, bookmobile) Note: Include the actual hours open for public service for centrals, branches, and bookmobiles. For each bookmobile, count only the hours during which the bookmobile is open to the public. Minor variations in public service hours need not be included. Extensive hours closed to the public due to natural disasters or other events should be excluded from the count.</t>
  </si>
  <si>
    <t>Number of Weeks Open</t>
  </si>
  <si>
    <t>This is the number of weeks during the year that an outlet was open to the public. Note: Include the number of weeks open for public service for Centrals, Branches, Bookmobiles. For each bookmobile, count only the weeks during which the bookmobile is open to the public. The count should be based on the number of weeks that a library outlet was open for half or more of its scheduled service hours. Extensive weeks closed to the public due to natural disasters or other events should be excluded from the count. Do not calculate based on total number of service hours per year at the outlet level. For example, by dividing total hours by 52 (weeks). Round to the nearest whole number of weeks. If the library was open half or more of its scheduled hours in a given week, round up to the next week. If the library was open less than half of its scheduled hours, round down.</t>
  </si>
  <si>
    <t>Contact </t>
  </si>
  <si>
    <t>Fax</t>
  </si>
  <si>
    <t>Updated : 2016-07-18 13:57:20</t>
  </si>
  <si>
    <t>Email</t>
  </si>
  <si>
    <t>The email address to be used to contact the head of library outlet.</t>
  </si>
  <si>
    <t>URL</t>
  </si>
  <si>
    <t>If your outlet has a home page accessible over the Internet, please include the web address. (e.g. http://www.library.lib.mi.us/library.html)</t>
  </si>
  <si>
    <t>Contact Name </t>
  </si>
  <si>
    <t>Director Name</t>
  </si>
  <si>
    <t>The name of the current official head of the outlet. If the position is vacant at the time of filing this report, provide the name and title for the acting or interim head and label as such.</t>
  </si>
  <si>
    <t>Title</t>
  </si>
  <si>
    <t>Current Library Schedule </t>
  </si>
  <si>
    <t>Current Open Time Monday</t>
  </si>
  <si>
    <t>Current Closed Time Monday</t>
  </si>
  <si>
    <t>Current Open Time Tuesday</t>
  </si>
  <si>
    <t>Current Closed Time Tuesday</t>
  </si>
  <si>
    <t>Current Open Time Wednesday</t>
  </si>
  <si>
    <t>Current Closed Time Wednesday</t>
  </si>
  <si>
    <t>Current Open Time Thursday</t>
  </si>
  <si>
    <t>Current Closed Time Thursday</t>
  </si>
  <si>
    <t>Current Open Time Friday</t>
  </si>
  <si>
    <t>Current Closed Time Friday</t>
  </si>
  <si>
    <t>Current Open Time Saturday</t>
  </si>
  <si>
    <t>Current Closed Time Saturday</t>
  </si>
  <si>
    <t>Current Open Time Sunday</t>
  </si>
  <si>
    <t>Current Closed Time Sunday</t>
  </si>
  <si>
    <t>Alternate Dates </t>
  </si>
  <si>
    <t>Alternate Start Date</t>
  </si>
  <si>
    <t>Alternate End Date</t>
  </si>
  <si>
    <t>Alternate Library Schedule </t>
  </si>
  <si>
    <t>Alternate Open Time Monday</t>
  </si>
  <si>
    <t>Alternate Closed Time Monday</t>
  </si>
  <si>
    <t>Alternate Open Time Tuesday</t>
  </si>
  <si>
    <t>Alternate Closed Time Tuesday</t>
  </si>
  <si>
    <t>Alternate Open Time Wednesday</t>
  </si>
  <si>
    <t>Alternate Closed Time Wednesday</t>
  </si>
  <si>
    <t>Alternate Open Time Thursday</t>
  </si>
  <si>
    <t>Alternate Closed Time Thursday</t>
  </si>
  <si>
    <t>Alternate Open Time Friday</t>
  </si>
  <si>
    <t>Alternate Closed Time Friday</t>
  </si>
  <si>
    <t>Alternate Open Time Saturday</t>
  </si>
  <si>
    <t>Alternate Closed Time Saturday</t>
  </si>
  <si>
    <t>Alternate Open Time Sunday</t>
  </si>
  <si>
    <t>Alternate Closed Time Sunday</t>
  </si>
  <si>
    <t>PART III: OPEN HOURS AND SQUARE FOOTAGE SUMMARY </t>
  </si>
  <si>
    <t>The information provided here is used to verify, for State Aid purposes, that the library (or the main library and its branches) met the minimum scheduled hours during the reporting year. </t>
  </si>
  <si>
    <t>1. Number of Central Libraries</t>
  </si>
  <si>
    <t>One type of single outlet library or the library that is the operational center of a multiple-outlet library and is synonymous with a main library. Usually all processing is centralized here, and the principal collections are housed here. Each administrative entity may report either no central library or one central library. No administrative entity may report more than one central library. If no Central Libraries were operated during the reporting year, enter "0" (zero).</t>
  </si>
  <si>
    <t>2. Unduplicated Average Hours per Week, Central(s)</t>
  </si>
  <si>
    <t xml:space="preserve">Unduplicated branch hours are hours when one or more branches are open when the main library is not. Do not count duplicate branch hours. For example: Main library: Open 9 AM - 4 PM, Mon - Fri = 35 unduplicated hours/week North Branch: Open Noon - 8 PM, Tues and Thurs = 8 unduplicated hours/week Open 10 AM - 4 PM Fri = no unduplicted hours. South Branch: Open 10 AM - 2 :M Sat = 4 unduplicated hours Open 10 AM - 6 PM Tues - Fri = 2 hours Fri + 2 hours Wed unduplicated Total unduplicated branch hours for the system is 16.  </t>
  </si>
  <si>
    <t>3. Annual Scheduled Public Service Hours, Central(s)</t>
  </si>
  <si>
    <t>Updated : 2015-12-03 14:33:00</t>
  </si>
  <si>
    <t>The number of hours you planned to be open as opposed to Actual Annual Hours Open.</t>
  </si>
  <si>
    <t>4. Actual Annual Public Service Hours, Central(s)</t>
  </si>
  <si>
    <t>This is the number of annual public service hours for central libraries. Note: Include the actual hours open for public service for central libraries. Minor variations in public service hours need not be included. Extensive hours closed to the public due to natural disasters or other events should be excluded from the count.</t>
  </si>
  <si>
    <t>5. Central Library(ies) Weeks Open</t>
  </si>
  <si>
    <t>This is the number of weeks during the year that Central Libraries were open to the public. Note: Include the number of weeks open for public service for Central Libraries. The count should be based on the number of weeks that a library outlet was open for half or more of its scheduled service hours. Extensive weeks closed to the public due to natural disasters or other events should be excluded from the count. Do not calculate based on total number of service hours per year at the outlet level. For example, by dividing total hours by 52 (weeks). Round to the nearest whole number of weeks. If the library was open half or more of its scheduled hours in a given week, round up to the next week. If the library was open less than half of its scheduled hours, round down.</t>
  </si>
  <si>
    <t>6. Number of Branch Libraries</t>
  </si>
  <si>
    <t>A branch is defined as an auxiliary unit of an administrative entity that has at least all of the following: 1) separate quarters; 2) an organized collection of library materials; 3) paid staff; and 4) regularly scheduled hours for being open to the public. If no Branches were operated during the reporting year, enter "0" (zero).</t>
  </si>
  <si>
    <t>7. Unduplicated Average Hours per Week, Branch(es)</t>
  </si>
  <si>
    <t>Unduplicated branch hours are hours when one or more branches are open when the main library is not. Do not count duplicate branch hours. For example:</t>
  </si>
  <si>
    <t>Main library: Open 9 AM - 4 PM, Mon - Fri = 35 unduplicated hours/week</t>
  </si>
  <si>
    <t>North Branch: Open Noon - 8 PM, Tues and Thurs = 8 unduplicated hours/week. Open 10 AM - 4 PM Fri = no unduplicted hours</t>
  </si>
  <si>
    <t>South Branch: Open 10 AM - 2 :M Sat = 4 unduplicated hours. Open 10 AM - 6 PM Tues - Fri = 2 hours Fri + 2 hours Wed unduplicated</t>
  </si>
  <si>
    <t>Total unduplicated branch hours for the system is 16</t>
  </si>
  <si>
    <t>Total unduplicated hours for State Aid is 51 per week</t>
  </si>
  <si>
    <t>8. Annual Scheduled Public Service Hours, Branch(es)</t>
  </si>
  <si>
    <t>Updated : 2015-12-03 14:34:30</t>
  </si>
  <si>
    <t>9. Actual Annual Public Service Hours, Branch(es)</t>
  </si>
  <si>
    <t>This is the number of annual public service hours for branches. Note: Include the actual hours open for public service for branches. Minor variations in public service hours need not be included. Extensive hours closed to the public due to natural disasters or other events should be excluded from the count.</t>
  </si>
  <si>
    <t>10. Branch(es) Weeks Open</t>
  </si>
  <si>
    <t>11. Number of Bookmobiles</t>
  </si>
  <si>
    <t>A bookmobile is defined as a travelling branch library consisting of at least all of the following: 1) a truck or van that carries an organized collection of library materials; 2) paid staff; and 3) regularly scheduled hours (bookmobile stops) for being open to the public. Report the number of vehicles in use, not the number of stops the vehicle makes. If no Bookmobiles were operated during the reporting year, enter "0" (zero).</t>
  </si>
  <si>
    <t>12. Annual Scheduled Public Service Hours, Bookmobile(s)</t>
  </si>
  <si>
    <t>Updated : 2015-12-03 14:35:11</t>
  </si>
  <si>
    <t>13. Actual Annual Public Service Hours, Bookmobile(s)</t>
  </si>
  <si>
    <t>This is the number of annual public service hours for bookmobiles. Note: Include the actual hours open for public service for bookmobiles. For each bookmobile, count only the hours during which the bookmobile is open to the public. Minor variations in public service hours need not be included. Extensive hours closed to the public due to natural disasters or other events should be excluded from the count.</t>
  </si>
  <si>
    <t>14. Bookmobile(s) Weeks Open</t>
  </si>
  <si>
    <t>This is the number of weeks during the year that Bookmobiles were open to the public. Note: Include the number of weeks open for public service for Bookmobiles. For each bookmobile, count only the weeks during which the bookmobile is open to the public. The count should be based on the number of weeks that a library outlet was open for half or more of its scheduled service hours. Extensive weeks closed to the public due to natural disasters or other events should be excluded from the count. Do not calculate based on total number of service hours per year at the outlet level. For example, by dividing total hours by 52 (weeks). Round to the nearest whole number of weeks. If the library was open half or more of its scheduled hours in a given week, round up to the next week. If the library was open less than half of its scheduled hours, round down.</t>
  </si>
  <si>
    <t>15. Total Number of Outlets</t>
  </si>
  <si>
    <t>16. Total Unduplicated Average Hours per Week</t>
  </si>
  <si>
    <t>17. Total Annual Scheduled Public Service Hours</t>
  </si>
  <si>
    <t>Updated : 2015-12-03 14:35:32</t>
  </si>
  <si>
    <t>18. Total Annual Public Service Hours</t>
  </si>
  <si>
    <t>This is the total number of actual annual public service hours for outlets (reported individually by central, branch, bookmobile).</t>
  </si>
  <si>
    <t>19. Total Outlet Weeks Open</t>
  </si>
  <si>
    <t>This is the total number of weeks during the year that outlets were open to the public (reported individually by central, branch, bookmobile).</t>
  </si>
  <si>
    <t>20. Central Library(ies) Square Feet</t>
  </si>
  <si>
    <t>21. Branch(es) Square Feet</t>
  </si>
  <si>
    <t>22. Total Square Feet</t>
  </si>
  <si>
    <t>Report the total square footage of the facility used for library purposes.</t>
  </si>
  <si>
    <t>Legislative Districts </t>
  </si>
  <si>
    <t>MI Representative District #</t>
  </si>
  <si>
    <t>MI Representative Name</t>
  </si>
  <si>
    <t>MI Senate District #</t>
  </si>
  <si>
    <t>MI Senate Name</t>
  </si>
  <si>
    <t>US Representative District #</t>
  </si>
  <si>
    <t>US Representative Name</t>
  </si>
  <si>
    <t>PART IV: PAID STAFF </t>
  </si>
  <si>
    <t>Report figures as of the last day of the reporting year. Include all employees paid with library funds to do library work or to maintain the library building for the main library, all branches, bookmobiles, and other service outlets. All employees, whether or not they are certified by the Library of Michigan, are included. This should not include volunteers, since these figures may be used to determine average staff expenditures. To ensure comparable data, 40 hours per week has been set as the measure of full-time employment. The Full Time Equivalent (FTE) staff is automatically figured by adding the total number of hours worked by all employees in each category, then dividing the total staff hours by 40 and rounding to two decimal places. </t>
  </si>
  <si>
    <t>1. Number of ALA-MLS Librarians</t>
  </si>
  <si>
    <t>Librarians with Masters degrees from programs of library and information studies accredited by the American Library Association.</t>
  </si>
  <si>
    <t>2. Total Hours per Week worked by ALA-MLS Librarians</t>
  </si>
  <si>
    <t>3. ALA-MLS FTE (40 Hours/wk)</t>
  </si>
  <si>
    <t>4. Number of Other Librarians</t>
  </si>
  <si>
    <t>Persons with the title of librarian who do paid work that usually requires professional training and skill in the theoretical or scientific aspects of library work, or both, as distinct from its mechanical or clerical aspect who do not have an ALA-MLS.</t>
  </si>
  <si>
    <t>5. Total Hours per Week worked by Other Librarians</t>
  </si>
  <si>
    <t>6. Other Librarians FTE (40 Hours/wk)</t>
  </si>
  <si>
    <t>7. Number of Total Librarians</t>
  </si>
  <si>
    <t>The sum of "ALA-MLS Librarians" and "Other Librarians."</t>
  </si>
  <si>
    <t>8. Total Hours per Week worked by Total Librarians</t>
  </si>
  <si>
    <t>9. Total Librarians FTE (40 Hours/wk)</t>
  </si>
  <si>
    <t>10. Number of All Other Paid Staff</t>
  </si>
  <si>
    <t>Include all other library employees paid from the reporting unit budget, including plant operations, security, and maintenance staff.</t>
  </si>
  <si>
    <t>11. Total Hours per Week worked by All Other Paid Staff</t>
  </si>
  <si>
    <t>12. All Other Paid Staff FTE (40 Hours/wk)</t>
  </si>
  <si>
    <t>13. Number of Total Paid Employees</t>
  </si>
  <si>
    <t>14. Total Hours per Week worked by Total Paid Employees</t>
  </si>
  <si>
    <t>15. Total Paid Employees FTE (40 Hours/wk)</t>
  </si>
  <si>
    <t>PART V: OPERATING INCOME </t>
  </si>
  <si>
    <t>Report income used for operating expenditures as defined below. DO NOT include capital income, contributions to endowments, income passed through to another agency, or funds unspent in the previous fiscal year. This section provides detail of local, state and federal income for your library's reporting year. Include federal, state, or other grants, except for grants for capital expenditures. It is important to keep accurate financial records for each reporting year and to be able to track local, state, and federal funds separately. Although there must be a realistic relationship between total operating income and total operating expenditures, the figures will probably not balance exactly. It is important to report accurately, since the library must be able to verify any financial information with audited figures. For purposes of this report, INCOME is defined as actual cash or a documented monetary transfer to the library fund. Do not include in-kind services, pledges and grants not received. Total Local Operating Income is used to meet the 3/10 mill match requirement for State Aid. If your library's total service area does not meet this state aid standard, revenues from the total legal service area and the individual contracted municipalities will be reviewed. For this reason, the Operating Income section provides entry for each municipality served by your library. When completing the form: - If your legal service area is comprised of more than one municipality (for example, a whole county, a school district of two or more municipalities), the legal area income can be reported with the first service area data. - If you cannot break down miscellaneous "other public local income" by municipality, report it all in the first Legal Service Area listed. - Only local income needs to be broken down by municipality. </t>
  </si>
  <si>
    <t>A. Legal Service Area </t>
  </si>
  <si>
    <t>LSA Municipality</t>
  </si>
  <si>
    <t>Name of the municipality or other designated jurisdiction served under statue during the reporting year. Example: school district, name of county (if whole county).</t>
  </si>
  <si>
    <t>LSA Local Penal Fine Revenues</t>
  </si>
  <si>
    <t>Updated : 2015-09-29 13:00:17</t>
  </si>
  <si>
    <t>Report Penal Fine revenues received during the reporting year. If you do not know the amount received for each individual service area, calculate it by determining the total population your library serves in the county and dividing the penal fines received from that county by the population served to determine the per capita rate. Multiply the per capita rate by the population of each service area to determine penal fines received from each service area. If your library has service areas in two or more counties, you must determine each rate separately.</t>
  </si>
  <si>
    <t>LSA Income from Voted Millage</t>
  </si>
  <si>
    <t>Updated : 2015-09-29 13:00:31</t>
  </si>
  <si>
    <t>Enter only revenues received during the reporting year from a dedicated library millage that was approved by a vote of the people. If the millage is for a multi-municipality legal service area (whole county or district structure), complete millage information on the top line only.</t>
  </si>
  <si>
    <t>LSA Appropriated Tax Income</t>
  </si>
  <si>
    <t>Updated : 2015-09-29 13:00:42</t>
  </si>
  <si>
    <t>This revenue is received by the library directly from the municipal, county, district, or school governing body. This revenue is not the result of a dedicated voted library millage.</t>
  </si>
  <si>
    <t>LSA Other Local Government Income</t>
  </si>
  <si>
    <t>Updated : 2015-09-29 13:00:53</t>
  </si>
  <si>
    <t>Report miscellaneous income received from local government sources. (Do not include user fees) If the library received revenue from a Single Business Tax levied on local business, include the amount in this field.</t>
  </si>
  <si>
    <t>LSA Total Local Government Income</t>
  </si>
  <si>
    <t>Updated : 2016-01-26 13:51:56</t>
  </si>
  <si>
    <t>This subtotal field can be ignored, this subtotal will appear in line 17 of part A. The "Total Local Government Income" figure is determined by adding "Local Penal Fine Revenues," "Income from Voted Millage," "Appropriated Tax Income," and "Other Local Government Income." This should include all tax and non-tax receipts designated by the community, district or region and available for expenditures by the public library. This should not include the value of any contributed or in-kind services or the value of any gifts and donations, fines, or fees paid by individuals.</t>
  </si>
  <si>
    <t>LSA Fines, Fees, Donations</t>
  </si>
  <si>
    <t>Updated : 2015-09-29 17:06:18</t>
  </si>
  <si>
    <t>Report miscellaneous income from local non-government sources. This category includes user fines and fees, collections from coin-operated equipment, income from used book sales, fund-raisers, Library Friends events, etc. Non-capital cash contributions are included in this category. Include, for example, monetary gifts and donations received in the current year, interest, library fines, and fees for library services. Do not include the value of any contributed or in-kind services or the value of any non-monetary gifts and donations. If it is impossible for you to break down the miscellaneous income by individual municipality, report the "Other Local Operating Income" in the first Legal Service Area listed.</t>
  </si>
  <si>
    <t>LSA Verified Info</t>
  </si>
  <si>
    <t>Updated : 2015-09-29 12:52:28</t>
  </si>
  <si>
    <t>LSA Municipality ID</t>
  </si>
  <si>
    <t>Updated : 2015-09-29 12:56:03</t>
  </si>
  <si>
    <t>LSA Municipality County</t>
  </si>
  <si>
    <t>Updated : 2015-09-29 12:52:49</t>
  </si>
  <si>
    <t>LSA Population Served</t>
  </si>
  <si>
    <t>Updated : 2016-03-21 10:15:31</t>
  </si>
  <si>
    <t>LSA Population Percent</t>
  </si>
  <si>
    <t>Updated : 2015-09-29 12:53:02</t>
  </si>
  <si>
    <t>LSA Service Area ID</t>
  </si>
  <si>
    <t>Updated : 2015-09-29 12:53:13</t>
  </si>
  <si>
    <t>A. Legal Service Area Internal </t>
  </si>
  <si>
    <t>Subtotals </t>
  </si>
  <si>
    <t>1. Subtotal Legal Service Area Population Served</t>
  </si>
  <si>
    <t>Updated : 2016-08-15 14:27:30</t>
  </si>
  <si>
    <t>2. Subtotal Local Penal Fine Revenues</t>
  </si>
  <si>
    <t>Updated : 2016-08-15 14:27:45</t>
  </si>
  <si>
    <t>3. Subtotal Income From Voted Millage</t>
  </si>
  <si>
    <t>Updated : 2016-08-15 14:27:59</t>
  </si>
  <si>
    <t>4. Subtotal Appropriated Tax Income</t>
  </si>
  <si>
    <t>Updated : 2016-08-15 14:28:11</t>
  </si>
  <si>
    <t>5. Subtotal Other Local Government Income</t>
  </si>
  <si>
    <t>Updated : 2016-08-15 14:28:26</t>
  </si>
  <si>
    <t>6. Subtotal Total Local Government Income</t>
  </si>
  <si>
    <t>Updated : 2016-08-15 14:28:43</t>
  </si>
  <si>
    <t>7. Subtotal Other Local Operating Income</t>
  </si>
  <si>
    <t>Updated : 2016-08-15 14:29:11</t>
  </si>
  <si>
    <t>B. Contracted Municipality </t>
  </si>
  <si>
    <t>Contracted Municipality</t>
  </si>
  <si>
    <t>Updated : 2015-10-13 13:50:07</t>
  </si>
  <si>
    <t>Name of the municipality or other designated jurisdiction with which the library has a library service contract approved by the Library of Michigan.</t>
  </si>
  <si>
    <t>Contract Municipality Local Penal Fine Revenues</t>
  </si>
  <si>
    <t>Report Penal Fine revenues received during the reporting year. If you do not know the amount received for each reported contracted municipality area, calculate it by determining the local total population served by your library in the county as a result of service contracts and dividing the penal fines received from that county by the population served to determine the per capita rate. Multiply the per capita rate by the population of each contracted municipality to determine penal fines received for each municipality. Penal fines distribution rates are different for each county. If your library has service contracts in more than one county, you must determine each rate separately.</t>
  </si>
  <si>
    <t>Contract Municipality Income From Voted Millage</t>
  </si>
  <si>
    <t>Enter only revenues received during the reporting year from a dedicated library millage that was approved by a vote of the people. If the millage is for a multi-municipality contract service area (whole county or district structure), complete millage information in the first Contracted Municipality listed.</t>
  </si>
  <si>
    <t>Contract Municipality Appropriated Tax Income</t>
  </si>
  <si>
    <t>This revenue is received by the library directly from the municipal, county, district, or school governing body. This revenue is not the result of a dedicated library millage and does not include contract fee income.</t>
  </si>
  <si>
    <t>Contract Municipality Contract Fee Income</t>
  </si>
  <si>
    <t>Revenue received from the contracted municipalities as stated in the library service contract. Do not include penal fine income.</t>
  </si>
  <si>
    <t>Contract Municipality Total Local Government Income</t>
  </si>
  <si>
    <t>Updated : 2015-09-29 17:07:20</t>
  </si>
  <si>
    <t>Add "Local Penal Fine Revenues," "Income from Voted Millage," "Appropriated Tax Income," and "Contract Fee Income." This includes all tax and non-tax receipts designated by the community, district, or region and available for expenditures by the public library. Do not include the value of any contributed or in-kind services or the value of any gifts and donations, fines, or fees paid by individuals.</t>
  </si>
  <si>
    <t>Contract Municipality Fines, Fees, Donations</t>
  </si>
  <si>
    <t>Report miscellaneous income from local non-government sources. This category includes user fines and fees, collections from coin-operated equipment, income from used book sales, fund-raisers, library Friends events, etc. Non-capital cash contributions are included in this category. Include, for example, monetary gifts and donations received in the reporting year, interest, library fines, and fees for library services. Do not include the value of any contributed or in-kind services or the value of any non-monetary gifts and donations.</t>
  </si>
  <si>
    <t>Contracted Verified Info</t>
  </si>
  <si>
    <t>Contracted Municipality ID</t>
  </si>
  <si>
    <t>Updated : 2015-10-13 13:49:54</t>
  </si>
  <si>
    <t>Contracted Municipality County</t>
  </si>
  <si>
    <t>Updated : 2015-10-13 13:49:46</t>
  </si>
  <si>
    <t>Contract Municipality Population Served</t>
  </si>
  <si>
    <t>Updated : 2015-10-13 13:49:35</t>
  </si>
  <si>
    <t>Contract Population Percent</t>
  </si>
  <si>
    <t>Updated : 2015-10-13 13:49:26</t>
  </si>
  <si>
    <t>Service Area ID</t>
  </si>
  <si>
    <t>Updated : 2015-10-13 13:49:14</t>
  </si>
  <si>
    <t>B. Contracted Municipality Internal </t>
  </si>
  <si>
    <t>1. Contracted Municipality Population Served</t>
  </si>
  <si>
    <t>Updated : 2016-08-15 14:29:37</t>
  </si>
  <si>
    <t>2. CM Penal Fine Revenues</t>
  </si>
  <si>
    <t>Updated : 2016-08-15 14:29:52</t>
  </si>
  <si>
    <t>3. CM Income From Voted Millage</t>
  </si>
  <si>
    <t>Updated : 2016-08-15 14:30:05</t>
  </si>
  <si>
    <t>4. CM Appropriated Tax Income</t>
  </si>
  <si>
    <t>Updated : 2016-08-15 14:30:18</t>
  </si>
  <si>
    <t>5. Contract Fee Income</t>
  </si>
  <si>
    <t>Updated : 2016-08-15 14:30:31</t>
  </si>
  <si>
    <t>6. CM Total Local Government Income</t>
  </si>
  <si>
    <t>Updated : 2016-08-15 14:30:43</t>
  </si>
  <si>
    <t>7. Other Local Operating Income</t>
  </si>
  <si>
    <t>Updated : 2016-08-15 14:30:55</t>
  </si>
  <si>
    <t>C. Operating Income Summary </t>
  </si>
  <si>
    <t>1. Total Local Government Income</t>
  </si>
  <si>
    <t>Updated : 2016-08-15 14:31:16</t>
  </si>
  <si>
    <t>Sum of (Legal Service Area) "Total Local Government Income" and (Contracted Municipality) "Total Local Government Income."</t>
  </si>
  <si>
    <t>2. Total Other Local Operating Income</t>
  </si>
  <si>
    <t>Updated : 2016-08-15 14:31:29</t>
  </si>
  <si>
    <t>Sum of (Legal Service Area) "Other Local Operating Income" and (Contracted Municipality) "Other Local Operating Income."</t>
  </si>
  <si>
    <t>3. Total Local Operating Income</t>
  </si>
  <si>
    <t>Updated : 2016-08-15 14:31:44</t>
  </si>
  <si>
    <t>Sum of (Legal Service Area) "Total Local Government Income," (Contracted Municipality) "Total Local Government Income," (Legal Service Area) "Other Local Operating Income," and (Contracted Municipality) "Other Local Operating Income." This figure is used to assess the library's financial eligibility for State Aid.</t>
  </si>
  <si>
    <t>4. State Government Operating Income</t>
  </si>
  <si>
    <t>Updated : 2016-08-15 14:31:56</t>
  </si>
  <si>
    <t>Report all funds received by your library from the State government for operating expenditures, except for federal money distributed by the State. Include all State Aid payments received by your library during the reporting year.</t>
  </si>
  <si>
    <t>5. Federal Government Operating Income</t>
  </si>
  <si>
    <t>Updated : 2016-08-15 14:32:06</t>
  </si>
  <si>
    <t>Report all federal government funds received by your library for operating expenditures, including federal money distributed by the State. Report grant funds received for non-capital expenditures from LSTA. Do not include funds you received and passed through to another public library.</t>
  </si>
  <si>
    <t>6. Total Operating Income</t>
  </si>
  <si>
    <t>Updated : 2016-08-15 14:32:18</t>
  </si>
  <si>
    <t>Sum of "Total Local Government Income," "Other Local Operating Income," "State Government Operating Income," and "Federal Government Operating Income."</t>
  </si>
  <si>
    <t>PART VI: CAPITAL INCOME </t>
  </si>
  <si>
    <t>1. Federal Capital Income</t>
  </si>
  <si>
    <t>Report federal governmental funds, including federal funds distributed by the state or locality, and grants and aid received by the library for the purpose of major capital expenditures. Examples include funds received for construction, expansion and renovation of existing library facilities and funds received for the purchase of equipment, furniture, technology systems, and other one-time, extraordinary projects.</t>
  </si>
  <si>
    <t>2. State Capital Income</t>
  </si>
  <si>
    <t>Report all funds distributed to public libraries by state government for expenditure by the public libraries for the purpose of major capital expenditures, except for federal money distributed by the state. Examples include funds received for construction, expansion and renovation of existing library facilities and funds received for the purchase of equipment, furniture, technology systems, and other one-time, extraordinary projects.</t>
  </si>
  <si>
    <t>3. Local Capital Icome</t>
  </si>
  <si>
    <t>Report all governmental funds designated by the community, district, or region and available to the public library for the purpose of major capital expenditures, except for state and/or federal money distributed by the local government. Examples include funds received for furniture, technology systems, and other one-time, extraordinary projects. These funds may be used to meet the 3/10 mill local support financial requirement for State Aid.</t>
  </si>
  <si>
    <t>4. Private Capital Income</t>
  </si>
  <si>
    <t>Report private funds (non-governmental funds), including grants, received by your library for the purpose of capital expenditures. Examples include funds received for furniture, technology systems, and other one-time, extraordinary projects. These funds may be used to meet the 3/10 mill local support financial requirement for State Aid.</t>
  </si>
  <si>
    <t>5. Total Capital Income</t>
  </si>
  <si>
    <t>Sum of "Federal Capital Income," "State Capital Income," "Local Capital Income," and "Private Capital Income."</t>
  </si>
  <si>
    <t>6. Total Population Served</t>
  </si>
  <si>
    <t>Sum of "Legal Service Area Population Served" and "Contracted Municipality Population Served."</t>
  </si>
  <si>
    <t>PART VII: OPERATING EXPENDITURES </t>
  </si>
  <si>
    <t>Operating expenditures are the costs necessary to support the provision of library services. List only expenditures paid from library operating budgets for the fiscal year. </t>
  </si>
  <si>
    <t>A. Staff Expenditures </t>
  </si>
  <si>
    <t>1. Salaries and Wages</t>
  </si>
  <si>
    <t>Include salaries and wages for all library staff (including plant operations, security, and maintenenace staff) for the fiscal year. Include salaries and wages before deductions, but exclude employee benefits.</t>
  </si>
  <si>
    <t>2. Employee Benefits</t>
  </si>
  <si>
    <t>The benefits outside of salaries and wages paid and accruing to employees (including plant operations, security, and maintenance staff), regardless of whether the benefits or equivalent cash options are available to all employees. Include amounts for direct, paid employee benefits including Social Security, retirement, medical insurance, life insurance, guaranteed disability income protection, unemployment compensation, workmen's compensation, tuition, and housing benefits.</t>
  </si>
  <si>
    <t>3. Total Staff Expenditures</t>
  </si>
  <si>
    <t>Sum of "Salaries and Wages" and "Employee Benefits."</t>
  </si>
  <si>
    <t>B. Collection Expenditures </t>
  </si>
  <si>
    <t>4. Print Materials Expenditure</t>
  </si>
  <si>
    <t>Report all operating expenditures for the following print materials: books, serial backfiles, current serial subscriptions, government documents, and any other print acquisitions.</t>
  </si>
  <si>
    <t>5. Other Materials Expenditure</t>
  </si>
  <si>
    <t>Report all operating expenditures for other materials, such as microform, audio, video, DVD, and materials in new forms.</t>
  </si>
  <si>
    <t>6. Electronic Materials Expenditure</t>
  </si>
  <si>
    <t>Report all operating expenditures for electronic (digital) materials. Types of electronic materials include e-books, e-series (including journals), government documents, databases (including locally mounted, full text or not), electronic files, reference tools, scores, maps, or pictures in electronic or digital format, including magazines digitized by the library. Electronic materials can be distributed on magnetic tape, diskettes, computer software, CD-ROM, or other portable digital carrier, and can be accessed via a computer, via access to the internet, or by using an ebook reader. Include equipment expenditures that are inseparably bundled into the price of the information service product. Include expenditures for materials held locally and for remote electronic materials for which permanent or temporary access rights have been acquired. Include expenditures for database licenses. [NOTE: Based on ISO 2789 definition.]</t>
  </si>
  <si>
    <t>7. Total Collection Expenditures</t>
  </si>
  <si>
    <t>Report the sum of all expenditures for print materials, electronic materials, and other materials.</t>
  </si>
  <si>
    <t>C. Other Operating Expenditures </t>
  </si>
  <si>
    <t>8. Other Operating Expenditures</t>
  </si>
  <si>
    <t>Include all expenditures other than those for staff and collection. Include expenses such as binding supplies, repair or replacement of existing furnishings and equipment, and costs incurred in the operation and maintenance of physical facilities. DO NOT report items included as capital expenditures in Part VIII.</t>
  </si>
  <si>
    <t>D. Total Operating Expenditures </t>
  </si>
  <si>
    <t>9. Total Operating Expenditures</t>
  </si>
  <si>
    <t>Sum of "Total Staff Expenditures," "Total Collection Expenditures," and "Other Operating Expenditures."</t>
  </si>
  <si>
    <t>PART VIII: CAPITAL OUTLAY </t>
  </si>
  <si>
    <t>Include expenditures paid from your library capital budget for the acquisition of or additions to fixed assets such as building sites, new building additions, equipment, initial book stock, furnishings for new or expanded buildings, or vehicles, and other onetime, extraordinary projects. This excludes replacement and repair of existing furnishings and equipment, regular purchase of library materials, and investments for capital appreciation. </t>
  </si>
  <si>
    <t>1. Capital Expenditures for Electronic Access</t>
  </si>
  <si>
    <t>Report capital expenditures associated with access to electronic materials and services. Include computer hardware and software used to support library operations, whether purchased or leased, mainframe or microcomputer. DO NOT report items included as operating expenditures in Part VII.</t>
  </si>
  <si>
    <t>2. Furnishings and Equipment Expenditures</t>
  </si>
  <si>
    <t>Report major expenditures for all furniture and equipment other than for electronic access. Examples include shelving, patron tables and chairs, photocopiers, etc. DO NOT report items included as operating expenditures in Part VII.</t>
  </si>
  <si>
    <t>3. Building Expenditures</t>
  </si>
  <si>
    <t>Report expenditures for the acquisition of or additions to building sites, new building additions, and library facilities. DO NOT report items included as operating expenditures in Part VII.</t>
  </si>
  <si>
    <t>4. Other Capital Expenditures</t>
  </si>
  <si>
    <t>Report expenditures for capital items other than for electronic access, furnishings and equipment, or building.</t>
  </si>
  <si>
    <t>5. Total Capital Expenditures</t>
  </si>
  <si>
    <t>Sum of "Capital Expenditures for Electronic Access," "Furnishings and Equipment Expenditures," "Building Expenditures," and "Other Capital Expenditures."</t>
  </si>
  <si>
    <t>PART IX: LIBRARY COLLECTION </t>
  </si>
  <si>
    <t>For each category, report the number of units (items) owned at the end of the reporting year. Items which are packaged together as a unit, e.g. two compact disks, two films, or two videocassettes, and which are generally checked out as a unit, should be counted as one physical unit. Subscriptions should be counted by number of subscriptions and not the number of issues. </t>
  </si>
  <si>
    <t>1. Number of Print Materials</t>
  </si>
  <si>
    <t>Report a single figure that includes both of the following:</t>
  </si>
  <si>
    <t>Books in print. Books are non-serial printed publications (including music and maps) that are bound in hard or soft covers, or in loose-leaf format. Include non-serial government documents. Report the number of physical units, including duplicates. For smaller libraries, if volume data are not available, count the number of titles. Books packaged together as a unit (e.g., a 2-volume set) and checked out as a unit are counted as one physical unit.</t>
  </si>
  <si>
    <t>Serial backfiles in print. Serials are publications issued in successive parts, usually at regular intervals and intended to be continued indefinitely. Serials include periodicals (magazines), newspapers, annuals (reports, yearbooks, etc.), journals, memoirs, proceedings, transactions of societies, and numbered monographic series. Government documents and reference tools are often issued as serials. Except for the current volume, count unbound serials as a volume when the library has at least half of the issues in a publisher's volume. Report the number of physical units, including duplicates. For smaller libraries, if volume data are not available, count the number of titles. Serials packaged together as a unit (e.g., a 2-volume serial monograph) and checked out as a unit are counted as one physical unit.</t>
  </si>
  <si>
    <t>2. Audio (Physical Units)</t>
  </si>
  <si>
    <t>Materials on which sounds (only) are stored (recorded) and that can be reproduced (played back) mechanically or electronically, or both. Included are records, audiocassettes, audio cartridges, audio disks, audio reels, talking books, and other sound recordings.</t>
  </si>
  <si>
    <t>3. Audio (Downloadable Units)</t>
  </si>
  <si>
    <t>Report the number of units. Report only items that have been purchased, leased or licensed by the library, a consortium, the state library, a donor or other person or entity. Included items must only be accessible with a valid library card or at a physical library location; inclusion in the catalog is not required. Do not include items freely available without monetary exchange. Do not include items that are permanently retained by the patron; count only items that have a set circulation period where it is available for their use. Count electronic materials at the administrative entity level; do not duplicate numbers at each branch.</t>
  </si>
  <si>
    <t>NOTE: For purposes of this survey, units are defined as “units of acquisition or purchase”. The “unit” is determined by considering whether the item is restricted to a finite number of simultaneous users or an unlimited number of simultaneous users.</t>
  </si>
  <si>
    <t>Finite simultaneous use: units of acquisition or purchase is based on the number of simultaneous usages acquired (equivalent to purchasing multiple copies of a single title). For example, if a library acquires a title with rights to a single user at a time, then that item is counted as 1 “unit”; if the library acquires rights to a single title for 10 simultaneous users, then that item is counted as 10 “units. For smaller libraries, if volume data are not available, the number of titles may be counted.</t>
  </si>
  <si>
    <t>Unlimited simultaneous use: units of acquisition or purchase is based on the number of titles acquired. For example, if a library acquires a collection of 100 books with unlimited simultaneous users, then that collection would be counted as 100 “units”.</t>
  </si>
  <si>
    <t>NOTE: If your patrons have access to eAudio materials through your library's membership in a digital consortium include the number of items available in this count.</t>
  </si>
  <si>
    <t>4. Video (Physical Units)</t>
  </si>
  <si>
    <t>Materials on which pictures are recorded, with or without sound. Electronic playback reproduces pictures, with or without sound, using a television receiver or monitor.</t>
  </si>
  <si>
    <t>5. Video (Downloadable Units)</t>
  </si>
  <si>
    <t>These are downloadable electronic files on which moving pictures are recorded, with or without sound. Electronic playback reproduces pictures, with or without sound, using a television receiver, computer monitor or video-enabled mobile device. Video ��“ Downloadable Units may be loaned to users on portable devices or by transmitting the contents to the user’s personal computer for a limited time. Include Video ��“ Downloadable Units held locally and remote Video ��“ Downloadable Units for which permanent or temporary access rights have been acquired.</t>
  </si>
  <si>
    <t>Finite simultaneous use: units of acquisition or purchase is based on the number of simultaneous usages acquired (equivalent to purchasing multiple copies of a single title). For example, if a library acquires a title with rights to a single user at a time, then that item is counted as 1 “unit”; if the library acquires rights to a single title for 10 simultaneous users, then that item is counted as 10 “units.” For smaller libraries, if volume data are not available, the number of titles may be counted.</t>
  </si>
  <si>
    <t>NOTE: If your patrons have access to eVideo materials through your library's membership in a digital consortium include the number of items available in this count.</t>
  </si>
  <si>
    <t>6. Subscriptions (Non-electronic)</t>
  </si>
  <si>
    <t>Refers to the arrangements by which, in return for a sum paid in advance, periodicals, newspapers, or other serials are provided for a specified number of issues. These are print and microfilm subscriptions only; not electronic or digital subscriptions. Count subscriptions purchased from the library's budget and those donated to the library as gifts. Count titles, including duplicates, not individual issues.</t>
  </si>
  <si>
    <t>7. Electronic Books (E-Books)</t>
  </si>
  <si>
    <t>E-books are digital documents (including those digitized by the library), licensed or not, where searchable text is prevalent, and which can be seen in analogy to a printed book (monograph). E-books are loaned to users on portable devices (e-book readers) or by transmitting the contents to the user’s personal computer for a limited time. Include e-books held locally and remote e-books for which permanent or temporary access rights have been acquired. Report the number of electronic units, including duplicates, at the administrative entity level; do not duplicate unit count for each branch. E-books packaged together as a unit (e.g., multiple titles on a single ebook reader) and checked out as a unit are counted as one unit.</t>
  </si>
  <si>
    <t>Finite simultaneous use: units of acquisition or purchase is based on the number of simultaneous usages acquired (equivalent to purchasing multiple copies of a single title). For example, if a library acquires a title with rights to a single user at a time, then that item is counted as 1 “unit”; if the library acquires rights to a single title for 10 simultaneous users, then that item is counted as 10 “units”. For smaller libraries, if volume data are not available, the number of titles may be counted.</t>
  </si>
  <si>
    <t>NOTE: If your patrons have access to eBooks through your library's membership in a digital consortium include the number of items available in this count.</t>
  </si>
  <si>
    <t>8. Total Collection (Physical / Electronic Units)</t>
  </si>
  <si>
    <t>Databases </t>
  </si>
  <si>
    <t>9. Local Electronic Collections</t>
  </si>
  <si>
    <t>Formerly collected as databases an electronic collection is a collection of electronically stored data or unit records (facts, bibliographic data, abstracts, texts, photographs, music, video, etc.) with a common user interface and software for the retrieval and use of the data. An electronic collection may be organized, curated and electronically shared by the library, or rights may be provided by a third party vendor. An electronic collection may be funded by the library, or provided through cooperative agreement with other libraries, or through the State Library. Do not include electronic collections that are provided by third parties and freely linked to on the web.</t>
  </si>
  <si>
    <t>DO NOT COUNT MeL RESOURCES. No formal agreements or charges are associated with MeL databases provided by Library of Michigan to public libraries.</t>
  </si>
  <si>
    <t>10. State Electronic Collections</t>
  </si>
  <si>
    <t>Updated : 2015-10-30 11:34:03</t>
  </si>
  <si>
    <t>11. Other Electronic Collections</t>
  </si>
  <si>
    <t>Formerly collected as databases, an electronic collection is a collection of electronically stored data or unit records (facts, bibliographic data, abstracts, texts, photographs, music, video, etc.) with a common user interface and software for the retrieval and use of the data. An electronic collection may be organized, curated and electronically shared by the library, or rights may be provided by a third party vendor. An electronic collection may be funded by the library, or provided through cooperative agreement with other libraries, or through the State Library. Do not include electronic collections that are provided by third parties and freely linked to on the web.</t>
  </si>
  <si>
    <t>12. Total Electronic Collections</t>
  </si>
  <si>
    <t>Updated : 2015-10-13 14:01:41</t>
  </si>
  <si>
    <t>PART X: LIBRARY SERVICES </t>
  </si>
  <si>
    <t>If exact amount is unknown, enter an estimate. If an actual count of the data element is unavailable, determine an annual estimate by an actual count during a typical week in October and multiplying the count by 52. A "Typical week" is a time that is neither unusually busy nor unusually slow. Avoid holiday times, vacation periods for key staff, or days when unusual events are taking place in the community or the library. Choose a week in which the library is open its regular hours. Include seven consecutive calendar days, from Sunday through Saturday (or whenever the library is usually open). This technique can be used to estimate library visits, circulation transactions, reference transactions, interlibrary loans and number of users of electronic resources. </t>
  </si>
  <si>
    <t>A. Library Visits </t>
  </si>
  <si>
    <t>1. Library Visits</t>
  </si>
  <si>
    <t>The total number of persons entering the library for whatever purpose during the year.</t>
  </si>
  <si>
    <t>2. Virtual Visits to the Library's Website</t>
  </si>
  <si>
    <t>Updated : 2016-01-29 10:32:30</t>
  </si>
  <si>
    <t>The number of engagements initiated by all visitors from inside or outside the library to the library's web resources.</t>
  </si>
  <si>
    <t>B. Summer Reading Participation </t>
  </si>
  <si>
    <t>1. Do You Offer a Structured Summer Education and Enrichment Program for Children?</t>
  </si>
  <si>
    <t>Updated : 2015-10-13 13:27:31</t>
  </si>
  <si>
    <t>A structured summer reading program, meaning the program has a beginning and end as well as the ability to track continued participant participation though the program. (e.g. are they still actively participating at some level at the end of the program).</t>
  </si>
  <si>
    <t>2. How Many Children Signed Up For This Program</t>
  </si>
  <si>
    <t>Updated : 2015-09-10 12:25:22</t>
  </si>
  <si>
    <t>The number of children ages 0-12 signed up for this program.</t>
  </si>
  <si>
    <t>3. How Many Children Completed This Program</t>
  </si>
  <si>
    <t>Updated : 2015-09-10 12:25:36</t>
  </si>
  <si>
    <t>The number of children ages 0-12 completing this program.</t>
  </si>
  <si>
    <t>4. Do You Offer a Structured Summer Education and Enrichment Program for Teens?</t>
  </si>
  <si>
    <t>Updated : 2015-10-13 13:27:42</t>
  </si>
  <si>
    <t>5. How Many Teens Signed Up For This Program?</t>
  </si>
  <si>
    <t>Updated : 2015-09-10 12:26:15</t>
  </si>
  <si>
    <t>The number of children ages 13-18 signed up for this program.</t>
  </si>
  <si>
    <t>6. How Many Teens Completed This Program</t>
  </si>
  <si>
    <t>Updated : 2015-09-10 12:27:41</t>
  </si>
  <si>
    <t>The number of teens ages 13-18 completing this program.</t>
  </si>
  <si>
    <t>Total Participation</t>
  </si>
  <si>
    <t>Updated : 2015-09-10 12:35:53</t>
  </si>
  <si>
    <t>C. Program Attendance </t>
  </si>
  <si>
    <t>1. Summer Reading Events Children Programs</t>
  </si>
  <si>
    <t>Updated : 2016-02-10 15:27:21</t>
  </si>
  <si>
    <t>The number of programs (a program being defined as: a single event on a single data at a single location. Please count staff run events such as lapsit, bookclub, etc...) offered specifically as a part of the library's Summer Reading Program intended primarily for persons 12 years old or younger, followed by the count of the audience at these events. Include all persons who attend, whether adults or children.</t>
  </si>
  <si>
    <t>2. Summer Reading Events Children Attendance</t>
  </si>
  <si>
    <t>Updated : 2016-02-10 15:27:47</t>
  </si>
  <si>
    <t>The count of all participants 12 and under who have signed up for the summer reading program.</t>
  </si>
  <si>
    <t>3. Summer Reading Events Teens Programs</t>
  </si>
  <si>
    <t>Updated : 2016-02-10 15:25:07</t>
  </si>
  <si>
    <t>The number of programs (a program being defined as: a single event on a single date at a single location--please count staff run events, such as lapsit, bookclub, etc...) offered specifically as part of the library's Summer Reading Program intended primarily for persons 13 and over, up to and including those of 18 years of age, followed by the count of the audience at these events. Include all persons who attend, whether adults or children.</t>
  </si>
  <si>
    <t>4. Summer Reading Events Teens Attendance</t>
  </si>
  <si>
    <t>Updated : 2016-02-10 15:25:41</t>
  </si>
  <si>
    <t>The count of all participants 13 and over, up to and including those of 18 years of age who have signed up for the summer reading program.</t>
  </si>
  <si>
    <t>5. Children's Programs</t>
  </si>
  <si>
    <t>Updated : 2016-08-15 13:48:43</t>
  </si>
  <si>
    <t>6. Children's Program Attendance</t>
  </si>
  <si>
    <t>Updated : 2016-08-15 13:48:59</t>
  </si>
  <si>
    <t>The count of the audience at all programs intended primarily for persons 12 years old or younger (excluding all summer reading program events). Include all persons who attend, whether adults or children.</t>
  </si>
  <si>
    <t>7. Do any of your programs focus on early literacy for ages 0-5?</t>
  </si>
  <si>
    <t>Updated : 2016-08-15 13:49:21</t>
  </si>
  <si>
    <t>Does this library offer early literacy programming for children 0 to 5 years of age? This can include programs aimed at children or programs aimed at parents &amp; caregivers.</t>
  </si>
  <si>
    <t>8. How many of the Children's Programs reported in #1 &amp; #5 were focused on Early Literacy?</t>
  </si>
  <si>
    <t>Updated : 2016-08-15 14:34:33</t>
  </si>
  <si>
    <t>Record the number of Early Literacy enrichment programs offered. This total WILL NOT be added to the total programs offered. Please continue to record children's summer reading programs in #1 and all other children's programs in question #5. This also includes programs offered to caregivers in support of early literacy</t>
  </si>
  <si>
    <t>9. Report Total Early Literacy Program Attendance for the programs reported in #8.</t>
  </si>
  <si>
    <t>Updated : 2016-08-15 13:55:02</t>
  </si>
  <si>
    <t>Record the number of Early Literacy enrichment programs attended. This total will not be added to the total children's program attendance, please continue to record total summer reading events attendance in #2 &amp; children's program attendance in question #6. Include adult caregivers attendance in addition to 0-5 year old attendees.</t>
  </si>
  <si>
    <t>10. Teen Programs</t>
  </si>
  <si>
    <t>Updated : 2015-12-21 11:56:45</t>
  </si>
  <si>
    <t>11. Teen Program Attendance</t>
  </si>
  <si>
    <t>Updated : 2016-02-10 15:22:12</t>
  </si>
  <si>
    <t>The count of the audience at all programs intended primarily for young adult persons (approximately 13-18 years old), excluding all summer reading program events. Include all persons who attend, whether adults or children.</t>
  </si>
  <si>
    <t>12. Adult Programs</t>
  </si>
  <si>
    <t>Updated : 2015-09-10 13:12:04</t>
  </si>
  <si>
    <t>13. Adult Program Attendance</t>
  </si>
  <si>
    <t>Updated : 2015-09-10 13:12:17</t>
  </si>
  <si>
    <t>The count of the audience at all programs intended primarily for persons 19 years old or older. Include all persons who attend, whether adults or children.</t>
  </si>
  <si>
    <t>14. General Programs</t>
  </si>
  <si>
    <t>Updated : 2015-09-10 13:12:30</t>
  </si>
  <si>
    <t>15. General Program Attendance</t>
  </si>
  <si>
    <t>Updated : 2015-09-10 13:12:45</t>
  </si>
  <si>
    <t>The count of the audience at all programs not included in the above categories. Include all persons who attend, whether adults or children.</t>
  </si>
  <si>
    <t>Total Programs</t>
  </si>
  <si>
    <t>Updated : 2015-09-10 13:12:57</t>
  </si>
  <si>
    <t>Sum of "Summer Reading Event Children," "Summer Reading Event Teens," "Children's Program," "Young Adult Program," "Adult Program," and "General Program."</t>
  </si>
  <si>
    <t>Total Attendance</t>
  </si>
  <si>
    <t>Updated : 2015-09-10 13:13:13</t>
  </si>
  <si>
    <t>D. Circulation Transactions </t>
  </si>
  <si>
    <t>1. Circulation of Children's Materials</t>
  </si>
  <si>
    <t>Updated : 2016-08-15 14:36:27</t>
  </si>
  <si>
    <t>The total annual circulation of all children's materials in all formats to all users, including renewals but excluding electronic materials. Physical Materials Only</t>
  </si>
  <si>
    <t>2. Circulation of Non-Children's Materials</t>
  </si>
  <si>
    <t>Updated : 2016-08-15 14:36:38</t>
  </si>
  <si>
    <t>The total annual circulation of all non-children's materials in all formats to all users, including renewals but excluding electronic materials. Physical Materials Only</t>
  </si>
  <si>
    <t>3. Circulation of Electronic Materials</t>
  </si>
  <si>
    <t>Updated : 2016-08-15 14:36:49</t>
  </si>
  <si>
    <t>Electronic Materials are materials that are distributed digitally and can be accessed via a computer, the Internet, or a portable device such as an e-book reader. Types of electronic materials include e-books and downloadable electronic video and audio files. Electronic Materials packaged together as a unit and checked out as a unit are counted as one unit. Include circulation only for items counted under Electronic Books (E-Books), Audio-Downloadable Units and Video-Downloadable Units in the LIBRARY COLLECTION data elements 450-460. Do not include items not specified under those definitions.</t>
  </si>
  <si>
    <t>DO NOT INCLUDE DATABASES (Now known as electronic collections) IN THIS COUNT!!!</t>
  </si>
  <si>
    <t>4. Electronic Collection (Dbase) Use</t>
  </si>
  <si>
    <t>Updated : 2016-08-15 15:07:27</t>
  </si>
  <si>
    <t>The number of full-content units or descriptive records examined, downloaded, or otherwise supplied to user, from online library resources that the library provides that require user authentication but do not have a circulation period (DO NOT INCLUDE MeL RESOURCES). Examining documents is defined as having the full text of a digital document or electronic resource downloaded or fully displayed. Some electronic services do not require downloading as simply viewing documents is normally sufficient for user needs. </t>
  </si>
  <si>
    <t>Include use both inside and outside the library. Do not include use of the OPAC or website. [based on NISO Standard Z39.7 (2013) #7.7, p. 43] </t>
  </si>
  <si>
    <t>Rationale: This proposed new element is designed to capture the use of online content provided by libraries, but does not require a traditional circulation. Primarily, this element will capture the use of paid, commercial databases. The definition borrowed heavily from NISO standards.</t>
  </si>
  <si>
    <t>DO NOT INCLUDE RESOURCES ACCESSED THROUGH MeL.</t>
  </si>
  <si>
    <t>5. Total Physical Circulation</t>
  </si>
  <si>
    <t>Updated : 2016-08-15 14:43:28</t>
  </si>
  <si>
    <t>Calculated field combining Circulation of Children's Materials and Non-Children's Materials</t>
  </si>
  <si>
    <t>6. Total Electronic Content Use</t>
  </si>
  <si>
    <t>Updated : 2016-08-15 14:43:39</t>
  </si>
  <si>
    <t>This proposed new element would be a calculated field: the total of Circulation of Electronic Material AND Local Database Use.</t>
  </si>
  <si>
    <t>7. Total Circulation</t>
  </si>
  <si>
    <t>Updated : 2016-08-15 14:37:42</t>
  </si>
  <si>
    <t>The total annual circulation of all library materials of all types, including renewals and electronic materials. Count all materials in all formats that are charged out for use outside the library. Interlibrary loan transactions included are only items borrowed that are then circulated to users. Do not include items checked out to another library.</t>
  </si>
  <si>
    <t>This total will also include Local Database Use</t>
  </si>
  <si>
    <t>E. Reference Transactions </t>
  </si>
  <si>
    <t>8. Reference Transactions</t>
  </si>
  <si>
    <t>Updated : 2016-08-15 14:37:56</t>
  </si>
  <si>
    <t>Reference Transactions are information consultations in which library staff recommend, interpret, evaluate, and/or use information resources to help others to meet particular information needs.</t>
  </si>
  <si>
    <t>A reference transaction includes information and referral service as well as unscheduled individual instruction and assistance in using information sources (including web sites and computer-assisted instruction).Count Readers Advisory questions as reference transactions.</t>
  </si>
  <si>
    <t>Information sources include (a) printed and non-printed material; (b) machine-readable databases (including computer-assisted instruction); (c) the library's own catalogs and other holdings records; (d) other libraries and institutions through communication or referral; and (e) persons both inside and outside the library.</t>
  </si>
  <si>
    <t>When a staff member uses information gained from previous use of information sources to answer a question, the transaction is reported as a reference transaction even if the source is not consulted again.</t>
  </si>
  <si>
    <t>If a contact includes both reference and directional services, it should be reported as one reference transaction. Duration should not be an element in determining whether a transaction is a reference transaction.</t>
  </si>
  <si>
    <t>NOTE: It is essential that libraries do not include directional transactions in the report of reference transactions. Directional transactions include giving instruction for locating staff, library users, or physical features within the library. Examples of directional transactions include, “Where is the reference librarian? Where is Susan Smith? Where is the rest room? Where are the 600s? Can you help me make a photocopy?”</t>
  </si>
  <si>
    <t>If an annual count of reference transactions is unavailable, count reference transactions during a typical week or weeks, and multiply the count to represent an annual estimate. [If the sample is done four times a year, multiply totals by 13, if done twice a year multiply by 26, if done only annually, multiply by 52.] A "typical week" is a time that is neither unusually busy nor unusually slow. Avoid holiday times, vacation periods for key staff, or days when unusual events are taking place in the community or in the library. Choose a week in which the library is open its regular hours.</t>
  </si>
  <si>
    <t>F. Interlibrary Loans </t>
  </si>
  <si>
    <t>9. Number of items loaned to other libraries</t>
  </si>
  <si>
    <t>Updated : 2016-08-15 14:38:09</t>
  </si>
  <si>
    <t>These are library materials, or copies of the materials, provided by one library to another upon request. The libraries involved in interlibrary loans are not under the same library administration. These data are reported as annual figures.</t>
  </si>
  <si>
    <t>10. Number of items borrowed from other libraries</t>
  </si>
  <si>
    <t>Updated : 2016-08-15 14:38:20</t>
  </si>
  <si>
    <t>These are library materials, or copies of the materials, received by one library from another upon request. The libraries involved in the interlibrary loans are not under the same library administration. These data are reported as annual figures.</t>
  </si>
  <si>
    <t>G. Uses (Sessions) of Public Internet Computers Per Year </t>
  </si>
  <si>
    <t>11. Uses (Sessions) of Public Internet Computers Per Year</t>
  </si>
  <si>
    <t>Updated : 2016-08-15 14:38:32</t>
  </si>
  <si>
    <t>Report the total number of uses (sessions) for Internet computers in the library during the last year. If the computer is used for multiple purposes (Internet access, word-processing, OPAC, etc.) and Internet uses (sessions) cannot be isolated, report all usage. A typical week or other reliable estimate may be used to determine the annual number. Sign-up forms or Web-log tracking software also may provide a reliable count of uses (sessions). Note: The number of uses (sessions) may be counted manually, using registration logs. Count each use (session) for public internet computers, regardless of the amount of time spent on the computer. A use (session) on the library's public internet computer(s)three times a year would count as three uses (sessions). Software such as "Historian" can also be used to track the number of uses (sessions) at each public internet computer. If the data element is collected as a weekly figure, multiply that figure by 52 to annualize it.</t>
  </si>
  <si>
    <t>H. Uses of Wireless Logins Per Year </t>
  </si>
  <si>
    <t>12. Uses of Wireless Logins Per Year</t>
  </si>
  <si>
    <t>Updated : 2016-08-15 14:38:48</t>
  </si>
  <si>
    <t>Report the number of wireless sessions provided by the library wireless service annually. If the data element is collected as a weekly figure, multiply that figure by 50 to annualize it.</t>
  </si>
  <si>
    <t>I. Number of active registered borrowers </t>
  </si>
  <si>
    <t>13. Number of active registered borrowers</t>
  </si>
  <si>
    <t>Updated : 2016-08-15 14:39:01</t>
  </si>
  <si>
    <t>A registered borrower is a library user who has applied for and received an identification number or card from the public library that has established conditions under which the user may borrow library materials and gain access to other library resources. Note: Files should have been purged within the past three (3) years.</t>
  </si>
  <si>
    <t>J. Internet Terminals </t>
  </si>
  <si>
    <t>Click on Outlet's name to enter internet information for each outlet. Do not include service outlets that are not administered by the library system. </t>
  </si>
  <si>
    <t>Library Name</t>
  </si>
  <si>
    <t>Connection Speed</t>
  </si>
  <si>
    <t>Connection Type</t>
  </si>
  <si>
    <t>Public Terminals</t>
  </si>
  <si>
    <t>Staff Terminals</t>
  </si>
  <si>
    <t>Verified</t>
  </si>
  <si>
    <t>Total </t>
  </si>
  <si>
    <t>14. Total Staff Terminals</t>
  </si>
  <si>
    <t>Updated : 2016-08-15 14:39:18</t>
  </si>
  <si>
    <t>Include computers used for all purposes, including OPAC, word processing, Internet, etc.</t>
  </si>
  <si>
    <t>15. Total Public Terminals</t>
  </si>
  <si>
    <t>Updated : 2016-08-15 14:39:29</t>
  </si>
  <si>
    <t>Include computers used for all purposes including OPAC, word processing, Internet, etc.</t>
  </si>
  <si>
    <t>PART XI: CERTIFICATION OF PUBLIC LIBRARY PERSONNEL </t>
  </si>
  <si>
    <t>This section verifies that appropriate numbers and levels of staff worked at the library during the reporting year to meet the minimum standards for State Aid. Only staff that are CERTIFIED by the Library of Michigan and worked during the REPORTING YEAR need to be listed on this page. If a new CERTIFIED staff member was hired during the reporting year, please provide a hire date. If a certified staff member (including the director) left during the reporting year, please provide a departure date. For example, if the directorship changed during the reporting year, list the previous director with his or her departure date and the current director immediately below with his or her date of hire. </t>
  </si>
  <si>
    <t>A. Director Certification Information </t>
  </si>
  <si>
    <t>Please enter the information for your current director. </t>
  </si>
  <si>
    <t>1. Director's Name</t>
  </si>
  <si>
    <t>Updated : 2015-10-07 10:28:49</t>
  </si>
  <si>
    <t>2. Title</t>
  </si>
  <si>
    <t>Updated : 2015-10-07 10:28:55</t>
  </si>
  <si>
    <t>3. Director's SSN (last 4 digits)</t>
  </si>
  <si>
    <t>Updated : 2016-02-26 15:16:01</t>
  </si>
  <si>
    <t>4. Director's Avg Hrs Worked/Week</t>
  </si>
  <si>
    <t>Updated : 2015-10-07 10:29:33</t>
  </si>
  <si>
    <t>5. Director's Certification Level (I, II, III, or IV)</t>
  </si>
  <si>
    <t>Updated : 2015-10-07 10:29:39</t>
  </si>
  <si>
    <t>Level Certificate:</t>
  </si>
  <si>
    <t>I Librarian's Permanent Professional Certificate</t>
  </si>
  <si>
    <t>II Librarian's Professional Certificate</t>
  </si>
  <si>
    <t>III Limited Professional</t>
  </si>
  <si>
    <t>IV Paraprofessional</t>
  </si>
  <si>
    <t>6. Director's Hire Date</t>
  </si>
  <si>
    <t>Updated : 2015-10-07 10:29:45</t>
  </si>
  <si>
    <t>7. Director's Departure Date</t>
  </si>
  <si>
    <t>Updated : 2015-10-07 10:29:51</t>
  </si>
  <si>
    <t>B. Library Personnel Certification Information </t>
  </si>
  <si>
    <t>Name</t>
  </si>
  <si>
    <t>Last 4 Digits Social Security Number</t>
  </si>
  <si>
    <t>Updated : 2016-02-26 15:16:23</t>
  </si>
  <si>
    <t>Avg. Hours Worked Per Week</t>
  </si>
  <si>
    <t>Certification Level RECEIVED from Library of Michigan</t>
  </si>
  <si>
    <t>Hire Date if New in Reporting Year</t>
  </si>
  <si>
    <t>Departure Date in Reporting Year</t>
  </si>
  <si>
    <t>Head of Entity</t>
  </si>
  <si>
    <t>Verified Information?</t>
  </si>
  <si>
    <t>Certification Expiration Date</t>
  </si>
  <si>
    <t>PART XII: NONRESIDENT FEES INFORMATION </t>
  </si>
  <si>
    <t>1. Non-Resident Fee</t>
  </si>
  <si>
    <t>Updated : 2015-10-13 13:00:01</t>
  </si>
  <si>
    <t>Do you charge a nonresident fee to any person living outside of your service area?</t>
  </si>
  <si>
    <t>2. NR Fee Annual or One Time</t>
  </si>
  <si>
    <t>Updated : 2015-10-13 13:00:13</t>
  </si>
  <si>
    <t>Is your fee annual or one-time (choose one)</t>
  </si>
  <si>
    <t>3. Fee schedule or non-resident rate (Example: $35/family;$25/individual)</t>
  </si>
  <si>
    <t>Fee Schedule or NonResident rate (e.g. $35/family; $35/individual)</t>
  </si>
  <si>
    <t>4. Full Library Service for Contracted Municipalities</t>
  </si>
  <si>
    <t>Updated : 2015-10-13 13:00:24</t>
  </si>
  <si>
    <t>The same array of library services you provided for your jurisdictional population and the rest of your legal service population.</t>
  </si>
  <si>
    <t>PART XIII: TECHNOLOGY </t>
  </si>
  <si>
    <t>1. Total number of computers that the library provides for use by staff only</t>
  </si>
  <si>
    <t>2. Total number of computers that the library provides for public use</t>
  </si>
  <si>
    <t>3. Is your library circulation system automated?</t>
  </si>
  <si>
    <t>Updated : 2015-10-13 12:57:45</t>
  </si>
  <si>
    <t>4. Total income budgeted for the library's Integrated Library System</t>
  </si>
  <si>
    <t>Enter the total amount spent per year on the integrated library system or ILS.</t>
  </si>
  <si>
    <t>5. Circulation System Vendor Name</t>
  </si>
  <si>
    <t>6. Is your card catalog automated?</t>
  </si>
  <si>
    <t>Updated : 2015-10-13 12:53:11</t>
  </si>
  <si>
    <t>7. Card Catalog Vendor Name</t>
  </si>
  <si>
    <t>8. Patron Initiated ILL</t>
  </si>
  <si>
    <t>Updated : 2015-10-13 12:53:25</t>
  </si>
  <si>
    <t>9. Do you offer a Remote Catalog?</t>
  </si>
  <si>
    <t>Updated : 2015-10-13 12:54:04</t>
  </si>
  <si>
    <t>10. Do you provide Self Checkout?</t>
  </si>
  <si>
    <t>Updated : 2015-10-13 12:54:14</t>
  </si>
  <si>
    <t>11. Is your Circulation System Shared?</t>
  </si>
  <si>
    <t>Updated : 2015-10-13 12:54:27</t>
  </si>
  <si>
    <t>12. Do you provide Wireless Internet Access to Patrons?</t>
  </si>
  <si>
    <t>Updated : 2015-10-13 12:54:37</t>
  </si>
  <si>
    <t>PART XIV: SALARY AND BENEFIT INFORMATION </t>
  </si>
  <si>
    <t>Using the library's current pay scale for each position, indicate the average hours worked per week, and the minimum and maximum salary range for one year for the classifications listed for the main library. Report salary information for filled and vacant positions. Position titles may not reflect exact titles used at your library; use the closest match. </t>
  </si>
  <si>
    <t>1. Director Average Hrs/Wk</t>
  </si>
  <si>
    <t>2. Director Minimum Salary</t>
  </si>
  <si>
    <t>3. Director Maximum Salary</t>
  </si>
  <si>
    <t>4. Assistant Director Average Hrs/Wk</t>
  </si>
  <si>
    <t>5. Assistant Director Minimum Salary</t>
  </si>
  <si>
    <t>6. Assistant Director Maximum Salary</t>
  </si>
  <si>
    <t>7. Department/Branch Head Average Hrs/Wk</t>
  </si>
  <si>
    <t>8. Department/Branch Head Minimum Salary</t>
  </si>
  <si>
    <t>9. Department/Branch Head Maximum Salary</t>
  </si>
  <si>
    <t>10. Senior Level Librarian Average Hrs/Wk</t>
  </si>
  <si>
    <t>11. Senior Level Librarian Minimum Salary</t>
  </si>
  <si>
    <t>12. Senior Level Librarian Maximum Salary</t>
  </si>
  <si>
    <t>13. Entry Level Librarian Average Hrs/Wk</t>
  </si>
  <si>
    <t>14. Entry Level Librarian Minimum Salary</t>
  </si>
  <si>
    <t>15. Entry Level Librarian Maximum Salary</t>
  </si>
  <si>
    <t>16. Computer/Technology Specialist Average Hrs/Wk</t>
  </si>
  <si>
    <t>17. Computer/Technology Specialist Minimum Salary</t>
  </si>
  <si>
    <t>18. Computer/Technology Specialist Maximum Salary</t>
  </si>
  <si>
    <t>19. Library Clerk Average Hrs/Wk</t>
  </si>
  <si>
    <t>20. Library Clerk Minimum Salary</t>
  </si>
  <si>
    <t>21. Library Clerk Maximum Salary</t>
  </si>
  <si>
    <t>Director Benefit Information </t>
  </si>
  <si>
    <t>22. Health Insurance</t>
  </si>
  <si>
    <t>Updated : 2015-10-13 12:43:46</t>
  </si>
  <si>
    <t>23. Dental Insurance</t>
  </si>
  <si>
    <t>Updated : 2015-10-13 12:44:06</t>
  </si>
  <si>
    <t>24. Life Insurance</t>
  </si>
  <si>
    <t>Updated : 2015-10-13 12:44:20</t>
  </si>
  <si>
    <t>25. Pension</t>
  </si>
  <si>
    <t>Updated : 2015-10-13 12:44:35</t>
  </si>
  <si>
    <t>26. Vision Insurance</t>
  </si>
  <si>
    <t>Updated : 2015-10-13 12:44:48</t>
  </si>
  <si>
    <t>27. Paid Sick Leave</t>
  </si>
  <si>
    <t>Updated : 2015-10-13 12:45:04</t>
  </si>
  <si>
    <t>28. Paid Vacation</t>
  </si>
  <si>
    <t>Updated : 2015-10-13 12:45:31</t>
  </si>
  <si>
    <t>29. Paid Holidays</t>
  </si>
  <si>
    <t>Updated : 2015-10-13 12:45:47</t>
  </si>
  <si>
    <t>30. Deferred Compensation</t>
  </si>
  <si>
    <t>Updated : 2015-10-13 12:46:10</t>
  </si>
  <si>
    <t>31. Disability</t>
  </si>
  <si>
    <t>Updated : 2015-10-13 12:46:32</t>
  </si>
  <si>
    <t>32. Paid Personal Days</t>
  </si>
  <si>
    <t>Updated : 2015-10-13 12:46:44</t>
  </si>
  <si>
    <t>33. Longevity</t>
  </si>
  <si>
    <t>Updated : 2015-10-13 12:47:07</t>
  </si>
  <si>
    <t>34. Other Benefits</t>
  </si>
  <si>
    <t>PART XV: CURRENT MILLAGE INFORMATION </t>
  </si>
  <si>
    <t>1. Millage Rate</t>
  </si>
  <si>
    <t>Enter the rate approved by the voters in your service area. This is the maximum that the library may levy.</t>
  </si>
  <si>
    <t>2. Millage Authorization Date</t>
  </si>
  <si>
    <t>Enter the month and year when the voters in your service area approved the millage.</t>
  </si>
  <si>
    <t>3. Millage Rate Levied</t>
  </si>
  <si>
    <t>Enter the rate levied for library services. This is the rate that actually was used in determining property taxes.</t>
  </si>
  <si>
    <t>4. Millage Expiration Date</t>
  </si>
  <si>
    <t>Enter the month and year when the millage will expire. If the millage was voted "in perpetuity," leave date blank and indicate this by checking the box in the "Millage Voted in Perpetuity" field.</t>
  </si>
  <si>
    <t>5. Millage Voted in Perpetuity</t>
  </si>
  <si>
    <t>Updated : 2015-10-13 13:02:00</t>
  </si>
  <si>
    <t>If the millage was voted "in perpetuity," leave "Millage Expiration Date" blank and check this box.</t>
  </si>
  <si>
    <t>6. Millage is for Operating, Debt, or Both?</t>
  </si>
  <si>
    <t>Please indicate whether the millage is for operating, debt, or both.</t>
  </si>
  <si>
    <t>7. Millage Rate (2)</t>
  </si>
  <si>
    <t>8. Millage Authorization Date (2)</t>
  </si>
  <si>
    <t>9. Millage Rate Levied (2)</t>
  </si>
  <si>
    <t>10. Millage Expiration Date (2)</t>
  </si>
  <si>
    <t>Enter the month and year when the millage will expire. If the millage was voted "in perpetuity," leave date blank and indicate this by checking the box in the "Millage Voted in Perpetuity (2)" field.</t>
  </si>
  <si>
    <t>11. Millage Voted in Perpetuity (2)</t>
  </si>
  <si>
    <t>Updated : 2015-10-13 13:02:11</t>
  </si>
  <si>
    <t>If the millage was voted "in perpetuity," leave "Millage Expiration Date (2)" blank and check this box.</t>
  </si>
  <si>
    <t>12. Millage is for Operating, Debt, or Both? (2)</t>
  </si>
  <si>
    <t>13. Millage Rate (3)</t>
  </si>
  <si>
    <t>14. Millage Authorization Date (3)</t>
  </si>
  <si>
    <t>15. Millage Rate Levied (3)</t>
  </si>
  <si>
    <t>16. Millage Expiration Date (3)</t>
  </si>
  <si>
    <t>Enter the month and year when the millage will expire. If the millage was voted "in perpetuity," leave date blank and indicate this by checking the box in the "Millage Voted in Perpetuity (3)" field.</t>
  </si>
  <si>
    <t>17. Millage Voted in Perpetuity (3)</t>
  </si>
  <si>
    <t>Updated : 2015-10-13 13:02:25</t>
  </si>
  <si>
    <t>If the millage was voted "in perpetuity," leave "Millage Expiration Date (3)" blank and check this box.</t>
  </si>
  <si>
    <t>18. Millage is for Operating, Debt, or Both? (3)</t>
  </si>
  <si>
    <t>PART XVI: TRUSTEES REPORT </t>
  </si>
  <si>
    <t>List the names of the Trustees who are serving at the time this report is filed. Be sure to complete the "Term Expires" column. DO NOT LIST TRUSTEES WHOSE TERMS HAVE EXPIRED AT THE TIME OF FILING THIS REPORT. Library Staff Members may not be voting members of the Board of Trustees. School District Libraries organized under Public Act 451, 1976, must report both their legal School Board and their Library Advisory Board. If a Board position is vacant at the time of filing, make an entry for the vacant position to verify that your Board will have the appropriate number of Trustees. When the position is filled, contact Kathy Webb to report the new Board member and term at webbk1@michigan.gov or (517) 373-1303. </t>
  </si>
  <si>
    <t>Trustee Title</t>
  </si>
  <si>
    <t>Current title of the Board member.</t>
  </si>
  <si>
    <t>Trustee Name</t>
  </si>
  <si>
    <t>List the legal name for each current Board of Trustees member, beginning with officers. Enter "vacant" for vacancies, then contact the Library of Michigan when the positions are filled. Include School Board and Advisory Board, if applicable.</t>
  </si>
  <si>
    <t>Trustee Email</t>
  </si>
  <si>
    <t>Trustee Voting Member?</t>
  </si>
  <si>
    <t>Indicate if trustee is a voting member of your Board.</t>
  </si>
  <si>
    <t>Trustee Address 1</t>
  </si>
  <si>
    <t>Provide a current street address for each Board member. Include street number and street name.</t>
  </si>
  <si>
    <t>Trustee Address 2</t>
  </si>
  <si>
    <t>Provide a current PO Box, if appropriate, for each Board Member.</t>
  </si>
  <si>
    <t>Trustee City</t>
  </si>
  <si>
    <t>The city or town in which the Board Member resides.</t>
  </si>
  <si>
    <t>Trustee State</t>
  </si>
  <si>
    <t>The state in which the Board Member currently resides.</t>
  </si>
  <si>
    <t>Trustee Zip Code</t>
  </si>
  <si>
    <t>The five-digit postal zip code.</t>
  </si>
  <si>
    <t>Trustee Phone</t>
  </si>
  <si>
    <t>Provide the phone number at which each individual can be reached during the day.</t>
  </si>
  <si>
    <t>Trustee Term Expires</t>
  </si>
  <si>
    <t>List the month and year the term for each Board member will expire. If an individual serves on the Board as a function of his municipal office, write "ex officio" in this space.</t>
  </si>
  <si>
    <t>Trustee Verified Info</t>
  </si>
  <si>
    <t>Select the option which describes how your library Board members are designated </t>
  </si>
  <si>
    <t>The Library Trustees are:</t>
  </si>
  <si>
    <t>Updated : 2016-08-15 14:45:46</t>
  </si>
  <si>
    <t>Check the box which describes how your library board members are designated. Only one box should be checked.</t>
  </si>
  <si>
    <t>PART XVII: CERTIFICATION OF INFORMATION </t>
  </si>
  <si>
    <t>Please complete the fields below </t>
  </si>
  <si>
    <t>1. Authorized Official Name</t>
  </si>
  <si>
    <t>2. Authorized Official Title</t>
  </si>
  <si>
    <t>3. Authorized Official Phone Number</t>
  </si>
  <si>
    <t>4. Authorized Official Email</t>
  </si>
  <si>
    <t>5. Authorized Official Sign Date</t>
  </si>
  <si>
    <t>6. Contact Person Name</t>
  </si>
  <si>
    <t>7. Contact Person Title</t>
  </si>
  <si>
    <t>8. Contact Person Phone Number</t>
  </si>
  <si>
    <t>9. Contact Person Email</t>
  </si>
  <si>
    <t>10. Contact Person Sign Date</t>
  </si>
  <si>
    <t>11. Director Name</t>
  </si>
  <si>
    <t>12. Director Phone Number</t>
  </si>
  <si>
    <t>13. Director Email</t>
  </si>
  <si>
    <t>14. Director Sign Date</t>
  </si>
  <si>
    <t>I certify that the information provided on this application truly represents the library’s activities and that the financial information can be verified by audit.</t>
  </si>
  <si>
    <t>Updated : 2015-09-09 09:42:40</t>
  </si>
  <si>
    <t>To be completed by the library director or other authorized library official that can certify that this information is correct and can be verified by audit.</t>
  </si>
  <si>
    <t>I certify that state aid funds were used for expenses that are consistent with at LEAST ONE of the purposes AND ONE of the priorities of the Library Services &amp; Technology Act (20 USC Chapter 72 Subchapter II). Click on this text to see the full list of Pur</t>
  </si>
  <si>
    <t>Updated : 2015-09-09 09:43:15</t>
  </si>
  <si>
    <t>Purposes (Sec. 9121.) </t>
  </si>
  <si>
    <t>(1) To enhance coordination among Federal programs that relate to library and information services; </t>
  </si>
  <si>
    <t>(2) To promote continuous improvement in library services in all types of libraries in order to better serve the people of the United States; </t>
  </si>
  <si>
    <t>(3) To facilitate access to resources in all types of libraries for the purpose of cultivating an educated and informed citizenry; </t>
  </si>
  <si>
    <t>(4) To encourage resource sharing among all types of libraries for the purpose of achieving economical and efficient delivery of library services to the public; </t>
  </si>
  <si>
    <t>(5) To promote literacy, education, and lifelong learning and to enhance and expand the services and resources provided by libraries, including those services and resources relating to workforce development, 21st century skills, and digital literacy skills; </t>
  </si>
  <si>
    <t>(6) To enhance the skills of the current library workforce and to recruit future professionals to the field of library and information services; </t>
  </si>
  <si>
    <t>(7) To ensure the preservation of knowledge and library collections in all formats and to enable libraries to serve their communities during disasters; </t>
  </si>
  <si>
    <t>(8) To enhance the role of libraries within the information infrastructure of the United States in order to support research, education, and innovation; and national, State, regional, and international collaborations and networks.</t>
  </si>
  <si>
    <t>Priorities (Sec. 9141.) </t>
  </si>
  <si>
    <t>(1) Expanding services for learning and access to information and educational resources in a variety of formats, in all types of libraries, for individuals of all ages in order to support such individuals’ needs for education, life-long learning, workforce development, and digital literacy skills; </t>
  </si>
  <si>
    <t>(2) Establishing or enhancing electronic and other linkages and improved coordination among and between libraries and entities, as described in 9134(b)(6), for the purpose of improving the quality of and access to library and information services; </t>
  </si>
  <si>
    <t>(3) (A) Providing training and professional development, including continuing education, to enhance the skills of the current library workforce and leadership, and advance the delivery of library and information services; and (B) enhancing efforts to recruit future professionals to the field of library and information services; </t>
  </si>
  <si>
    <t>(4) Developing public and private partnerships with other agencies and community-based organizations; </t>
  </si>
  <si>
    <t>(5) Targeting library services to individuals of diverse geographic, cultural and socioeconomic backgrounds, to individuals with disabilities, and to individuals with limited functional literacy or information skills; </t>
  </si>
  <si>
    <t>(6) Targeting library and information services to persons having difficulty using a library and to underserved urban and rural communities, including children (from birth through age 17) from families with incomes below the poverty line…; </t>
  </si>
  <si>
    <t>(7) Developing library services that provide all users access to information through local, State, regional, national, and international collaborations and networks; and </t>
  </si>
  <si>
    <t>(8) Carrying out other activities consistent with the purposes set forth in section 9121, as described in the State library administrative agency’s plan.</t>
  </si>
  <si>
    <t>Summary and Definitions</t>
  </si>
  <si>
    <t>Outlets, Hours, SqFt</t>
  </si>
  <si>
    <t>Collections</t>
  </si>
  <si>
    <t>Services</t>
  </si>
  <si>
    <t>Programs</t>
  </si>
  <si>
    <t>Technology</t>
  </si>
  <si>
    <t>Millages</t>
  </si>
  <si>
    <t>Operating Income</t>
  </si>
  <si>
    <t>Operating Expenditures</t>
  </si>
  <si>
    <t>Capital Income and Expenditure</t>
  </si>
  <si>
    <t>Nonresident Fees</t>
  </si>
  <si>
    <t>Staffing</t>
  </si>
  <si>
    <t>Directors Salary &amp; Benefits</t>
  </si>
  <si>
    <t>Other Employee Salary &amp; Benefits</t>
  </si>
  <si>
    <t>Total Libraries Reporting (N)</t>
  </si>
  <si>
    <t>TOTAL</t>
  </si>
  <si>
    <t>AVERAGE</t>
  </si>
  <si>
    <t>Total Population Served</t>
  </si>
  <si>
    <t>Number of Print Materials</t>
  </si>
  <si>
    <t>Audio (Physical Units)</t>
  </si>
  <si>
    <t>Video (Physical Units)</t>
  </si>
  <si>
    <t>Subscriptions (Non-electronic)</t>
  </si>
  <si>
    <t>Total Electronic Collections</t>
  </si>
  <si>
    <t>Electronic Books (E-Books)</t>
  </si>
  <si>
    <t>Audio (Downloadable Units)</t>
  </si>
  <si>
    <t>Video (Downloadable Units)</t>
  </si>
  <si>
    <t>Total Collection (Physical / Electronic Units)</t>
  </si>
  <si>
    <t>NA</t>
  </si>
  <si>
    <t/>
  </si>
  <si>
    <t>Trenton Veteran's Memorial Library</t>
  </si>
  <si>
    <t>0</t>
  </si>
  <si>
    <t>Total eContent</t>
  </si>
  <si>
    <t>eMaterials Per Capita</t>
  </si>
  <si>
    <t>Physical Materials Per Capita (subcriptions not included)</t>
  </si>
  <si>
    <t>Total Materials Per Capita</t>
  </si>
  <si>
    <t>Total</t>
  </si>
  <si>
    <t>Average</t>
  </si>
  <si>
    <t>*included the entire Hoopla catalog as collection</t>
  </si>
  <si>
    <t>UTD = Unable to Determine</t>
  </si>
  <si>
    <t>*</t>
  </si>
  <si>
    <t>UTD</t>
  </si>
  <si>
    <t>These are downloadable electronic files on which sounds (only) are stored (recorded) and that can be reproduced (played back) electronically. Audio - Downloadable Units may be loaned to users on portable devices or by transmitting the contents to the user’s personal computer for a limited time. Include Audio - Downloadable Units held locally and remote Audio - Downloadable Units for which permanent or temporary access rights have been acquired.</t>
  </si>
  <si>
    <t>Counting Hoopla: Report the number of items downloaded from Hoopla as part of the collection depending on content type (eAudiobooks, eVideos, eBooks) in part IX. #s 3,5 or 7. Then take the total number of content downloaded from Hoopla and report it in Part X. D. #3.</t>
  </si>
  <si>
    <t>Circulation of Children's Materials</t>
  </si>
  <si>
    <t>Circulation of Non-Children's Materials</t>
  </si>
  <si>
    <t>Circulation of Electronic Materials</t>
  </si>
  <si>
    <t>Total Circulation</t>
  </si>
  <si>
    <t>Reference Transactions</t>
  </si>
  <si>
    <t>Number of items loaned to other libraries</t>
  </si>
  <si>
    <t>Number of items borrowed from other libraries</t>
  </si>
  <si>
    <t>Library Visits</t>
  </si>
  <si>
    <t>Uses (Sessions) of Public Internet Computers Per Year</t>
  </si>
  <si>
    <t>Do you provide Wireless Internet Access to Patrons?</t>
  </si>
  <si>
    <t>Uses of Wireless Logins Per Year</t>
  </si>
  <si>
    <t>Number of active registered borrowers</t>
  </si>
  <si>
    <t>Electronic Collection (Dbase) Use</t>
  </si>
  <si>
    <t>Total Physical Circulation</t>
  </si>
  <si>
    <t>Virtual Visits to the Library's Website</t>
  </si>
  <si>
    <t>Did the library provide ‘outside’ services for circulation of physical materials at any outlets during the Coronavirus (COVID-19) pandemic</t>
  </si>
  <si>
    <t>Due to the COVID-19 Pandemic, did your library circulate electronic devices capable of providing remote internet access (Hoptspots, laptops with mobile broadband, etc)</t>
  </si>
  <si>
    <t>(COVID-19) Circulation of Internet Devices</t>
  </si>
  <si>
    <t>Did the library provide reference service via the Internet or telephone during the Coronavirus (COVID-19) pandemic?</t>
  </si>
  <si>
    <t>Are Reference transactions Counted or Estimated?</t>
  </si>
  <si>
    <t>Yes</t>
  </si>
  <si>
    <t>No</t>
  </si>
  <si>
    <t>Estimated</t>
  </si>
  <si>
    <t>Counted</t>
  </si>
  <si>
    <t>Children's Circ Per Capita</t>
  </si>
  <si>
    <t>eMaterials Circ Per Capita</t>
  </si>
  <si>
    <t>Total Circulation Per Capita</t>
  </si>
  <si>
    <t>Circulation Per Cardholder</t>
  </si>
  <si>
    <t>Non-Children's Circ Per Capita</t>
  </si>
  <si>
    <t>Total Electronic Content Use (eMaterials + Dbase Use)</t>
  </si>
  <si>
    <t>Total Collection Use (Physical + all eFormats)</t>
  </si>
  <si>
    <t>Total Collection Use Per Capita</t>
  </si>
  <si>
    <t>DNR</t>
  </si>
  <si>
    <t>FSCS2</t>
  </si>
  <si>
    <t>DNR = Did Not Report</t>
  </si>
  <si>
    <t>Adult Programs</t>
  </si>
  <si>
    <t>Adult Program Attendance</t>
  </si>
  <si>
    <t>General Programs</t>
  </si>
  <si>
    <t>General Program Attendance</t>
  </si>
  <si>
    <t>Summer Reading Events Children Programs</t>
  </si>
  <si>
    <t>Summer Reading Events Children Attendance</t>
  </si>
  <si>
    <t>Summer Reading Events Teens Programs</t>
  </si>
  <si>
    <t>Summer Reading Events Teens Attendance</t>
  </si>
  <si>
    <t>Total Children's Programs</t>
  </si>
  <si>
    <t>Total Children's Program Attendance</t>
  </si>
  <si>
    <t>Total Teen Programs</t>
  </si>
  <si>
    <t>Total Teen Program Attendance</t>
  </si>
  <si>
    <t>Do any of your programs focus on early literacy for ages 0-5?</t>
  </si>
  <si>
    <t>(COVID-19) The number of Library Created Virtual Recorded Program Content Offered due to the COVID-19 Pandemic</t>
  </si>
  <si>
    <t>Children's Events (Non Summer Reading)</t>
  </si>
  <si>
    <t>Children's Events Attendance (Non Summer Reading)</t>
  </si>
  <si>
    <t>Teen Events (Non Summer Reading)</t>
  </si>
  <si>
    <t>Teen  Events Attendance(Non Summer Reading)</t>
  </si>
  <si>
    <t>How Many Children Signed Up For The Summer Reading Program</t>
  </si>
  <si>
    <t>How Many Teens Signed Up For The Summer Reading Program?</t>
  </si>
  <si>
    <t>Total Summer Reading Program Participation</t>
  </si>
  <si>
    <t>(COVID-19) Children's Virtual Programs Offered (Live Virtual Events Only)</t>
  </si>
  <si>
    <t>(COVID-19) Children's Virtual Program Attendance (Live Virtual Events Only)</t>
  </si>
  <si>
    <t>(COVID-19) Total Library Created Virtual Program Content Recorded Views</t>
  </si>
  <si>
    <t>(COVID-19) Total Virtual Programs Offered (Live Virtual Events Only)</t>
  </si>
  <si>
    <t>(COVID-19) Total Virtual Programs Attendance (Live Virtual Events Only)</t>
  </si>
  <si>
    <t>(COVID-19) General Virtual Programs Offered (Virtual Live Events Only)</t>
  </si>
  <si>
    <t>(COVID-19) General Virtual Programs Attendance (Virtual Live Events Only)</t>
  </si>
  <si>
    <t>(COVID-19) Adult Virtual Programs Offered (Virtual Live Events Only)</t>
  </si>
  <si>
    <t>(COVID-19) Adult Virtual Program Attendance (Virtual Live Events Only)</t>
  </si>
  <si>
    <t>(COVID-19) Teen Virtual Program Attendance (Virtual Live Events Only)</t>
  </si>
  <si>
    <t>(COVID-19) Teen Virtual Programs Offered (Virtual Live Events Only)</t>
  </si>
  <si>
    <t>Total Physical in Person Program Attendance</t>
  </si>
  <si>
    <t>Total Programs (Virtual + Physical)</t>
  </si>
  <si>
    <t>Total Programs Attendance (Virtual + Physical)</t>
  </si>
  <si>
    <t xml:space="preserve">Total Physical in Person Programs </t>
  </si>
  <si>
    <t>Attend Per Program</t>
  </si>
  <si>
    <t>Attend Per Capita</t>
  </si>
  <si>
    <r>
      <t xml:space="preserve"> Early Literacy Programs (</t>
    </r>
    <r>
      <rPr>
        <b/>
        <sz val="8"/>
        <color theme="1"/>
        <rFont val="Arial"/>
        <family val="2"/>
      </rPr>
      <t>Subset of Children's programming)</t>
    </r>
  </si>
  <si>
    <r>
      <t xml:space="preserve"> Early Literacy Program Attendance (</t>
    </r>
    <r>
      <rPr>
        <b/>
        <sz val="8"/>
        <color theme="1"/>
        <rFont val="Arial"/>
        <family val="2"/>
      </rPr>
      <t>Subset of Children's programming)</t>
    </r>
  </si>
  <si>
    <t>Provided live, virtual programs via the Internet during the Coronavirus (COVID-19) pandemic?</t>
  </si>
  <si>
    <t>Created and provided recordings of programs via the Internet during the Coronavirus (COVID-19) pandemic?</t>
  </si>
  <si>
    <t>Class 1</t>
  </si>
  <si>
    <t xml:space="preserve">Class 2 </t>
  </si>
  <si>
    <t>Class 3</t>
  </si>
  <si>
    <t>Class 4</t>
  </si>
  <si>
    <t>Class 5</t>
  </si>
  <si>
    <t>Class 6</t>
  </si>
  <si>
    <t>Class 2</t>
  </si>
  <si>
    <t>Total number of computers that the library provides for use by staff only</t>
  </si>
  <si>
    <t>Total number of computers that the library provides for public use</t>
  </si>
  <si>
    <t>Is your library circulation system automated?</t>
  </si>
  <si>
    <t>Circulation System Vendor Name</t>
  </si>
  <si>
    <t>Is your card catalog automated?</t>
  </si>
  <si>
    <t>Card Catalog Vendor Name</t>
  </si>
  <si>
    <t>Patron Initiated ILL</t>
  </si>
  <si>
    <t>Do you offer a Remote Catalog?</t>
  </si>
  <si>
    <t>Do you provide Self Checkout?</t>
  </si>
  <si>
    <t>Is your Circulation System Shared?</t>
  </si>
  <si>
    <t>Total income budgeted for the library's Integrated Library System</t>
  </si>
  <si>
    <t>Carl</t>
  </si>
  <si>
    <t>Atriuum/BookSystems</t>
  </si>
  <si>
    <t>Autographics</t>
  </si>
  <si>
    <t>Sirsi</t>
  </si>
  <si>
    <t>Biblionix - Apollo</t>
  </si>
  <si>
    <t>Sirsi Dynix</t>
  </si>
  <si>
    <t>sirsi Dynix</t>
  </si>
  <si>
    <t>Book Systems</t>
  </si>
  <si>
    <t>Auto Graphics</t>
  </si>
  <si>
    <t>CARL-X</t>
  </si>
  <si>
    <t>Innovative</t>
  </si>
  <si>
    <t>TLC</t>
  </si>
  <si>
    <t>VLC/Sirsi</t>
  </si>
  <si>
    <t>Sirsidynix</t>
  </si>
  <si>
    <t>SirsiDynix</t>
  </si>
  <si>
    <t>Sierra</t>
  </si>
  <si>
    <t>Encore</t>
  </si>
  <si>
    <t>Evergreen</t>
  </si>
  <si>
    <t>Homegrown</t>
  </si>
  <si>
    <t>follett</t>
  </si>
  <si>
    <t>Destiny</t>
  </si>
  <si>
    <t>Follett</t>
  </si>
  <si>
    <t>Biblionix</t>
  </si>
  <si>
    <t>The Library Corporation</t>
  </si>
  <si>
    <t>Auto-Graphics</t>
  </si>
  <si>
    <t>Innovative Interfaces, Inc.</t>
  </si>
  <si>
    <t>Atriuum by Book Systems</t>
  </si>
  <si>
    <t>Atriuum</t>
  </si>
  <si>
    <t>Apollo</t>
  </si>
  <si>
    <t>Valley Library Consortuim</t>
  </si>
  <si>
    <t>Valley Library Consortium</t>
  </si>
  <si>
    <t>Cloud Libraries</t>
  </si>
  <si>
    <t>mylibrarybooks.org/cloud Libraries</t>
  </si>
  <si>
    <t>Biblionix Apollo</t>
  </si>
  <si>
    <t>auto-graphics</t>
  </si>
  <si>
    <t>AutoGraphics</t>
  </si>
  <si>
    <t>Biblionix-Apollo</t>
  </si>
  <si>
    <t>biblionix Apollo</t>
  </si>
  <si>
    <t>CARL</t>
  </si>
  <si>
    <t>Enterprise</t>
  </si>
  <si>
    <t>Nugen</t>
  </si>
  <si>
    <t>TLC Carl</t>
  </si>
  <si>
    <t>Innovative Interfaces Inc</t>
  </si>
  <si>
    <t>Bibliocommons</t>
  </si>
  <si>
    <t>Equinox Open Library Initiative</t>
  </si>
  <si>
    <t>Biblionix/Apollo</t>
  </si>
  <si>
    <t>The Library Corporation (TLC)</t>
  </si>
  <si>
    <t>Auto-graphics</t>
  </si>
  <si>
    <t>Follett/Destiny</t>
  </si>
  <si>
    <t>Innovative Interfaces - Sierra</t>
  </si>
  <si>
    <t>SirsiDynix Enterprise</t>
  </si>
  <si>
    <t xml:space="preserve"> NuGen Cloudnet Libraries</t>
  </si>
  <si>
    <t>Auto-Graphics/ Verso</t>
  </si>
  <si>
    <t>Sirsi/Dynix</t>
  </si>
  <si>
    <t>TLC's CARL-X</t>
  </si>
  <si>
    <t>SirsiDynix Symphony</t>
  </si>
  <si>
    <t>Polaris - III</t>
  </si>
  <si>
    <t>Infovision Software</t>
  </si>
  <si>
    <t>Proquest/III/Polaris</t>
  </si>
  <si>
    <t>Citrix</t>
  </si>
  <si>
    <t>Book Systems- Attrium</t>
  </si>
  <si>
    <t>Sirsi Dynx</t>
  </si>
  <si>
    <t xml:space="preserve">Evolve </t>
  </si>
  <si>
    <t>Infovision</t>
  </si>
  <si>
    <t>sirsi</t>
  </si>
  <si>
    <t>TLC CARL</t>
  </si>
  <si>
    <t>Sirsi/Dynex</t>
  </si>
  <si>
    <t>Biblionix (Apollo)</t>
  </si>
  <si>
    <t>Verso</t>
  </si>
  <si>
    <t>SIRSI</t>
  </si>
  <si>
    <t>Sirsi Symphony</t>
  </si>
  <si>
    <t>Carl.connect</t>
  </si>
  <si>
    <t>AutoGraphics (Verso)</t>
  </si>
  <si>
    <t>Sirsi Dynix Horizon</t>
  </si>
  <si>
    <t xml:space="preserve"> Bibliocommons</t>
  </si>
  <si>
    <t xml:space="preserve">Carl </t>
  </si>
  <si>
    <t>Auto-gfraphics</t>
  </si>
  <si>
    <t>verso</t>
  </si>
  <si>
    <t>Auto Graphics Verso</t>
  </si>
  <si>
    <t>Innovative Interface, Inc</t>
  </si>
  <si>
    <t>III Sierra</t>
  </si>
  <si>
    <t>III Sierra (Encore)</t>
  </si>
  <si>
    <t>CARLX</t>
  </si>
  <si>
    <t xml:space="preserve"> LS2 PAC</t>
  </si>
  <si>
    <t>Innovated Sierra</t>
  </si>
  <si>
    <t>Innovative Sierra</t>
  </si>
  <si>
    <t>Innovative Interfaces</t>
  </si>
  <si>
    <t>Innovative Interfaces, inc.</t>
  </si>
  <si>
    <t>Follett Destiny</t>
  </si>
  <si>
    <t>III</t>
  </si>
  <si>
    <t>ResourceMate</t>
  </si>
  <si>
    <t>Sirsi/Dynix Enterprise</t>
  </si>
  <si>
    <t>NuGen</t>
  </si>
  <si>
    <t>Book System/Atriuum</t>
  </si>
  <si>
    <t>OPAC</t>
  </si>
  <si>
    <t>Lakleand Library Cooperative</t>
  </si>
  <si>
    <t>iii</t>
  </si>
  <si>
    <t>AutoGraphics Verso</t>
  </si>
  <si>
    <t>CARL X</t>
  </si>
  <si>
    <t>Dynix/Horizon</t>
  </si>
  <si>
    <t>Auto-Graphics Verso</t>
  </si>
  <si>
    <t>Auto-graphics Verso</t>
  </si>
  <si>
    <t>The Library Corporoation</t>
  </si>
  <si>
    <t>TLN Carl.Connect Discovery</t>
  </si>
  <si>
    <t>Encore / Capira app</t>
  </si>
  <si>
    <t>III and Bibliocommons</t>
  </si>
  <si>
    <t xml:space="preserve">Innovative Interfaces, Inc, </t>
  </si>
  <si>
    <t>Bibilionix/Apollo</t>
  </si>
  <si>
    <t xml:space="preserve"> Sirsi Dynix - Horizon</t>
  </si>
  <si>
    <t>Innovative Interface</t>
  </si>
  <si>
    <t>Book Systems Atriuum</t>
  </si>
  <si>
    <t>Atrium</t>
  </si>
  <si>
    <t>Innovative/Sierra</t>
  </si>
  <si>
    <t>SirsiDynix Horizon</t>
  </si>
  <si>
    <t>SirsiDynix Horizon (Enterprise)</t>
  </si>
  <si>
    <t>Insignia Software</t>
  </si>
  <si>
    <t>Horizon</t>
  </si>
  <si>
    <t xml:space="preserve">Evergreen via TADL </t>
  </si>
  <si>
    <t>Evergreen via TADL</t>
  </si>
  <si>
    <t>sierra</t>
  </si>
  <si>
    <t>innovative interfaces</t>
  </si>
  <si>
    <t>SIRSY/DYNIX</t>
  </si>
  <si>
    <t>Ibistro</t>
  </si>
  <si>
    <t>Library World</t>
  </si>
  <si>
    <t>apollo biblionix</t>
  </si>
  <si>
    <t>Apollo Biblionix</t>
  </si>
  <si>
    <t>Innovative Interfaces-Sierra</t>
  </si>
  <si>
    <t>Innovative Interfaces-Encore</t>
  </si>
  <si>
    <t>Polaris</t>
  </si>
  <si>
    <t xml:space="preserve"> THE LIBRARY CORPORATION</t>
  </si>
  <si>
    <t>THE LIBRARY CORPORATION</t>
  </si>
  <si>
    <t>The Library Company</t>
  </si>
  <si>
    <t>SIRSI/DYNIX</t>
  </si>
  <si>
    <t>Carl Connect</t>
  </si>
  <si>
    <t>NuGen/Cloudnet</t>
  </si>
  <si>
    <t>CarlX</t>
  </si>
  <si>
    <t>Book Systems-Atriuum</t>
  </si>
  <si>
    <t>Infovision Evolve</t>
  </si>
  <si>
    <t>VERSO-Auto-Graphics</t>
  </si>
  <si>
    <t>VERSO Auto-Graphics</t>
  </si>
  <si>
    <t>Carl Discovery</t>
  </si>
  <si>
    <t>sirsi dynix</t>
  </si>
  <si>
    <t>VersoAutographics</t>
  </si>
  <si>
    <t>Verso/Autographics</t>
  </si>
  <si>
    <t>COMPanion Corp</t>
  </si>
  <si>
    <t>Sirsi/Dynix Symphony</t>
  </si>
  <si>
    <t>Innovative Interfaces, Inc</t>
  </si>
  <si>
    <t>Sierra Integrated Library</t>
  </si>
  <si>
    <t>Michigan Evergreen</t>
  </si>
  <si>
    <t xml:space="preserve">Sirsi Dynix </t>
  </si>
  <si>
    <t xml:space="preserve">The Library Corporation </t>
  </si>
  <si>
    <t>Polaris Library System</t>
  </si>
  <si>
    <t>Autographics Verso</t>
  </si>
  <si>
    <t>TLC Carl x</t>
  </si>
  <si>
    <t>TLC Carl Connect</t>
  </si>
  <si>
    <t>Sirsi-Dynix</t>
  </si>
  <si>
    <t>Carl X</t>
  </si>
  <si>
    <t>auto graphics</t>
  </si>
  <si>
    <t>Dell</t>
  </si>
  <si>
    <t>Auto-Graphics - VERSO</t>
  </si>
  <si>
    <t>Sirsi Workflows</t>
  </si>
  <si>
    <t>BiblioCommons</t>
  </si>
  <si>
    <t>Syrsi Dynix Unicorn</t>
  </si>
  <si>
    <t xml:space="preserve"> The Library Corporation (TLC)</t>
  </si>
  <si>
    <t>n/a</t>
  </si>
  <si>
    <t>NuGen System</t>
  </si>
  <si>
    <t>Book Systems - Atriuum</t>
  </si>
  <si>
    <t>Sirsi-Dynix Horizon</t>
  </si>
  <si>
    <t>Enterprise by SirsiDynix Horizon</t>
  </si>
  <si>
    <t>Sirsi/Synix</t>
  </si>
  <si>
    <t>Horizon / Sirsi Dynix w/ Valley Library Consortium</t>
  </si>
  <si>
    <t>Sierra- Lakeland</t>
  </si>
  <si>
    <t>Innovative Encore</t>
  </si>
  <si>
    <t>Destiny Follett</t>
  </si>
  <si>
    <t>Verso Auto-Graphics</t>
  </si>
  <si>
    <t>Agent-Verso</t>
  </si>
  <si>
    <t>WebPacPro/Innovative</t>
  </si>
  <si>
    <t>Autographics-Verso</t>
  </si>
  <si>
    <t>SIRSI Dynix</t>
  </si>
  <si>
    <t>AutoGrapics</t>
  </si>
  <si>
    <t>MeL Catalog</t>
  </si>
  <si>
    <t>Innovative - Sierra</t>
  </si>
  <si>
    <t>encore</t>
  </si>
  <si>
    <t xml:space="preserve"> ALEXANDRIA</t>
  </si>
  <si>
    <t>Innovative/Polaris</t>
  </si>
  <si>
    <t>Sirsi/Dynic</t>
  </si>
  <si>
    <t>Atriuum Book Systems</t>
  </si>
  <si>
    <t>Auto Graphics/Verso</t>
  </si>
  <si>
    <t>Follett-Destiny</t>
  </si>
  <si>
    <t>Atrium Book Systems</t>
  </si>
  <si>
    <t>Sirsi Dynix Enterprise</t>
  </si>
  <si>
    <t xml:space="preserve">Sierra Innovative </t>
  </si>
  <si>
    <t xml:space="preserve">Encore </t>
  </si>
  <si>
    <t>Infovision - Evolve</t>
  </si>
  <si>
    <t>Innovative Sierra/Encore</t>
  </si>
  <si>
    <t>athena</t>
  </si>
  <si>
    <t>Township</t>
  </si>
  <si>
    <t>Type</t>
  </si>
  <si>
    <t>Millage Rate</t>
  </si>
  <si>
    <t>Millage Authorization Date</t>
  </si>
  <si>
    <t>Millage Rate Levied</t>
  </si>
  <si>
    <t>Millage Expiration Date</t>
  </si>
  <si>
    <t>Millage Voted in Perpetuity</t>
  </si>
  <si>
    <t>Millage is for Operating, Debt, or Both?</t>
  </si>
  <si>
    <t>Millage Rate (2)</t>
  </si>
  <si>
    <t>Millage Authorization Date (2)</t>
  </si>
  <si>
    <t>Millage Rate Levied (2)</t>
  </si>
  <si>
    <t>Millage Expiration Date (2)</t>
  </si>
  <si>
    <t>Millage Voted in Perpetuity (2)</t>
  </si>
  <si>
    <t>Millage is for Operating, Debt, or Both? (2)</t>
  </si>
  <si>
    <t>Millage Rate (3)</t>
  </si>
  <si>
    <t>Millage Authorization Date (3)</t>
  </si>
  <si>
    <t>Millage Rate Levied (3)</t>
  </si>
  <si>
    <t>Millage Expiration Date (3)</t>
  </si>
  <si>
    <t>Millage Voted in Perpetuity (3)</t>
  </si>
  <si>
    <t>Millage is for Operating, Debt, or Both? (3)</t>
  </si>
  <si>
    <t>Ingham</t>
  </si>
  <si>
    <t>Oakland</t>
  </si>
  <si>
    <t>Addison</t>
  </si>
  <si>
    <t>Nov 1984</t>
  </si>
  <si>
    <t>None</t>
  </si>
  <si>
    <t>Both</t>
  </si>
  <si>
    <t>2014-11-04</t>
  </si>
  <si>
    <t>2023-12-31</t>
  </si>
  <si>
    <t>Lenawee</t>
  </si>
  <si>
    <t>City of Adrian</t>
  </si>
  <si>
    <t>District</t>
  </si>
  <si>
    <t>05/2015</t>
  </si>
  <si>
    <t>2025</t>
  </si>
  <si>
    <t>Operating</t>
  </si>
  <si>
    <t>Sanilac</t>
  </si>
  <si>
    <t>City of Croswell</t>
  </si>
  <si>
    <t>2020-03-10</t>
  </si>
  <si>
    <t>2016-08-02</t>
  </si>
  <si>
    <t>2026-12-31</t>
  </si>
  <si>
    <t>Emmet</t>
  </si>
  <si>
    <t>Littlefield</t>
  </si>
  <si>
    <t>Calhoun</t>
  </si>
  <si>
    <t>City of Albion</t>
  </si>
  <si>
    <t>Aug 2016</t>
  </si>
  <si>
    <t>Dec 2026</t>
  </si>
  <si>
    <t>Alcona</t>
  </si>
  <si>
    <t>Harrisville</t>
  </si>
  <si>
    <t>2018-08-07</t>
  </si>
  <si>
    <t>2025-12-31</t>
  </si>
  <si>
    <t>both</t>
  </si>
  <si>
    <t>Antrim</t>
  </si>
  <si>
    <t>Helena</t>
  </si>
  <si>
    <t>Aug-13</t>
  </si>
  <si>
    <t>Aug-24</t>
  </si>
  <si>
    <t>Allegan</t>
  </si>
  <si>
    <t>City of Allegan</t>
  </si>
  <si>
    <t>Aug 10</t>
  </si>
  <si>
    <t>Dec 19</t>
  </si>
  <si>
    <t>Aug 16</t>
  </si>
  <si>
    <t>Dec 2045</t>
  </si>
  <si>
    <t>Wayne</t>
  </si>
  <si>
    <t>Ottawa</t>
  </si>
  <si>
    <t>Allendale</t>
  </si>
  <si>
    <t>Aug- 2016</t>
  </si>
  <si>
    <t>Aug - 2021</t>
  </si>
  <si>
    <t>Gratiot</t>
  </si>
  <si>
    <t>Arcada</t>
  </si>
  <si>
    <t>aug 2004</t>
  </si>
  <si>
    <t>2024-08-30</t>
  </si>
  <si>
    <t>debt</t>
  </si>
  <si>
    <t>july 2011</t>
  </si>
  <si>
    <t>operating</t>
  </si>
  <si>
    <t>none</t>
  </si>
  <si>
    <t>Lapeer</t>
  </si>
  <si>
    <t>Almont</t>
  </si>
  <si>
    <t>2026-08-02</t>
  </si>
  <si>
    <t>Aug-98</t>
  </si>
  <si>
    <t>Nov-16</t>
  </si>
  <si>
    <t>Alpena</t>
  </si>
  <si>
    <t>January 2015</t>
  </si>
  <si>
    <t>December 2024</t>
  </si>
  <si>
    <t>2019-08-06</t>
  </si>
  <si>
    <t>2030-08-06</t>
  </si>
  <si>
    <t>Ionia</t>
  </si>
  <si>
    <t>City of Belding</t>
  </si>
  <si>
    <t>August 2016</t>
  </si>
  <si>
    <t>December 2028</t>
  </si>
  <si>
    <t>Washtenaw</t>
  </si>
  <si>
    <t>City of Ann Arbor</t>
  </si>
  <si>
    <t>Jun-96</t>
  </si>
  <si>
    <t>N/A</t>
  </si>
  <si>
    <t>Macomb</t>
  </si>
  <si>
    <t>Armada</t>
  </si>
  <si>
    <t>Aug 66</t>
  </si>
  <si>
    <t>Aug 92</t>
  </si>
  <si>
    <t>Elba</t>
  </si>
  <si>
    <t>8-5-14</t>
  </si>
  <si>
    <t>8-5-2022</t>
  </si>
  <si>
    <t>Athens</t>
  </si>
  <si>
    <t>Oct.-2020</t>
  </si>
  <si>
    <t>Oct.-2021</t>
  </si>
  <si>
    <t>City of Auburn Hills</t>
  </si>
  <si>
    <t>November 1984</t>
  </si>
  <si>
    <t>Kalamazoo</t>
  </si>
  <si>
    <t>Ross</t>
  </si>
  <si>
    <t>Aug-18</t>
  </si>
  <si>
    <t>Dec-27</t>
  </si>
  <si>
    <t>City of Wyandotte</t>
  </si>
  <si>
    <t>Jun-94</t>
  </si>
  <si>
    <t>Huron</t>
  </si>
  <si>
    <t>City of Bad Axe</t>
  </si>
  <si>
    <t>May 2007</t>
  </si>
  <si>
    <t>Never</t>
  </si>
  <si>
    <t>City of Birmingham</t>
  </si>
  <si>
    <t>Nov-98</t>
  </si>
  <si>
    <t>Mecosta</t>
  </si>
  <si>
    <t>Fork</t>
  </si>
  <si>
    <t>November 2020</t>
  </si>
  <si>
    <t>Clinton</t>
  </si>
  <si>
    <t>Bath Township</t>
  </si>
  <si>
    <t>2018-11-11</t>
  </si>
  <si>
    <t>2021-01-01</t>
  </si>
  <si>
    <t>Bay</t>
  </si>
  <si>
    <t>Nov-14</t>
  </si>
  <si>
    <t>Dec-19</t>
  </si>
  <si>
    <t>Aug-00</t>
  </si>
  <si>
    <t>Charlevoix</t>
  </si>
  <si>
    <t>Saint James / Peaine</t>
  </si>
  <si>
    <t>Kearney, Forest Home</t>
  </si>
  <si>
    <t>Mar-97</t>
  </si>
  <si>
    <t>City of Belleville</t>
  </si>
  <si>
    <t>11-2010</t>
  </si>
  <si>
    <t>12-2021</t>
  </si>
  <si>
    <t>2016-11-08</t>
  </si>
  <si>
    <t>12-2036</t>
  </si>
  <si>
    <t>Debt</t>
  </si>
  <si>
    <t>Eaton</t>
  </si>
  <si>
    <t>Bellevue</t>
  </si>
  <si>
    <t>Berrien</t>
  </si>
  <si>
    <t>Benton</t>
  </si>
  <si>
    <t>Nov-11</t>
  </si>
  <si>
    <t>Dec-22</t>
  </si>
  <si>
    <t>Apr-45</t>
  </si>
  <si>
    <t>Benzie</t>
  </si>
  <si>
    <t>City of Frankfort</t>
  </si>
  <si>
    <t>5/2014</t>
  </si>
  <si>
    <t>Benzonia</t>
  </si>
  <si>
    <t>Village</t>
  </si>
  <si>
    <t>2016</t>
  </si>
  <si>
    <t>May 2027</t>
  </si>
  <si>
    <t>City of Berkley</t>
  </si>
  <si>
    <t>Oronoko</t>
  </si>
  <si>
    <t>2017-08-08</t>
  </si>
  <si>
    <t>Gogebic</t>
  </si>
  <si>
    <t>City of Bessemer</t>
  </si>
  <si>
    <t>07/01/2018</t>
  </si>
  <si>
    <t>Weldon</t>
  </si>
  <si>
    <t>2023-08-07</t>
  </si>
  <si>
    <t>City of Clawson</t>
  </si>
  <si>
    <t>May-11</t>
  </si>
  <si>
    <t>May-09</t>
  </si>
  <si>
    <t>July-19</t>
  </si>
  <si>
    <t>Bloomfield</t>
  </si>
  <si>
    <t>April 1982</t>
  </si>
  <si>
    <t>August 2002</t>
  </si>
  <si>
    <t>122003</t>
  </si>
  <si>
    <t>November 2014</t>
  </si>
  <si>
    <t>November 2024</t>
  </si>
  <si>
    <t>City of Boyne City, Evangeline, Eveline, Wilson and Bay</t>
  </si>
  <si>
    <t>Aug 96</t>
  </si>
  <si>
    <t>Aug 04</t>
  </si>
  <si>
    <t>Branch</t>
  </si>
  <si>
    <t>Coldwater</t>
  </si>
  <si>
    <t>Aug-91</t>
  </si>
  <si>
    <t>in perpetuity</t>
  </si>
  <si>
    <t>Aug-2014</t>
  </si>
  <si>
    <t>2022-12-31</t>
  </si>
  <si>
    <t>Brandon</t>
  </si>
  <si>
    <t>Sept 1987</t>
  </si>
  <si>
    <t>1996</t>
  </si>
  <si>
    <t>2018</t>
  </si>
  <si>
    <t>June 1996</t>
  </si>
  <si>
    <t>Saginaw</t>
  </si>
  <si>
    <t>Bridgeport</t>
  </si>
  <si>
    <t>8/2020</t>
  </si>
  <si>
    <t>8/2025</t>
  </si>
  <si>
    <t>Lake</t>
  </si>
  <si>
    <t>Apr 1966</t>
  </si>
  <si>
    <t>Bingham</t>
  </si>
  <si>
    <t>Dec. 2016</t>
  </si>
  <si>
    <t>Dec. 2025</t>
  </si>
  <si>
    <t>Livingston</t>
  </si>
  <si>
    <t>City of Brighton</t>
  </si>
  <si>
    <t>May 1994</t>
  </si>
  <si>
    <t>November 2015</t>
  </si>
  <si>
    <t>November 2035</t>
  </si>
  <si>
    <t>Maple Valley</t>
  </si>
  <si>
    <t>March-20</t>
  </si>
  <si>
    <t>Aug-20</t>
  </si>
  <si>
    <t>City of Buchanan</t>
  </si>
  <si>
    <t>2020-08-04</t>
  </si>
  <si>
    <t>2015-11-03</t>
  </si>
  <si>
    <t>2024-08-06</t>
  </si>
  <si>
    <t>Tuscola</t>
  </si>
  <si>
    <t>City of Vassar</t>
  </si>
  <si>
    <t>November 2018</t>
  </si>
  <si>
    <t>November 2022</t>
  </si>
  <si>
    <t>St. Joseph</t>
  </si>
  <si>
    <t>Burr Oak</t>
  </si>
  <si>
    <t>Wexford</t>
  </si>
  <si>
    <t>City of Cadillac</t>
  </si>
  <si>
    <t>January 2022</t>
  </si>
  <si>
    <t>Houghton</t>
  </si>
  <si>
    <t>Calumet</t>
  </si>
  <si>
    <t>School District</t>
  </si>
  <si>
    <t>Hillsdale</t>
  </si>
  <si>
    <t>Camden</t>
  </si>
  <si>
    <t>Aug-03</t>
  </si>
  <si>
    <t>Canton</t>
  </si>
  <si>
    <t>08/1986</t>
  </si>
  <si>
    <t>City of Lansing</t>
  </si>
  <si>
    <t>8/2018</t>
  </si>
  <si>
    <t>12/2021</t>
  </si>
  <si>
    <t>Indianfields</t>
  </si>
  <si>
    <t>2029-08-07</t>
  </si>
  <si>
    <t>Jun-02</t>
  </si>
  <si>
    <t>Ontonagon</t>
  </si>
  <si>
    <t>Carp Lake</t>
  </si>
  <si>
    <t>Dec-21</t>
  </si>
  <si>
    <t>Montcalm</t>
  </si>
  <si>
    <t>Bloomer</t>
  </si>
  <si>
    <t>March 2020</t>
  </si>
  <si>
    <t>March 2030</t>
  </si>
  <si>
    <t>Cass</t>
  </si>
  <si>
    <t>LaGrange</t>
  </si>
  <si>
    <t>Jan. 1993</t>
  </si>
  <si>
    <t>Kent</t>
  </si>
  <si>
    <t>City of Cedar Springs</t>
  </si>
  <si>
    <t>Nov-36</t>
  </si>
  <si>
    <t>June-04</t>
  </si>
  <si>
    <t>City of Center Line</t>
  </si>
  <si>
    <t>Central Lake</t>
  </si>
  <si>
    <t>Oct-99</t>
  </si>
  <si>
    <t>Gun Plain, Cooper, Plainwell</t>
  </si>
  <si>
    <t>Feb-1991</t>
  </si>
  <si>
    <t>Aug-2024</t>
  </si>
  <si>
    <t>Aug-2019</t>
  </si>
  <si>
    <t>2043</t>
  </si>
  <si>
    <t>City of Charlevoix</t>
  </si>
  <si>
    <t>June 97</t>
  </si>
  <si>
    <t>June 04</t>
  </si>
  <si>
    <t>12/31/24</t>
  </si>
  <si>
    <t>June 24</t>
  </si>
  <si>
    <t>City of Charlotte</t>
  </si>
  <si>
    <t>Aug-2016</t>
  </si>
  <si>
    <t>Dec-2027</t>
  </si>
  <si>
    <t>Chase</t>
  </si>
  <si>
    <t>12/2015</t>
  </si>
  <si>
    <t>12/2019</t>
  </si>
  <si>
    <t>Cheboygan</t>
  </si>
  <si>
    <t>City of Cheboygan</t>
  </si>
  <si>
    <t>Feb 95</t>
  </si>
  <si>
    <t>Jun 04</t>
  </si>
  <si>
    <t>Jun 23</t>
  </si>
  <si>
    <t>May 10</t>
  </si>
  <si>
    <t>Aug-19</t>
  </si>
  <si>
    <t>Dec-29</t>
  </si>
  <si>
    <t>May-04</t>
  </si>
  <si>
    <t>Dec-23</t>
  </si>
  <si>
    <t>Chesterfield</t>
  </si>
  <si>
    <t>11/1994</t>
  </si>
  <si>
    <t>Isabella</t>
  </si>
  <si>
    <t>City of Mount Pleasant</t>
  </si>
  <si>
    <t>August 2018</t>
  </si>
  <si>
    <t>December 2038</t>
  </si>
  <si>
    <t>Independence</t>
  </si>
  <si>
    <t>Aug-14</t>
  </si>
  <si>
    <t>Aug 1934</t>
  </si>
  <si>
    <t>2039-12-31</t>
  </si>
  <si>
    <t>Midland</t>
  </si>
  <si>
    <t>City of Coleman</t>
  </si>
  <si>
    <t>Coloma</t>
  </si>
  <si>
    <t>5-31-02</t>
  </si>
  <si>
    <t>2021</t>
  </si>
  <si>
    <t>Colon</t>
  </si>
  <si>
    <t>Aug-2018</t>
  </si>
  <si>
    <t>Dec 2022</t>
  </si>
  <si>
    <t>Aug 2003</t>
  </si>
  <si>
    <t>Dec 2023</t>
  </si>
  <si>
    <t>Columbia</t>
  </si>
  <si>
    <t>September 2020</t>
  </si>
  <si>
    <t>September 2027</t>
  </si>
  <si>
    <t>Commerce</t>
  </si>
  <si>
    <t>nov 94</t>
  </si>
  <si>
    <t>nov 2016</t>
  </si>
  <si>
    <t>Nov 2022</t>
  </si>
  <si>
    <t>Shiawassee</t>
  </si>
  <si>
    <t>Caledonia</t>
  </si>
  <si>
    <t>08/20</t>
  </si>
  <si>
    <t>Comstock</t>
  </si>
  <si>
    <t>11/94</t>
  </si>
  <si>
    <t>Constantine</t>
  </si>
  <si>
    <t>MAR 1993</t>
  </si>
  <si>
    <t>City of Coopersville</t>
  </si>
  <si>
    <t>Nov. 1994</t>
  </si>
  <si>
    <t>Perpituity</t>
  </si>
  <si>
    <t>10/03/2015</t>
  </si>
  <si>
    <t>2032</t>
  </si>
  <si>
    <t>11/3/2015</t>
  </si>
  <si>
    <t>2031</t>
  </si>
  <si>
    <t>Crawford</t>
  </si>
  <si>
    <t>City of Grayling</t>
  </si>
  <si>
    <t>12/2027</t>
  </si>
  <si>
    <t>8/2033</t>
  </si>
  <si>
    <t>Hartland</t>
  </si>
  <si>
    <t>August 2010</t>
  </si>
  <si>
    <t>Melrose</t>
  </si>
  <si>
    <t>2020-12-31</t>
  </si>
  <si>
    <t>Newaygo</t>
  </si>
  <si>
    <t>Croton</t>
  </si>
  <si>
    <t>Nov-2019</t>
  </si>
  <si>
    <t>Nov-2029</t>
  </si>
  <si>
    <t>Iron</t>
  </si>
  <si>
    <t>City of Crystal Falls</t>
  </si>
  <si>
    <t>11/2020</t>
  </si>
  <si>
    <t>03/2024</t>
  </si>
  <si>
    <t>BOTH</t>
  </si>
  <si>
    <t>Curtis</t>
  </si>
  <si>
    <t>08/2016</t>
  </si>
  <si>
    <t>12/2024</t>
  </si>
  <si>
    <t>Aug-16</t>
  </si>
  <si>
    <t>Aug-27</t>
  </si>
  <si>
    <t>Dearborn Heights</t>
  </si>
  <si>
    <t>Nov 1999</t>
  </si>
  <si>
    <t>Nov 2013</t>
  </si>
  <si>
    <t>City of Dearborn</t>
  </si>
  <si>
    <t>Nov. 2011</t>
  </si>
  <si>
    <t>Nov. 2021</t>
  </si>
  <si>
    <t>2020-07-01</t>
  </si>
  <si>
    <t>2020-06-30</t>
  </si>
  <si>
    <t>Marion</t>
  </si>
  <si>
    <t>Aug 2020</t>
  </si>
  <si>
    <t>Aug 2023</t>
  </si>
  <si>
    <t>Delta</t>
  </si>
  <si>
    <t>12/2006</t>
  </si>
  <si>
    <t>Barry</t>
  </si>
  <si>
    <t>Barry, Hope, Prairieville</t>
  </si>
  <si>
    <t>Chippewa</t>
  </si>
  <si>
    <t>City of Detroit</t>
  </si>
  <si>
    <t>July 1994</t>
  </si>
  <si>
    <t>August 2014</t>
  </si>
  <si>
    <t>June 2025</t>
  </si>
  <si>
    <t>DeWitt</t>
  </si>
  <si>
    <t>Aug 2014</t>
  </si>
  <si>
    <t>Aug 2028</t>
  </si>
  <si>
    <t>Scio</t>
  </si>
  <si>
    <t>June 1994</t>
  </si>
  <si>
    <t>2016-11-07</t>
  </si>
  <si>
    <t>2023-01-01</t>
  </si>
  <si>
    <t>Nov 2005</t>
  </si>
  <si>
    <t>Dec 2024</t>
  </si>
  <si>
    <t>Dickinson</t>
  </si>
  <si>
    <t>City of Iron Mountain</t>
  </si>
  <si>
    <t>Windsor</t>
  </si>
  <si>
    <t>Dorr</t>
  </si>
  <si>
    <t>2029-12-31</t>
  </si>
  <si>
    <t>City of Dowagiac</t>
  </si>
  <si>
    <t>Mar-04</t>
  </si>
  <si>
    <t>2018-11-06</t>
  </si>
  <si>
    <t>12/31/2037</t>
  </si>
  <si>
    <t>Baltimore</t>
  </si>
  <si>
    <t>Aug-12</t>
  </si>
  <si>
    <t>Dryden</t>
  </si>
  <si>
    <t>Nov-74</t>
  </si>
  <si>
    <t>Aug-06</t>
  </si>
  <si>
    <t>City of East Lansing</t>
  </si>
  <si>
    <t>11/2012</t>
  </si>
  <si>
    <t>11/2022</t>
  </si>
  <si>
    <t>7/2013</t>
  </si>
  <si>
    <t>City of Eastpointe</t>
  </si>
  <si>
    <t>jul-19</t>
  </si>
  <si>
    <t>jun-20</t>
  </si>
  <si>
    <t>Nov-21</t>
  </si>
  <si>
    <t>City of Eaton Rapids</t>
  </si>
  <si>
    <t>11/2018</t>
  </si>
  <si>
    <t>2027</t>
  </si>
  <si>
    <t>Aug 2035</t>
  </si>
  <si>
    <t>1990</t>
  </si>
  <si>
    <t>2015</t>
  </si>
  <si>
    <t>Elk Rapids</t>
  </si>
  <si>
    <t>08/2001</t>
  </si>
  <si>
    <t>Elk</t>
  </si>
  <si>
    <t>082020</t>
  </si>
  <si>
    <t>08/2020</t>
  </si>
  <si>
    <t>Duplain</t>
  </si>
  <si>
    <t>Nov. 2012</t>
  </si>
  <si>
    <t>City of Escanaba</t>
  </si>
  <si>
    <t>Osceola</t>
  </si>
  <si>
    <t>City of Evart</t>
  </si>
  <si>
    <t>April 1952</t>
  </si>
  <si>
    <t>perpetuity</t>
  </si>
  <si>
    <t>Fairgrove</t>
  </si>
  <si>
    <t>June 2000</t>
  </si>
  <si>
    <t>00/00/0000</t>
  </si>
  <si>
    <t>May 2006</t>
  </si>
  <si>
    <t>Missaukee</t>
  </si>
  <si>
    <t>City of Farmington Hills</t>
  </si>
  <si>
    <t>Nov 2011</t>
  </si>
  <si>
    <t>Dec 2032</t>
  </si>
  <si>
    <t>May 2005</t>
  </si>
  <si>
    <t>Manlius</t>
  </si>
  <si>
    <t>Aug 12</t>
  </si>
  <si>
    <t>Dec 21</t>
  </si>
  <si>
    <t>City of Ferndale</t>
  </si>
  <si>
    <t>2027-06-30</t>
  </si>
  <si>
    <t>Grand Traverse</t>
  </si>
  <si>
    <t>Fife Lake</t>
  </si>
  <si>
    <t>5/6/1997</t>
  </si>
  <si>
    <t>PERP</t>
  </si>
  <si>
    <t>08/2010</t>
  </si>
  <si>
    <t>City of Flat Rock</t>
  </si>
  <si>
    <t>12/1994</t>
  </si>
  <si>
    <t>2014-07-07</t>
  </si>
  <si>
    <t>6/30/2019</t>
  </si>
  <si>
    <t>Genesee</t>
  </si>
  <si>
    <t>City of Flint</t>
  </si>
  <si>
    <t>AUG 2002</t>
  </si>
  <si>
    <t>AUG 2010</t>
  </si>
  <si>
    <t>DEC 2021</t>
  </si>
  <si>
    <t>NOV 2015</t>
  </si>
  <si>
    <t>Marquette</t>
  </si>
  <si>
    <t>Forsyth</t>
  </si>
  <si>
    <t>Dec-26</t>
  </si>
  <si>
    <t>Handy</t>
  </si>
  <si>
    <t>Nov-12</t>
  </si>
  <si>
    <t>Nov-22</t>
  </si>
  <si>
    <t>Jul-94</t>
  </si>
  <si>
    <t>Frankenmuth</t>
  </si>
  <si>
    <t>November 2008</t>
  </si>
  <si>
    <t>Southfield</t>
  </si>
  <si>
    <t>Mar-73</t>
  </si>
  <si>
    <t>City of Fraser</t>
  </si>
  <si>
    <t>4/1963</t>
  </si>
  <si>
    <t>Irving</t>
  </si>
  <si>
    <t>City of Fremont</t>
  </si>
  <si>
    <t>Sep-97</t>
  </si>
  <si>
    <t>Dec-2020</t>
  </si>
  <si>
    <t>Dec-2029</t>
  </si>
  <si>
    <t>Muskegon</t>
  </si>
  <si>
    <t>Fruitport</t>
  </si>
  <si>
    <t>12/2028</t>
  </si>
  <si>
    <t>Charleston</t>
  </si>
  <si>
    <t>08/2018</t>
  </si>
  <si>
    <t>2028-12-31</t>
  </si>
  <si>
    <t>Galien</t>
  </si>
  <si>
    <t>11/98</t>
  </si>
  <si>
    <t>11/24</t>
  </si>
  <si>
    <t>11/62</t>
  </si>
  <si>
    <t>City of Garden City</t>
  </si>
  <si>
    <t>July 2012</t>
  </si>
  <si>
    <t>July 2031</t>
  </si>
  <si>
    <t>July 2020</t>
  </si>
  <si>
    <t>July 2029</t>
  </si>
  <si>
    <t>City of Hudsonville</t>
  </si>
  <si>
    <t>Aug 2004</t>
  </si>
  <si>
    <t>Jul 2026</t>
  </si>
  <si>
    <t>Flint</t>
  </si>
  <si>
    <t>Woodland</t>
  </si>
  <si>
    <t>2018-04-01</t>
  </si>
  <si>
    <t>2019-03-31</t>
  </si>
  <si>
    <t>Georgetown</t>
  </si>
  <si>
    <t>City of Gladstone</t>
  </si>
  <si>
    <t>Gladwin</t>
  </si>
  <si>
    <t>2016-08</t>
  </si>
  <si>
    <t>Leelanau</t>
  </si>
  <si>
    <t>Empire</t>
  </si>
  <si>
    <t>8/2016</t>
  </si>
  <si>
    <t>12/2020</t>
  </si>
  <si>
    <t>Goodland</t>
  </si>
  <si>
    <t>8/2/16</t>
  </si>
  <si>
    <t>2020</t>
  </si>
  <si>
    <t>City of Grand Ledge</t>
  </si>
  <si>
    <t>8/2010</t>
  </si>
  <si>
    <t>City of Grand Rapids</t>
  </si>
  <si>
    <t>Jan 1994</t>
  </si>
  <si>
    <t>2019-07-01</t>
  </si>
  <si>
    <t>2029-10-31</t>
  </si>
  <si>
    <t>City of Grant</t>
  </si>
  <si>
    <t>06/2002</t>
  </si>
  <si>
    <t>122001</t>
  </si>
  <si>
    <t>06/02</t>
  </si>
  <si>
    <t>12/2026</t>
  </si>
  <si>
    <t>City of Grosse Pointe Farms</t>
  </si>
  <si>
    <t>September 1994</t>
  </si>
  <si>
    <t>11/06/2018</t>
  </si>
  <si>
    <t>12/31/2027</t>
  </si>
  <si>
    <t>City of Muskegon</t>
  </si>
  <si>
    <t>June 2001</t>
  </si>
  <si>
    <t>June 2021</t>
  </si>
  <si>
    <t>Nov. 2014</t>
  </si>
  <si>
    <t>2030</t>
  </si>
  <si>
    <t>Hamburg</t>
  </si>
  <si>
    <t>August 2021</t>
  </si>
  <si>
    <t>Feb-09</t>
  </si>
  <si>
    <t>City of Hamtramck</t>
  </si>
  <si>
    <t>1991</t>
  </si>
  <si>
    <t>permanent</t>
  </si>
  <si>
    <t>sept 2003</t>
  </si>
  <si>
    <t>City of Harbor Beach</t>
  </si>
  <si>
    <t>Sep-94</t>
  </si>
  <si>
    <t>City of Harper Woods</t>
  </si>
  <si>
    <t>01/1965</t>
  </si>
  <si>
    <t>11/2003</t>
  </si>
  <si>
    <t>01/2024</t>
  </si>
  <si>
    <t>11/2016</t>
  </si>
  <si>
    <t>11/2023</t>
  </si>
  <si>
    <t>Clare</t>
  </si>
  <si>
    <t>City of Harrison</t>
  </si>
  <si>
    <t>August 2020</t>
  </si>
  <si>
    <t>August 2030</t>
  </si>
  <si>
    <t>Harrison Township</t>
  </si>
  <si>
    <t>08/05/2014</t>
  </si>
  <si>
    <t>08/04/2024</t>
  </si>
  <si>
    <t>Oceana</t>
  </si>
  <si>
    <t>City of Hart</t>
  </si>
  <si>
    <t>Apr-99</t>
  </si>
  <si>
    <t>81999</t>
  </si>
  <si>
    <t>Van Buren</t>
  </si>
  <si>
    <t>City of Hartford</t>
  </si>
  <si>
    <t>Nov.94</t>
  </si>
  <si>
    <t>Aug.00</t>
  </si>
  <si>
    <t>City of Hastings</t>
  </si>
  <si>
    <t>Aug-28</t>
  </si>
  <si>
    <t>May-19</t>
  </si>
  <si>
    <t>City of Hazel Park</t>
  </si>
  <si>
    <t>Aug-94</t>
  </si>
  <si>
    <t>Wayland Township</t>
  </si>
  <si>
    <t>July 1999</t>
  </si>
  <si>
    <t>City of Holland</t>
  </si>
  <si>
    <t>AUGUST 2016</t>
  </si>
  <si>
    <t>DEC 2030</t>
  </si>
  <si>
    <t>Denver</t>
  </si>
  <si>
    <t>December 2021</t>
  </si>
  <si>
    <t>March 2000</t>
  </si>
  <si>
    <t>Highland</t>
  </si>
  <si>
    <t>.25 charter and a .75 millage which had a Aug. 1994 renewal</t>
  </si>
  <si>
    <t>August 1994 increase</t>
  </si>
  <si>
    <t>11/2010</t>
  </si>
  <si>
    <t>2028</t>
  </si>
  <si>
    <t>City of Hillsdale</t>
  </si>
  <si>
    <t>09/2001</t>
  </si>
  <si>
    <t>Holly</t>
  </si>
  <si>
    <t>08/04/2020</t>
  </si>
  <si>
    <t>12/31/2025</t>
  </si>
  <si>
    <t>Home</t>
  </si>
  <si>
    <t>2029</t>
  </si>
  <si>
    <t>Homer</t>
  </si>
  <si>
    <t>December 2020</t>
  </si>
  <si>
    <t>Hopkins</t>
  </si>
  <si>
    <t>Roscommon</t>
  </si>
  <si>
    <t>Denton</t>
  </si>
  <si>
    <t>City of Zeeland</t>
  </si>
  <si>
    <t>Wheeler</t>
  </si>
  <si>
    <t>11/2014</t>
  </si>
  <si>
    <t>City of Howell</t>
  </si>
  <si>
    <t>Oct 1988</t>
  </si>
  <si>
    <t>August 2013</t>
  </si>
  <si>
    <t>August 2032</t>
  </si>
  <si>
    <t>Hudson</t>
  </si>
  <si>
    <t>City of Huntington Woods</t>
  </si>
  <si>
    <t>Tuscarora</t>
  </si>
  <si>
    <t>Aug. 2006</t>
  </si>
  <si>
    <t>Green Lake</t>
  </si>
  <si>
    <t>City of Ionia</t>
  </si>
  <si>
    <t>2027-12-01</t>
  </si>
  <si>
    <t>Iosco</t>
  </si>
  <si>
    <t>City of East Tawas</t>
  </si>
  <si>
    <t>Ironwood</t>
  </si>
  <si>
    <t>11/08/94</t>
  </si>
  <si>
    <t>never</t>
  </si>
  <si>
    <t>City of Ishpeming</t>
  </si>
  <si>
    <t>Martin</t>
  </si>
  <si>
    <t>Jackson</t>
  </si>
  <si>
    <t>City of Jackson</t>
  </si>
  <si>
    <t>Kingston</t>
  </si>
  <si>
    <t>Fayette</t>
  </si>
  <si>
    <t>May 1999</t>
  </si>
  <si>
    <t>City of East Jordan</t>
  </si>
  <si>
    <t>Apr 1994</t>
  </si>
  <si>
    <t>City of Kalamazoo</t>
  </si>
  <si>
    <t>5/5/2009</t>
  </si>
  <si>
    <t>12/29/2029</t>
  </si>
  <si>
    <t>5/6/2014</t>
  </si>
  <si>
    <t>12/31/2033</t>
  </si>
  <si>
    <t>Kalkaska</t>
  </si>
  <si>
    <t>Plainfield</t>
  </si>
  <si>
    <t>Aug - 2014</t>
  </si>
  <si>
    <t>Dec - 2023</t>
  </si>
  <si>
    <t>Baraga</t>
  </si>
  <si>
    <t>L'Anse</t>
  </si>
  <si>
    <t>City of Laingsburg</t>
  </si>
  <si>
    <t>Torch Lake</t>
  </si>
  <si>
    <t>Odessa</t>
  </si>
  <si>
    <t>Aug-17</t>
  </si>
  <si>
    <t>Nov-96</t>
  </si>
  <si>
    <t>Perpetuity</t>
  </si>
  <si>
    <t>City of Lapeer</t>
  </si>
  <si>
    <t>August 2012</t>
  </si>
  <si>
    <t>December 2022</t>
  </si>
  <si>
    <t>Climax</t>
  </si>
  <si>
    <t>Antwerp</t>
  </si>
  <si>
    <t>2008</t>
  </si>
  <si>
    <t>City of Inkster</t>
  </si>
  <si>
    <t>8/6/2019</t>
  </si>
  <si>
    <t>Leighton</t>
  </si>
  <si>
    <t>Sep 1996</t>
  </si>
  <si>
    <t>Leland</t>
  </si>
  <si>
    <t>O</t>
  </si>
  <si>
    <t>Adrian City</t>
  </si>
  <si>
    <t>August 6, 2013</t>
  </si>
  <si>
    <t>2022</t>
  </si>
  <si>
    <t>Lenox</t>
  </si>
  <si>
    <t>AUG 88</t>
  </si>
  <si>
    <t>Nov 94</t>
  </si>
  <si>
    <t>LeRoy</t>
  </si>
  <si>
    <t>July 1, 2014</t>
  </si>
  <si>
    <t>Annual</t>
  </si>
  <si>
    <t>Lincoln</t>
  </si>
  <si>
    <t>Oct. 59</t>
  </si>
  <si>
    <t>Aug. 90</t>
  </si>
  <si>
    <t>Nov. 12</t>
  </si>
  <si>
    <t>Litchfield</t>
  </si>
  <si>
    <t>Nov-95</t>
  </si>
  <si>
    <t>City of Livonia</t>
  </si>
  <si>
    <t>Aug. 1984</t>
  </si>
  <si>
    <t>Grand Haven</t>
  </si>
  <si>
    <t>04/2000</t>
  </si>
  <si>
    <t>Jun-99</t>
  </si>
  <si>
    <t>05/2007</t>
  </si>
  <si>
    <t>05/2027</t>
  </si>
  <si>
    <t>Newkirk</t>
  </si>
  <si>
    <t>08/07/2018</t>
  </si>
  <si>
    <t>12/01/2023</t>
  </si>
  <si>
    <t>Lyon</t>
  </si>
  <si>
    <t>May 2017</t>
  </si>
  <si>
    <t>2026</t>
  </si>
  <si>
    <t>Lyons</t>
  </si>
  <si>
    <t>2018-12-01</t>
  </si>
  <si>
    <t>March 1969</t>
  </si>
  <si>
    <t>City of New Baltimore</t>
  </si>
  <si>
    <t>NOVEMBER, 1987</t>
  </si>
  <si>
    <t>OPERATING</t>
  </si>
  <si>
    <t>Mackinac</t>
  </si>
  <si>
    <t>City of Mackinac Island</t>
  </si>
  <si>
    <t>Wawatam</t>
  </si>
  <si>
    <t>Mar-86</t>
  </si>
  <si>
    <t>City of Madison Heights</t>
  </si>
  <si>
    <t>May 2011</t>
  </si>
  <si>
    <t>May 2021</t>
  </si>
  <si>
    <t>Mancelona</t>
  </si>
  <si>
    <t>Manchester</t>
  </si>
  <si>
    <t>Dec. 2024</t>
  </si>
  <si>
    <t>Manistee</t>
  </si>
  <si>
    <t>City of Manistee</t>
  </si>
  <si>
    <t>Schoolcraft</t>
  </si>
  <si>
    <t>City of Manistique</t>
  </si>
  <si>
    <t>Essex</t>
  </si>
  <si>
    <t>March 1964</t>
  </si>
  <si>
    <t>Marcellus</t>
  </si>
  <si>
    <t>Sept. 12</t>
  </si>
  <si>
    <t>2024-11-06</t>
  </si>
  <si>
    <t>City of Marlette</t>
  </si>
  <si>
    <t>Mar-20</t>
  </si>
  <si>
    <t>Mar-24</t>
  </si>
  <si>
    <t>City of Marshall</t>
  </si>
  <si>
    <t>Jul-95</t>
  </si>
  <si>
    <t>Mason</t>
  </si>
  <si>
    <t>City of Ludington</t>
  </si>
  <si>
    <t>August 1994</t>
  </si>
  <si>
    <t>Saint Joseph</t>
  </si>
  <si>
    <t>City Charter</t>
  </si>
  <si>
    <t>Fremont</t>
  </si>
  <si>
    <t>08/2012</t>
  </si>
  <si>
    <t>08/2021</t>
  </si>
  <si>
    <t>City of McBain</t>
  </si>
  <si>
    <t>McMillan</t>
  </si>
  <si>
    <t>Mendon</t>
  </si>
  <si>
    <t>Menominee</t>
  </si>
  <si>
    <t>12-1-2020</t>
  </si>
  <si>
    <t>12-31-2025</t>
  </si>
  <si>
    <t>Jonesfield</t>
  </si>
  <si>
    <t>Aug - 16</t>
  </si>
  <si>
    <t>Aug-26</t>
  </si>
  <si>
    <t>Monroe</t>
  </si>
  <si>
    <t>Milan</t>
  </si>
  <si>
    <t>Nov 1947</t>
  </si>
  <si>
    <t>January 2025</t>
  </si>
  <si>
    <t>November 2016</t>
  </si>
  <si>
    <t>January 2023</t>
  </si>
  <si>
    <t>Milford</t>
  </si>
  <si>
    <t>4/1979</t>
  </si>
  <si>
    <t>Millington</t>
  </si>
  <si>
    <t>2014</t>
  </si>
  <si>
    <t>2023</t>
  </si>
  <si>
    <t>City of Lake City</t>
  </si>
  <si>
    <t>Aug - 96</t>
  </si>
  <si>
    <t>Montmorency</t>
  </si>
  <si>
    <t>Briley</t>
  </si>
  <si>
    <t>aug 16</t>
  </si>
  <si>
    <t>2021-12-31</t>
  </si>
  <si>
    <t>Lexington</t>
  </si>
  <si>
    <t>Nov 2014</t>
  </si>
  <si>
    <t>Dec 2025</t>
  </si>
  <si>
    <t>Morton</t>
  </si>
  <si>
    <t>8/1994</t>
  </si>
  <si>
    <t>8/2040</t>
  </si>
  <si>
    <t>8/2/2016</t>
  </si>
  <si>
    <t>City of Mount Clemens</t>
  </si>
  <si>
    <t>June 2004</t>
  </si>
  <si>
    <t>Roxand</t>
  </si>
  <si>
    <t>82012</t>
  </si>
  <si>
    <t>Jan 75</t>
  </si>
  <si>
    <t>Alger</t>
  </si>
  <si>
    <t>Munising City</t>
  </si>
  <si>
    <t>City of Negaunee</t>
  </si>
  <si>
    <t>New Buffalo</t>
  </si>
  <si>
    <t>9/1995</t>
  </si>
  <si>
    <t>yes</t>
  </si>
  <si>
    <t>11/06/2012</t>
  </si>
  <si>
    <t>2035</t>
  </si>
  <si>
    <t>City of Newaygo</t>
  </si>
  <si>
    <t>Aug 2010</t>
  </si>
  <si>
    <t>Dec 2029</t>
  </si>
  <si>
    <t>Operating.</t>
  </si>
  <si>
    <t>Niles</t>
  </si>
  <si>
    <t>Aug 2002</t>
  </si>
  <si>
    <t>Capital Projects</t>
  </si>
  <si>
    <t>Adams</t>
  </si>
  <si>
    <t>2026-08-04</t>
  </si>
  <si>
    <t>North Branch</t>
  </si>
  <si>
    <t>September 2028</t>
  </si>
  <si>
    <t>Northfield</t>
  </si>
  <si>
    <t>Aug 1994</t>
  </si>
  <si>
    <t>Aug 1996</t>
  </si>
  <si>
    <t>Northville</t>
  </si>
  <si>
    <t>11/20/2022</t>
  </si>
  <si>
    <t>Nottawa</t>
  </si>
  <si>
    <t>08-2014</t>
  </si>
  <si>
    <t>12-31-2019</t>
  </si>
  <si>
    <t>City of Novi</t>
  </si>
  <si>
    <t>November -77</t>
  </si>
  <si>
    <t>City of Oak Park</t>
  </si>
  <si>
    <t>May-2004</t>
  </si>
  <si>
    <t>Feb-2011</t>
  </si>
  <si>
    <t>Feb-2021</t>
  </si>
  <si>
    <t>Ogemaw</t>
  </si>
  <si>
    <t>City of Rose City</t>
  </si>
  <si>
    <t>08/14</t>
  </si>
  <si>
    <t>12/31/23</t>
  </si>
  <si>
    <t>Orion</t>
  </si>
  <si>
    <t>Oscoda</t>
  </si>
  <si>
    <t>Big Creek</t>
  </si>
  <si>
    <t>12/31/2021</t>
  </si>
  <si>
    <t>Otsego</t>
  </si>
  <si>
    <t>City of Gaylord</t>
  </si>
  <si>
    <t>City of Otsego</t>
  </si>
  <si>
    <t>March 1996</t>
  </si>
  <si>
    <t>August 2007</t>
  </si>
  <si>
    <t>January 2027</t>
  </si>
  <si>
    <t>Ovid</t>
  </si>
  <si>
    <t>Nov of 1992</t>
  </si>
  <si>
    <t>Oxford</t>
  </si>
  <si>
    <t>Aug-84</t>
  </si>
  <si>
    <t>City of Parchment</t>
  </si>
  <si>
    <t>62004</t>
  </si>
  <si>
    <t>Pleasant Plains</t>
  </si>
  <si>
    <t>Jan 2019</t>
  </si>
  <si>
    <t>Jan 2023</t>
  </si>
  <si>
    <t>Jamestown</t>
  </si>
  <si>
    <t>Dec-13</t>
  </si>
  <si>
    <t>Paw Paw</t>
  </si>
  <si>
    <t>May 07</t>
  </si>
  <si>
    <t>Dec 26</t>
  </si>
  <si>
    <t>Jun 94</t>
  </si>
  <si>
    <t>Jun 97</t>
  </si>
  <si>
    <t>Peninsula</t>
  </si>
  <si>
    <t>Pentwater</t>
  </si>
  <si>
    <t>August 1993</t>
  </si>
  <si>
    <t>City of Clare</t>
  </si>
  <si>
    <t>May 05</t>
  </si>
  <si>
    <t>City of Marquette</t>
  </si>
  <si>
    <t>1-29-1891</t>
  </si>
  <si>
    <t>8/8/2017</t>
  </si>
  <si>
    <t>2033</t>
  </si>
  <si>
    <t>City of Petoskey</t>
  </si>
  <si>
    <t>12/1995</t>
  </si>
  <si>
    <t>8/2000</t>
  </si>
  <si>
    <t>12/2023</t>
  </si>
  <si>
    <t>Winsor</t>
  </si>
  <si>
    <t>08-18</t>
  </si>
  <si>
    <t>12-22</t>
  </si>
  <si>
    <t>Putnam</t>
  </si>
  <si>
    <t>February 2011</t>
  </si>
  <si>
    <t>December 2040</t>
  </si>
  <si>
    <t>OperatingBoth</t>
  </si>
  <si>
    <t>Pittsford</t>
  </si>
  <si>
    <t>Jan. 08</t>
  </si>
  <si>
    <t>Jan. 2028</t>
  </si>
  <si>
    <t>Plymouth</t>
  </si>
  <si>
    <t>Nov-94</t>
  </si>
  <si>
    <t>Nov-87</t>
  </si>
  <si>
    <t>Nov-85</t>
  </si>
  <si>
    <t>City of Pontiac</t>
  </si>
  <si>
    <t>2017-01-01</t>
  </si>
  <si>
    <t>Port Austin</t>
  </si>
  <si>
    <t>dec 2023</t>
  </si>
  <si>
    <t>Nov 2012</t>
  </si>
  <si>
    <t>Nov 2023</t>
  </si>
  <si>
    <t>Nov 2032</t>
  </si>
  <si>
    <t>City of Portage</t>
  </si>
  <si>
    <t>Jun-98</t>
  </si>
  <si>
    <t>2019-11-05</t>
  </si>
  <si>
    <t>2029-11-05</t>
  </si>
  <si>
    <t>City of Houghton</t>
  </si>
  <si>
    <t>Jan-18</t>
  </si>
  <si>
    <t>Dec-24</t>
  </si>
  <si>
    <t>City of Portland</t>
  </si>
  <si>
    <t>Aug 2018</t>
  </si>
  <si>
    <t>May 03</t>
  </si>
  <si>
    <t>Jun 24</t>
  </si>
  <si>
    <t>Nov. 1996</t>
  </si>
  <si>
    <t>Presque Isle</t>
  </si>
  <si>
    <t>City of Rogers City</t>
  </si>
  <si>
    <t>8/2014</t>
  </si>
  <si>
    <t>2022-01-01</t>
  </si>
  <si>
    <t>2041-12-31</t>
  </si>
  <si>
    <t>City of Saginaw</t>
  </si>
  <si>
    <t>11/2013</t>
  </si>
  <si>
    <t>11/2024</t>
  </si>
  <si>
    <t>Castleton</t>
  </si>
  <si>
    <t>Jan 2016</t>
  </si>
  <si>
    <t>Richland</t>
  </si>
  <si>
    <t>November 1988</t>
  </si>
  <si>
    <t>Elkland</t>
  </si>
  <si>
    <t>Aug 2012</t>
  </si>
  <si>
    <t>Ray</t>
  </si>
  <si>
    <t>11/2006</t>
  </si>
  <si>
    <t>July 2023</t>
  </si>
  <si>
    <t>Redford</t>
  </si>
  <si>
    <t>Dec-94</t>
  </si>
  <si>
    <t>Nov-02</t>
  </si>
  <si>
    <t>City of Reed City</t>
  </si>
  <si>
    <t>11/4/14</t>
  </si>
  <si>
    <t>Denmark</t>
  </si>
  <si>
    <t>Nov - 24</t>
  </si>
  <si>
    <t>Republic</t>
  </si>
  <si>
    <t>Richfield</t>
  </si>
  <si>
    <t>Aug-81</t>
  </si>
  <si>
    <t>Sept-01</t>
  </si>
  <si>
    <t>Sept-21</t>
  </si>
  <si>
    <t>Aug-2020</t>
  </si>
  <si>
    <t>Aug-2029</t>
  </si>
  <si>
    <t>Richmond</t>
  </si>
  <si>
    <t>Chesaning</t>
  </si>
  <si>
    <t>Aug 4, 2020</t>
  </si>
  <si>
    <t>Dec. 2030</t>
  </si>
  <si>
    <t>7/1/09</t>
  </si>
  <si>
    <t>City of Riverview</t>
  </si>
  <si>
    <t>2019-06-05</t>
  </si>
  <si>
    <t>2020-06-05</t>
  </si>
  <si>
    <t>City of Rochester</t>
  </si>
  <si>
    <t>April 1924</t>
  </si>
  <si>
    <t>Washington</t>
  </si>
  <si>
    <t>November / 1996</t>
  </si>
  <si>
    <t>Higgins</t>
  </si>
  <si>
    <t>Aug 2029</t>
  </si>
  <si>
    <t>January 2012</t>
  </si>
  <si>
    <t>2016-08-03</t>
  </si>
  <si>
    <t>City of Royal Oak</t>
  </si>
  <si>
    <t>Nov. 2003</t>
  </si>
  <si>
    <t>Nov. 2023</t>
  </si>
  <si>
    <t>Imlay</t>
  </si>
  <si>
    <t>Saint Charles</t>
  </si>
  <si>
    <t>November 1990</t>
  </si>
  <si>
    <t>Unlimited</t>
  </si>
  <si>
    <t>unlimited</t>
  </si>
  <si>
    <t>Saint Clair</t>
  </si>
  <si>
    <t>City of Port Huron</t>
  </si>
  <si>
    <t>City of Saint Clair Shores</t>
  </si>
  <si>
    <t>City of Saint Ignace</t>
  </si>
  <si>
    <t>August /16</t>
  </si>
  <si>
    <t>Dec/26</t>
  </si>
  <si>
    <t>August/16</t>
  </si>
  <si>
    <t>Aug./26</t>
  </si>
  <si>
    <t>Salem</t>
  </si>
  <si>
    <t>May-95</t>
  </si>
  <si>
    <t>2/25/14</t>
  </si>
  <si>
    <t>12/2033</t>
  </si>
  <si>
    <t>City of Saline</t>
  </si>
  <si>
    <t>09/1991</t>
  </si>
  <si>
    <t>08/2006</t>
  </si>
  <si>
    <t>08/2026</t>
  </si>
  <si>
    <t>City of Sandusky</t>
  </si>
  <si>
    <t>June 1998</t>
  </si>
  <si>
    <t>032020</t>
  </si>
  <si>
    <t>032023</t>
  </si>
  <si>
    <t>2020-05-05</t>
  </si>
  <si>
    <t>2024-12-31</t>
  </si>
  <si>
    <t>Boston</t>
  </si>
  <si>
    <t>Mar-74</t>
  </si>
  <si>
    <t>2027-12-31</t>
  </si>
  <si>
    <t>Dec 2027</t>
  </si>
  <si>
    <t>Saugatuck</t>
  </si>
  <si>
    <t>Nov 1995</t>
  </si>
  <si>
    <t>Aug-11</t>
  </si>
  <si>
    <t>Dec-20</t>
  </si>
  <si>
    <t>Dec-43</t>
  </si>
  <si>
    <t>2020-06-12</t>
  </si>
  <si>
    <t>Blissfield</t>
  </si>
  <si>
    <t>Sebewaing</t>
  </si>
  <si>
    <t>Aug 14</t>
  </si>
  <si>
    <t>Aug 22</t>
  </si>
  <si>
    <t>Aug 24</t>
  </si>
  <si>
    <t>Aug 20</t>
  </si>
  <si>
    <t>Seville</t>
  </si>
  <si>
    <t>Shelby</t>
  </si>
  <si>
    <t>April 1994</t>
  </si>
  <si>
    <t>Sherman</t>
  </si>
  <si>
    <t>11/2025</t>
  </si>
  <si>
    <t>Owosso</t>
  </si>
  <si>
    <t>Aug 2011</t>
  </si>
  <si>
    <t>Dec 2021</t>
  </si>
  <si>
    <t>2019-05-07</t>
  </si>
  <si>
    <t>Aug-2028</t>
  </si>
  <si>
    <t>Sodus</t>
  </si>
  <si>
    <t>11/9/16</t>
  </si>
  <si>
    <t>2020-04-03</t>
  </si>
  <si>
    <t>South Haven</t>
  </si>
  <si>
    <t>Jan-59</t>
  </si>
  <si>
    <t>May-2017</t>
  </si>
  <si>
    <t>May-2057</t>
  </si>
  <si>
    <t>Building Project</t>
  </si>
  <si>
    <t>City of Southfield</t>
  </si>
  <si>
    <t>05/2011</t>
  </si>
  <si>
    <t>07/2011</t>
  </si>
  <si>
    <t>Southgate</t>
  </si>
  <si>
    <t>Nov 1994</t>
  </si>
  <si>
    <t>Sparta</t>
  </si>
  <si>
    <t>Aug 2025</t>
  </si>
  <si>
    <t>May 2020</t>
  </si>
  <si>
    <t>Spring Lake</t>
  </si>
  <si>
    <t>Sept. 1</t>
  </si>
  <si>
    <t>12/30/20</t>
  </si>
  <si>
    <t>August 94</t>
  </si>
  <si>
    <t>May 2001</t>
  </si>
  <si>
    <t>Springfield</t>
  </si>
  <si>
    <t>Nov. 1990</t>
  </si>
  <si>
    <t>City of Morenci</t>
  </si>
  <si>
    <t>8.4.2015</t>
  </si>
  <si>
    <t>12.31.2024</t>
  </si>
  <si>
    <t>City of Sterling Heights</t>
  </si>
  <si>
    <t>Sturgis</t>
  </si>
  <si>
    <t>Dec-2025</t>
  </si>
  <si>
    <t>Sunfield</t>
  </si>
  <si>
    <t>Dec. 2027</t>
  </si>
  <si>
    <t>City of Sault Ste. Marie</t>
  </si>
  <si>
    <t>01/2016</t>
  </si>
  <si>
    <t>Surrey</t>
  </si>
  <si>
    <t>9/11/2001</t>
  </si>
  <si>
    <t>Suttons Bay</t>
  </si>
  <si>
    <t>12/31/2024</t>
  </si>
  <si>
    <t>Luce</t>
  </si>
  <si>
    <t>Nov-20</t>
  </si>
  <si>
    <t>Cato</t>
  </si>
  <si>
    <t>2006</t>
  </si>
  <si>
    <t>2037</t>
  </si>
  <si>
    <t>1986</t>
  </si>
  <si>
    <t>Taymouth</t>
  </si>
  <si>
    <t>Tecumseh</t>
  </si>
  <si>
    <t>May 2013</t>
  </si>
  <si>
    <t>December 2023</t>
  </si>
  <si>
    <t>Tekonsha</t>
  </si>
  <si>
    <t>August 18</t>
  </si>
  <si>
    <t>12/31/38</t>
  </si>
  <si>
    <t>City of Saint Louis</t>
  </si>
  <si>
    <t>Jul 2022</t>
  </si>
  <si>
    <t>Birch Run</t>
  </si>
  <si>
    <t>Thomas</t>
  </si>
  <si>
    <t>8-2008</t>
  </si>
  <si>
    <t>1-1-2028</t>
  </si>
  <si>
    <t>8-2012</t>
  </si>
  <si>
    <t>1-1-2022</t>
  </si>
  <si>
    <t>City of Ithaca</t>
  </si>
  <si>
    <t>Thornapple</t>
  </si>
  <si>
    <t>Three Oaks</t>
  </si>
  <si>
    <t>May 2008</t>
  </si>
  <si>
    <t>Nov 2027</t>
  </si>
  <si>
    <t>City of Three Rivers</t>
  </si>
  <si>
    <t>Jan 93</t>
  </si>
  <si>
    <t>Reynolds</t>
  </si>
  <si>
    <t>Apr 1955</t>
  </si>
  <si>
    <t>.</t>
  </si>
  <si>
    <t>dec 2020</t>
  </si>
  <si>
    <t>mar 2029</t>
  </si>
  <si>
    <t>Mullett</t>
  </si>
  <si>
    <t>City of Traverse City</t>
  </si>
  <si>
    <t>Dec-25</t>
  </si>
  <si>
    <t>08072018</t>
  </si>
  <si>
    <t>City of Troy</t>
  </si>
  <si>
    <t>June 30, 2021</t>
  </si>
  <si>
    <t>City of Utica</t>
  </si>
  <si>
    <t>April 1949</t>
  </si>
  <si>
    <t>August 2026</t>
  </si>
  <si>
    <t>Decatur</t>
  </si>
  <si>
    <t>04/1991</t>
  </si>
  <si>
    <t>08/2015</t>
  </si>
  <si>
    <t>08/2025</t>
  </si>
  <si>
    <t>Vermontville</t>
  </si>
  <si>
    <t>2022-08-01</t>
  </si>
  <si>
    <t>Vernon</t>
  </si>
  <si>
    <t>05/2005</t>
  </si>
  <si>
    <t>8/2002</t>
  </si>
  <si>
    <t>Operation</t>
  </si>
  <si>
    <t>City of Wakefield</t>
  </si>
  <si>
    <t>2024</t>
  </si>
  <si>
    <t>Wright</t>
  </si>
  <si>
    <t>08/2005</t>
  </si>
  <si>
    <t>Leavitt</t>
  </si>
  <si>
    <t>City of Walled Lake</t>
  </si>
  <si>
    <t>11/1962</t>
  </si>
  <si>
    <t>08/2014</t>
  </si>
  <si>
    <t>Deerfield</t>
  </si>
  <si>
    <t>City of Warren</t>
  </si>
  <si>
    <t>10/1957</t>
  </si>
  <si>
    <t>08/2030</t>
  </si>
  <si>
    <t>Waterford</t>
  </si>
  <si>
    <t>August 2022</t>
  </si>
  <si>
    <t>Watertown</t>
  </si>
  <si>
    <t>01012019</t>
  </si>
  <si>
    <t>Watervliet</t>
  </si>
  <si>
    <t>City of Wayne</t>
  </si>
  <si>
    <t>2028-08-07</t>
  </si>
  <si>
    <t>West Bloomfield</t>
  </si>
  <si>
    <t>09/1949</t>
  </si>
  <si>
    <t>2026-08-03</t>
  </si>
  <si>
    <t>City of West Branch</t>
  </si>
  <si>
    <t>City of Iron River</t>
  </si>
  <si>
    <t>FEB. 14</t>
  </si>
  <si>
    <t>dec.2024</t>
  </si>
  <si>
    <t>Wheatland</t>
  </si>
  <si>
    <t>Nov 2020</t>
  </si>
  <si>
    <t>Nov 2024</t>
  </si>
  <si>
    <t>Aug 2000</t>
  </si>
  <si>
    <t>Nov2030</t>
  </si>
  <si>
    <t>Jan-99</t>
  </si>
  <si>
    <t>City of Whitehall</t>
  </si>
  <si>
    <t>Apr 99</t>
  </si>
  <si>
    <t>December 2029</t>
  </si>
  <si>
    <t>White Lake</t>
  </si>
  <si>
    <t>apr-75</t>
  </si>
  <si>
    <t>White Pigeon</t>
  </si>
  <si>
    <t>08-2020</t>
  </si>
  <si>
    <t>08-2024</t>
  </si>
  <si>
    <t>08-1997</t>
  </si>
  <si>
    <t>Sidney</t>
  </si>
  <si>
    <t>Aug. 2020</t>
  </si>
  <si>
    <t>Aug. 2029</t>
  </si>
  <si>
    <t>Whitefish</t>
  </si>
  <si>
    <t>May2022</t>
  </si>
  <si>
    <t>City of Battle Creek</t>
  </si>
  <si>
    <t>City of Westland</t>
  </si>
  <si>
    <t>Operations</t>
  </si>
  <si>
    <t>June 2022</t>
  </si>
  <si>
    <t>City of Wixom</t>
  </si>
  <si>
    <t>June 2027</t>
  </si>
  <si>
    <t>Nunda</t>
  </si>
  <si>
    <t>Ypsilanti</t>
  </si>
  <si>
    <t>2/15/93</t>
  </si>
  <si>
    <t>11/02/10</t>
  </si>
  <si>
    <t>11/06/18</t>
  </si>
  <si>
    <t>12/31/29</t>
  </si>
  <si>
    <r>
      <t xml:space="preserve">Did the library provide WiFi Internet access to users outside the building, at any outlet, </t>
    </r>
    <r>
      <rPr>
        <b/>
        <u/>
        <sz val="10"/>
        <color theme="1"/>
        <rFont val="Arial"/>
        <family val="2"/>
      </rPr>
      <t>before</t>
    </r>
    <r>
      <rPr>
        <b/>
        <sz val="10"/>
        <color theme="1"/>
        <rFont val="Arial"/>
        <family val="2"/>
      </rPr>
      <t xml:space="preserve"> the Coronavirus (COVID-19) pandemic?”</t>
    </r>
  </si>
  <si>
    <r>
      <t xml:space="preserve">Did the library provide or increase access to WiFi Internet access to users outside the building, at any outlet, </t>
    </r>
    <r>
      <rPr>
        <b/>
        <u/>
        <sz val="10"/>
        <color theme="1"/>
        <rFont val="Arial"/>
        <family val="2"/>
      </rPr>
      <t>during</t>
    </r>
    <r>
      <rPr>
        <b/>
        <sz val="10"/>
        <color theme="1"/>
        <rFont val="Arial"/>
        <family val="2"/>
      </rPr>
      <t xml:space="preserve"> the Coronavirus (COVID-19) pandemic?</t>
    </r>
  </si>
  <si>
    <t>Do you normally provide Wireless Internet Access to Patrons?</t>
  </si>
  <si>
    <t>Subtotal Legal Service Area Population Served</t>
  </si>
  <si>
    <t>Subtotal Local Penal Fine Revenues</t>
  </si>
  <si>
    <t>Subtotal Income From Voted Millage</t>
  </si>
  <si>
    <t>Subtotal Appropriated Tax Income</t>
  </si>
  <si>
    <t>Subtotal Other Local Government Income</t>
  </si>
  <si>
    <t>Subtotal Total Local Government Income</t>
  </si>
  <si>
    <t>Subtotal Other Local Operating Income</t>
  </si>
  <si>
    <t>Contracted Municipality Population Served</t>
  </si>
  <si>
    <t>CM Penal Fine Revenues</t>
  </si>
  <si>
    <t>CM Income From Voted Millage</t>
  </si>
  <si>
    <t>CM Appropriated Tax Income</t>
  </si>
  <si>
    <t>Contract Fee Income</t>
  </si>
  <si>
    <t>CM Total Local Government Income</t>
  </si>
  <si>
    <t>Total Local Government Income</t>
  </si>
  <si>
    <t>Total Other Local Operating Income</t>
  </si>
  <si>
    <t>Total Local Operating Income</t>
  </si>
  <si>
    <t>State Government Operating Income</t>
  </si>
  <si>
    <t>Federal Government Operating Income</t>
  </si>
  <si>
    <t>Total Operating Income</t>
  </si>
  <si>
    <t>Did your library experience budget reductions due to the COVID-19 Pandemic</t>
  </si>
  <si>
    <t>If your budget was reduced due to COVID-19, please enter the approximate amount of the reduction</t>
  </si>
  <si>
    <t>Total Operating Income Per Capita</t>
  </si>
  <si>
    <t>CM Other Local Operating Income</t>
  </si>
  <si>
    <t>22.6% (88 Libraries) of participating Michigan public libraries reported budget reductions due to the COVID-19 Pandemic. With a total loss of 5.853M reported.</t>
  </si>
  <si>
    <t>Print Materials Expenditure</t>
  </si>
  <si>
    <t>Other Materials Expenditure</t>
  </si>
  <si>
    <t>Electronic Materials Expenditure</t>
  </si>
  <si>
    <t>Total Collection Expenditures</t>
  </si>
  <si>
    <t>Salaries and Wages</t>
  </si>
  <si>
    <t>Employee Benefits</t>
  </si>
  <si>
    <t>Total Staff Expenditures</t>
  </si>
  <si>
    <t>Other Operating Expenditures</t>
  </si>
  <si>
    <t>Total Operating Expenditures</t>
  </si>
  <si>
    <t>Total Operating Expenditures Per Capita</t>
  </si>
  <si>
    <t>Federal Capital Income</t>
  </si>
  <si>
    <t>State Capital Income</t>
  </si>
  <si>
    <t>Local Capital Icome</t>
  </si>
  <si>
    <t>Private Capital Income</t>
  </si>
  <si>
    <t>Total Capital Income</t>
  </si>
  <si>
    <t>Capital Expenditures for Electronic Access</t>
  </si>
  <si>
    <t>Furnishings and Equipment Expenditures</t>
  </si>
  <si>
    <t>Building Expenditures</t>
  </si>
  <si>
    <t>Other Capital Expenditures</t>
  </si>
  <si>
    <t>Total Capital Expenditures</t>
  </si>
  <si>
    <t>Totals</t>
  </si>
  <si>
    <t>Cooperative</t>
  </si>
  <si>
    <t>Non-Resident Fee</t>
  </si>
  <si>
    <t>NR Fee Annual or One Time</t>
  </si>
  <si>
    <t>Fee schedule or non-resident rate (Example: $35/family;$25/individual)</t>
  </si>
  <si>
    <t>Full Library Service for Contracted Municipalities</t>
  </si>
  <si>
    <t>Superiorland Library Cooperative</t>
  </si>
  <si>
    <t>Imlay City</t>
  </si>
  <si>
    <t>Mideastern Michigan Library Cooperative</t>
  </si>
  <si>
    <t>OneTime</t>
  </si>
  <si>
    <t>Paradise</t>
  </si>
  <si>
    <t>White Pine Library Cooperative</t>
  </si>
  <si>
    <t>Mid-Michigan Library League</t>
  </si>
  <si>
    <t>Mackinac Island</t>
  </si>
  <si>
    <t>Woodlands Library Cooperative</t>
  </si>
  <si>
    <t>Jonesville</t>
  </si>
  <si>
    <t>Marlette</t>
  </si>
  <si>
    <t>10.00</t>
  </si>
  <si>
    <t>North Adams</t>
  </si>
  <si>
    <t>$10</t>
  </si>
  <si>
    <t>Baldwin</t>
  </si>
  <si>
    <t>12.00</t>
  </si>
  <si>
    <t>Stephenson</t>
  </si>
  <si>
    <t>15.00</t>
  </si>
  <si>
    <t>20</t>
  </si>
  <si>
    <t>Southwest Michigan Library Cooperative</t>
  </si>
  <si>
    <t>20.00</t>
  </si>
  <si>
    <t>Lakeland Library Cooperative</t>
  </si>
  <si>
    <t>24</t>
  </si>
  <si>
    <t>Indian River</t>
  </si>
  <si>
    <t>Northland Library Cooperative</t>
  </si>
  <si>
    <t>25.00</t>
  </si>
  <si>
    <t>25</t>
  </si>
  <si>
    <t>Eau Claire</t>
  </si>
  <si>
    <t>Burnips</t>
  </si>
  <si>
    <t>$25</t>
  </si>
  <si>
    <t>Sandusky</t>
  </si>
  <si>
    <t>West Branch</t>
  </si>
  <si>
    <t>Cadillac</t>
  </si>
  <si>
    <t>Wakefield</t>
  </si>
  <si>
    <t>30</t>
  </si>
  <si>
    <t>Hastings</t>
  </si>
  <si>
    <t>Mackinaw City</t>
  </si>
  <si>
    <t>$30.00</t>
  </si>
  <si>
    <t>34</t>
  </si>
  <si>
    <t>40</t>
  </si>
  <si>
    <t>Alma</t>
  </si>
  <si>
    <t>40.00</t>
  </si>
  <si>
    <t>Belding</t>
  </si>
  <si>
    <t>Iron River</t>
  </si>
  <si>
    <t>Westland</t>
  </si>
  <si>
    <t>The Library Network</t>
  </si>
  <si>
    <t>Reed City</t>
  </si>
  <si>
    <t>45.00</t>
  </si>
  <si>
    <t>Hesperia</t>
  </si>
  <si>
    <t>48</t>
  </si>
  <si>
    <t>50.00</t>
  </si>
  <si>
    <t>Buchanan</t>
  </si>
  <si>
    <t>50</t>
  </si>
  <si>
    <t>Coopersville</t>
  </si>
  <si>
    <t>50.</t>
  </si>
  <si>
    <t>Blissfield, MI</t>
  </si>
  <si>
    <t>Rogers City</t>
  </si>
  <si>
    <t>Vicksburg</t>
  </si>
  <si>
    <t>Boyne City</t>
  </si>
  <si>
    <t>60</t>
  </si>
  <si>
    <t>Flat Rock</t>
  </si>
  <si>
    <t>65.00</t>
  </si>
  <si>
    <t>Port Huron</t>
  </si>
  <si>
    <t>75.00</t>
  </si>
  <si>
    <t>75</t>
  </si>
  <si>
    <t>$75.00</t>
  </si>
  <si>
    <t>80</t>
  </si>
  <si>
    <t>Comstock Park</t>
  </si>
  <si>
    <t>84.00</t>
  </si>
  <si>
    <t>88</t>
  </si>
  <si>
    <t>Traverse City</t>
  </si>
  <si>
    <t>$100</t>
  </si>
  <si>
    <t>Clawson</t>
  </si>
  <si>
    <t>100</t>
  </si>
  <si>
    <t>Oak Park</t>
  </si>
  <si>
    <t>Holland</t>
  </si>
  <si>
    <t>100.00</t>
  </si>
  <si>
    <t>Novi</t>
  </si>
  <si>
    <t>111</t>
  </si>
  <si>
    <t>Jenison</t>
  </si>
  <si>
    <t>115</t>
  </si>
  <si>
    <t>Berkley</t>
  </si>
  <si>
    <t>125</t>
  </si>
  <si>
    <t>Chelsea</t>
  </si>
  <si>
    <t>Wixom</t>
  </si>
  <si>
    <t>South Lyon</t>
  </si>
  <si>
    <t>130</t>
  </si>
  <si>
    <t>140</t>
  </si>
  <si>
    <t>150</t>
  </si>
  <si>
    <t>Battle Creek</t>
  </si>
  <si>
    <t>150.00</t>
  </si>
  <si>
    <t>Suburban Library Cooperative</t>
  </si>
  <si>
    <t>200.00</t>
  </si>
  <si>
    <t>New Haven</t>
  </si>
  <si>
    <t>Fraser</t>
  </si>
  <si>
    <t>200</t>
  </si>
  <si>
    <t>Eastpointe</t>
  </si>
  <si>
    <t>Lake Orion</t>
  </si>
  <si>
    <t>Romeo</t>
  </si>
  <si>
    <t>$200</t>
  </si>
  <si>
    <t>Grosse Pointe Farms</t>
  </si>
  <si>
    <t>Big Rapids</t>
  </si>
  <si>
    <t xml:space="preserve"> $25 individual, $50 household, $120 individual plus MeL</t>
  </si>
  <si>
    <t xml:space="preserve"> $100/family; $50/six months</t>
  </si>
  <si>
    <t xml:space="preserve"> $125/Household</t>
  </si>
  <si>
    <t>Alden</t>
  </si>
  <si>
    <t xml:space="preserve"> $5/individual; $10/family</t>
  </si>
  <si>
    <t>Albion</t>
  </si>
  <si>
    <t xml:space="preserve"> $60/INDIVIDUAL (ANNUAL, AVAILABLE QUARTERLY)</t>
  </si>
  <si>
    <t>Charlotte</t>
  </si>
  <si>
    <t xml:space="preserve"> $80/family</t>
  </si>
  <si>
    <t>$10 Annually</t>
  </si>
  <si>
    <t>$10/card</t>
  </si>
  <si>
    <t>$10/family</t>
  </si>
  <si>
    <t>Newberry</t>
  </si>
  <si>
    <t>$10/Individual;$25/Family</t>
  </si>
  <si>
    <t>Reese</t>
  </si>
  <si>
    <t>$10/student; $15/individual; $25/family</t>
  </si>
  <si>
    <t>Marshall</t>
  </si>
  <si>
    <t>$100 Household; $50 Senior/Military Household</t>
  </si>
  <si>
    <t>$100/family</t>
  </si>
  <si>
    <t>Wyandotte</t>
  </si>
  <si>
    <t>$100/Family</t>
  </si>
  <si>
    <t>Ferndale</t>
  </si>
  <si>
    <t>Harrison</t>
  </si>
  <si>
    <t>Dearborn</t>
  </si>
  <si>
    <t>$100/household</t>
  </si>
  <si>
    <t>Madison Heights</t>
  </si>
  <si>
    <t>$100/Individual</t>
  </si>
  <si>
    <t>Detroit</t>
  </si>
  <si>
    <t>Detroit Library Cooperative</t>
  </si>
  <si>
    <t>$100/individual</t>
  </si>
  <si>
    <t>Royal Oak</t>
  </si>
  <si>
    <t>Ortonville</t>
  </si>
  <si>
    <t>$100/individual; $6/student</t>
  </si>
  <si>
    <t>$100/year, $25/quarter</t>
  </si>
  <si>
    <t>$110/Individual; $155/Family</t>
  </si>
  <si>
    <t>$120 individual/12month; $65/individual/6month; $35/individual/3month or $180/family/12month; $95/family/6month; $50/family/3month</t>
  </si>
  <si>
    <t>$125 family</t>
  </si>
  <si>
    <t>Augusta</t>
  </si>
  <si>
    <t>$15/Family</t>
  </si>
  <si>
    <t>$15/Student;$25/Individual;$40/Family</t>
  </si>
  <si>
    <t>Saline</t>
  </si>
  <si>
    <t>$150 Individual/Family</t>
  </si>
  <si>
    <t>Ann Arbor</t>
  </si>
  <si>
    <t>Non-member</t>
  </si>
  <si>
    <t>$150/Family</t>
  </si>
  <si>
    <t>$150/household</t>
  </si>
  <si>
    <t>Portage</t>
  </si>
  <si>
    <t>$176/Household; $88.00/Senior Citizen</t>
  </si>
  <si>
    <t>Caro</t>
  </si>
  <si>
    <t>$20 individual</t>
  </si>
  <si>
    <t>Fennville</t>
  </si>
  <si>
    <t>$20.00/Family</t>
  </si>
  <si>
    <t>Weidman</t>
  </si>
  <si>
    <t>$20/address</t>
  </si>
  <si>
    <t>$20/family</t>
  </si>
  <si>
    <t>Edmore</t>
  </si>
  <si>
    <t>$20/Family</t>
  </si>
  <si>
    <t>Bridgman</t>
  </si>
  <si>
    <t>$20/individual</t>
  </si>
  <si>
    <t>Bessemer</t>
  </si>
  <si>
    <t>$20/person</t>
  </si>
  <si>
    <t>Ludington</t>
  </si>
  <si>
    <t>$20/person or $50/family</t>
  </si>
  <si>
    <t>Warren</t>
  </si>
  <si>
    <t>$200 per family</t>
  </si>
  <si>
    <t xml:space="preserve">$200/ Full SLC / $100 </t>
  </si>
  <si>
    <t>Sterling Heights</t>
  </si>
  <si>
    <t>$200/Family</t>
  </si>
  <si>
    <t>Troy</t>
  </si>
  <si>
    <t>$200/family outside Suburban Library Cooperative</t>
  </si>
  <si>
    <t>Clinton Township</t>
  </si>
  <si>
    <t>$200/family/coopwide</t>
  </si>
  <si>
    <t>Roseville</t>
  </si>
  <si>
    <t>$200/SLC</t>
  </si>
  <si>
    <t>$210/Family</t>
  </si>
  <si>
    <t>Alanson</t>
  </si>
  <si>
    <t>$25 Individual/$15 Over 60</t>
  </si>
  <si>
    <t>Hemlock</t>
  </si>
  <si>
    <t>$25 individual/$50 family</t>
  </si>
  <si>
    <t>$25/individual</t>
  </si>
  <si>
    <t>Bath</t>
  </si>
  <si>
    <t>Galesburg</t>
  </si>
  <si>
    <t>Munising</t>
  </si>
  <si>
    <t>$25/Individual</t>
  </si>
  <si>
    <t>Harbor Beach</t>
  </si>
  <si>
    <t>$25/individual; additional family cards $5</t>
  </si>
  <si>
    <t>Greenville</t>
  </si>
  <si>
    <t>$25/year</t>
  </si>
  <si>
    <t>Howell</t>
  </si>
  <si>
    <t>$30 individual $90 family</t>
  </si>
  <si>
    <t>East Lansing</t>
  </si>
  <si>
    <t>$30 individual/$40 family</t>
  </si>
  <si>
    <t>$30/Family</t>
  </si>
  <si>
    <t>Adrian</t>
  </si>
  <si>
    <t>$30/household</t>
  </si>
  <si>
    <t>Crystal Falls</t>
  </si>
  <si>
    <t>$30/Individual; $45/Family</t>
  </si>
  <si>
    <t>Stevensville</t>
  </si>
  <si>
    <t>$35 3-mo; $65 6mo; 120 1 year</t>
  </si>
  <si>
    <t>$35 Family</t>
  </si>
  <si>
    <t>Howard City</t>
  </si>
  <si>
    <t>$35/family</t>
  </si>
  <si>
    <t>Escanaba</t>
  </si>
  <si>
    <t>$35/Family</t>
  </si>
  <si>
    <t>Iron Mountain</t>
  </si>
  <si>
    <t>Gladstone</t>
  </si>
  <si>
    <t>$35/family;$20 individual</t>
  </si>
  <si>
    <t>Coleman</t>
  </si>
  <si>
    <t>$35/Individual</t>
  </si>
  <si>
    <t>Nashville</t>
  </si>
  <si>
    <t>$35/individual, $50/family</t>
  </si>
  <si>
    <t>Farwell</t>
  </si>
  <si>
    <t>$35/individual; $50/family</t>
  </si>
  <si>
    <t>Pigeon</t>
  </si>
  <si>
    <t>$40/card</t>
  </si>
  <si>
    <t>Douglas</t>
  </si>
  <si>
    <t>$40/family</t>
  </si>
  <si>
    <t>Middleville</t>
  </si>
  <si>
    <t>$40/Family</t>
  </si>
  <si>
    <t>St. Ignace</t>
  </si>
  <si>
    <t>$40/Family; $20/Summer Resident</t>
  </si>
  <si>
    <t>Bad Axe</t>
  </si>
  <si>
    <t>$40/Household</t>
  </si>
  <si>
    <t>Morenci</t>
  </si>
  <si>
    <t>$40/individual</t>
  </si>
  <si>
    <t>Wayland</t>
  </si>
  <si>
    <t>Whitehall</t>
  </si>
  <si>
    <t>$42/individual</t>
  </si>
  <si>
    <t>Eaton Rapids</t>
  </si>
  <si>
    <t>$45/family; $25/individual; $5/90-day, one per calendar year</t>
  </si>
  <si>
    <t>$45/household</t>
  </si>
  <si>
    <t>$48/Individual</t>
  </si>
  <si>
    <t>$5/Individual</t>
  </si>
  <si>
    <t>Dowagiac</t>
  </si>
  <si>
    <t>$5/individual</t>
  </si>
  <si>
    <t>Saint Johns</t>
  </si>
  <si>
    <t>$50 a household</t>
  </si>
  <si>
    <t>Three Rivers</t>
  </si>
  <si>
    <t>$50 for 1 or 2/ $75 for 3 or more</t>
  </si>
  <si>
    <t>$50 individual;$75 family</t>
  </si>
  <si>
    <t>$50 per year</t>
  </si>
  <si>
    <t>White Cloud</t>
  </si>
  <si>
    <t>$50 yearly/ $5 monthly</t>
  </si>
  <si>
    <t>$50/ household/year</t>
  </si>
  <si>
    <t>Elsie</t>
  </si>
  <si>
    <t>$50/family</t>
  </si>
  <si>
    <t>Delton</t>
  </si>
  <si>
    <t>ITHACA</t>
  </si>
  <si>
    <t>Fowlerville</t>
  </si>
  <si>
    <t>$50/Family</t>
  </si>
  <si>
    <t>Moline</t>
  </si>
  <si>
    <t>$50/household</t>
  </si>
  <si>
    <t>Lansing</t>
  </si>
  <si>
    <t>$50/ind, $75/fam</t>
  </si>
  <si>
    <t>Center Line</t>
  </si>
  <si>
    <t>$50/individual</t>
  </si>
  <si>
    <t>Grant</t>
  </si>
  <si>
    <t>$50/Individual</t>
  </si>
  <si>
    <t>Hazel Park</t>
  </si>
  <si>
    <t>Bay City</t>
  </si>
  <si>
    <t>$50/individual - local; $200/individual - cooperative wide</t>
  </si>
  <si>
    <t>Plainwell</t>
  </si>
  <si>
    <t>$50/individual or family</t>
  </si>
  <si>
    <t>$50/person</t>
  </si>
  <si>
    <t>East Jordan</t>
  </si>
  <si>
    <t>$55 individual</t>
  </si>
  <si>
    <t>$58/Individual;$29/Senior</t>
  </si>
  <si>
    <t>Walloon Lake</t>
  </si>
  <si>
    <t>$75/family</t>
  </si>
  <si>
    <t>$75/Family</t>
  </si>
  <si>
    <t>Harper Woods</t>
  </si>
  <si>
    <t>$75/individual</t>
  </si>
  <si>
    <t>New Baltimore</t>
  </si>
  <si>
    <t>$75-Individual,$200-Cooperative-Individual or Family</t>
  </si>
  <si>
    <t>Negaunee</t>
  </si>
  <si>
    <t>$80/family; $50/individual</t>
  </si>
  <si>
    <t>$80/individual</t>
  </si>
  <si>
    <t>Sault Ste Marie</t>
  </si>
  <si>
    <t>$82/Family</t>
  </si>
  <si>
    <t>$90/family;$45 seasonal</t>
  </si>
  <si>
    <t>Parchment</t>
  </si>
  <si>
    <t>$95/family</t>
  </si>
  <si>
    <t>Bellaire</t>
  </si>
  <si>
    <t>10.00/ individual</t>
  </si>
  <si>
    <t>Reading</t>
  </si>
  <si>
    <t>10.00/family</t>
  </si>
  <si>
    <t>Grayling</t>
  </si>
  <si>
    <t>10.00/Individual</t>
  </si>
  <si>
    <t>White Pine</t>
  </si>
  <si>
    <t>10/Individual</t>
  </si>
  <si>
    <t>Davisburg</t>
  </si>
  <si>
    <t>100.00 /family</t>
  </si>
  <si>
    <t>100/family</t>
  </si>
  <si>
    <t xml:space="preserve">100/household </t>
  </si>
  <si>
    <t>Livonia</t>
  </si>
  <si>
    <t>100/individual</t>
  </si>
  <si>
    <t>125/family</t>
  </si>
  <si>
    <t>Mount Pleasant</t>
  </si>
  <si>
    <t>130/household</t>
  </si>
  <si>
    <t>Franklin</t>
  </si>
  <si>
    <t>165/Individual</t>
  </si>
  <si>
    <t>20.00/household</t>
  </si>
  <si>
    <t>20.00/Individual</t>
  </si>
  <si>
    <t>Ubly</t>
  </si>
  <si>
    <t>20/Family</t>
  </si>
  <si>
    <t>20/individual</t>
  </si>
  <si>
    <t>Utica</t>
  </si>
  <si>
    <t>200/family</t>
  </si>
  <si>
    <t>Mount Clemens</t>
  </si>
  <si>
    <t>200/Family</t>
  </si>
  <si>
    <t>St. Clair Shores</t>
  </si>
  <si>
    <t>2100 Banks Township</t>
  </si>
  <si>
    <t>24.00/individual or family</t>
  </si>
  <si>
    <t>Carson City</t>
  </si>
  <si>
    <t>25/individual</t>
  </si>
  <si>
    <t>30/family</t>
  </si>
  <si>
    <t>Hamtramck</t>
  </si>
  <si>
    <t>30/individual</t>
  </si>
  <si>
    <t>30/Individual $40/Family</t>
  </si>
  <si>
    <t>36/Individual</t>
  </si>
  <si>
    <t>Lakeview</t>
  </si>
  <si>
    <t>36/individual</t>
  </si>
  <si>
    <t>40/Individual</t>
  </si>
  <si>
    <t>40/individual</t>
  </si>
  <si>
    <t>Zeeland, MI</t>
  </si>
  <si>
    <t>50.00/Individual</t>
  </si>
  <si>
    <t>50/Family</t>
  </si>
  <si>
    <t>50/individual</t>
  </si>
  <si>
    <t>Benton Harbor</t>
  </si>
  <si>
    <t>Corunna</t>
  </si>
  <si>
    <t>55/Family</t>
  </si>
  <si>
    <t>55/individual; 125 family</t>
  </si>
  <si>
    <t>Grand Rapids</t>
  </si>
  <si>
    <t>60/family/6 mos - $115/family/yr</t>
  </si>
  <si>
    <t>Dexter</t>
  </si>
  <si>
    <t>60/household</t>
  </si>
  <si>
    <t>Inkster</t>
  </si>
  <si>
    <t>65/individual</t>
  </si>
  <si>
    <t>75/family</t>
  </si>
  <si>
    <t>Gaylord</t>
  </si>
  <si>
    <t>75/family;$30 individual</t>
  </si>
  <si>
    <t>75/household</t>
  </si>
  <si>
    <t>Berrien Springs</t>
  </si>
  <si>
    <t>75/Individual</t>
  </si>
  <si>
    <t>Petoskey</t>
  </si>
  <si>
    <t>95/family/year or 25/family/quarter</t>
  </si>
  <si>
    <t>Ashley</t>
  </si>
  <si>
    <t>Beaver Island</t>
  </si>
  <si>
    <t>Frankfort</t>
  </si>
  <si>
    <t>Thompsonville</t>
  </si>
  <si>
    <t>Unionville</t>
  </si>
  <si>
    <t>Glennie</t>
  </si>
  <si>
    <t>Beulah</t>
  </si>
  <si>
    <t>Peck</t>
  </si>
  <si>
    <t>Lake Linden</t>
  </si>
  <si>
    <t>Lawton</t>
  </si>
  <si>
    <t>Northport</t>
  </si>
  <si>
    <t>Maple Rapids</t>
  </si>
  <si>
    <t>MERRILL</t>
  </si>
  <si>
    <t>Mulliken</t>
  </si>
  <si>
    <t>Dollar Bay</t>
  </si>
  <si>
    <t>Saint Helen</t>
  </si>
  <si>
    <t>Vestaburg</t>
  </si>
  <si>
    <t>Palmer</t>
  </si>
  <si>
    <t>Riverdale</t>
  </si>
  <si>
    <t>Sodus, MI</t>
  </si>
  <si>
    <t>Topinabee</t>
  </si>
  <si>
    <t>Waldron</t>
  </si>
  <si>
    <t>Walkerville</t>
  </si>
  <si>
    <t>Fostoria</t>
  </si>
  <si>
    <t>Remus</t>
  </si>
  <si>
    <t>Wolverine</t>
  </si>
  <si>
    <t>Leonard</t>
  </si>
  <si>
    <t>Barryton</t>
  </si>
  <si>
    <t>Brown City</t>
  </si>
  <si>
    <t>Deckerville</t>
  </si>
  <si>
    <t>Dimondale</t>
  </si>
  <si>
    <t>Gwinn</t>
  </si>
  <si>
    <t>FREEPORT</t>
  </si>
  <si>
    <t>Hartford</t>
  </si>
  <si>
    <t>Breckenridge</t>
  </si>
  <si>
    <t>Interlochen</t>
  </si>
  <si>
    <t>Lake Odessa</t>
  </si>
  <si>
    <t>Luther</t>
  </si>
  <si>
    <t>Mayville</t>
  </si>
  <si>
    <t>McBain</t>
  </si>
  <si>
    <t>Centrevile</t>
  </si>
  <si>
    <t>Potterville</t>
  </si>
  <si>
    <t>Port Sanilac</t>
  </si>
  <si>
    <t>Burt</t>
  </si>
  <si>
    <t>Walled Lake</t>
  </si>
  <si>
    <t>Croswell</t>
  </si>
  <si>
    <t>Vassar</t>
  </si>
  <si>
    <t>Cedar Springs</t>
  </si>
  <si>
    <t>Ecorse</t>
  </si>
  <si>
    <t>Evart</t>
  </si>
  <si>
    <t>Hudsonville</t>
  </si>
  <si>
    <t>Hart</t>
  </si>
  <si>
    <t>Huntington Woods</t>
  </si>
  <si>
    <t>Laingsburg</t>
  </si>
  <si>
    <t>Manistique</t>
  </si>
  <si>
    <t>Melvindale</t>
  </si>
  <si>
    <t>Atlanta</t>
  </si>
  <si>
    <t>Whitmore Lake</t>
  </si>
  <si>
    <t>Mio</t>
  </si>
  <si>
    <t>Pinckney</t>
  </si>
  <si>
    <t>Cass City</t>
  </si>
  <si>
    <t>River Rouge</t>
  </si>
  <si>
    <t>Saranac</t>
  </si>
  <si>
    <t>Saint Louis</t>
  </si>
  <si>
    <t>Morley</t>
  </si>
  <si>
    <t>Stanton</t>
  </si>
  <si>
    <t>Auburn Hills</t>
  </si>
  <si>
    <t>Grand Ledge</t>
  </si>
  <si>
    <t>Houghton Lake</t>
  </si>
  <si>
    <t>Ishpeming</t>
  </si>
  <si>
    <t>Lake City</t>
  </si>
  <si>
    <t>Rose City</t>
  </si>
  <si>
    <t>Portland</t>
  </si>
  <si>
    <t>Riverview</t>
  </si>
  <si>
    <t>Allen Park</t>
  </si>
  <si>
    <t>Birmingham</t>
  </si>
  <si>
    <t>Belleville</t>
  </si>
  <si>
    <t>Bloomfield Township</t>
  </si>
  <si>
    <t>Brighton</t>
  </si>
  <si>
    <t>Clarkston</t>
  </si>
  <si>
    <t>Commerce Township</t>
  </si>
  <si>
    <t>Garden City</t>
  </si>
  <si>
    <t>East Tawas</t>
  </si>
  <si>
    <t>Lincoln Park</t>
  </si>
  <si>
    <t>Romulus</t>
  </si>
  <si>
    <t>Farmington Hills</t>
  </si>
  <si>
    <t>Pontiac</t>
  </si>
  <si>
    <t>Rochester</t>
  </si>
  <si>
    <t>Shelby Township</t>
  </si>
  <si>
    <t>Taylor</t>
  </si>
  <si>
    <t>Trenton</t>
  </si>
  <si>
    <t>Cassopolis</t>
  </si>
  <si>
    <t>MI resident $25 per family; non-MI resident $40 per family</t>
  </si>
  <si>
    <t>Number of ALA-MLS Librarians</t>
  </si>
  <si>
    <t>Total Hours per Week worked by ALA-MLS Librarians</t>
  </si>
  <si>
    <t>ALA-MLS FTE (40 Hours/wk)</t>
  </si>
  <si>
    <t>Number of Other Librarians</t>
  </si>
  <si>
    <t>Total Hours per Week worked by Other Librarians</t>
  </si>
  <si>
    <t>Other Librarians FTE (40 Hours/wk)</t>
  </si>
  <si>
    <t>Number of Total Librarians</t>
  </si>
  <si>
    <t>Total Hours per Week worked by Total Librarians</t>
  </si>
  <si>
    <t>Total Librarians FTE (40 Hours/wk)</t>
  </si>
  <si>
    <t>Number of All Other Paid Staff</t>
  </si>
  <si>
    <t>Total Hours per Week worked by All Other Paid Staff</t>
  </si>
  <si>
    <t>All Other Paid Staff FTE (40 Hours/wk)</t>
  </si>
  <si>
    <t>Number of Total Paid Employees</t>
  </si>
  <si>
    <t>Total Hours per Week worked by Total Paid Employees</t>
  </si>
  <si>
    <t>Total Paid Employees FTE (40 Hours/wk)</t>
  </si>
  <si>
    <t>Did the library have any temporary staffing reductions due to the COVID-19 Pandemic</t>
  </si>
  <si>
    <t>If your library reduced staffing hours Due to COVID-19 provide an approximate total of the hours reduced</t>
  </si>
  <si>
    <t>Were library staff re-assigned to assist other government agencies or nonprofit organizations with Coronavirus (COVID-19) pandemic-related efforts?</t>
  </si>
  <si>
    <t>Director's Certification Level (I, II, III, or IV)</t>
  </si>
  <si>
    <t>Director Minimum Salary</t>
  </si>
  <si>
    <t>Director Maximum Salary</t>
  </si>
  <si>
    <t>Director Average Hrs/Wk</t>
  </si>
  <si>
    <t>Health Insurance</t>
  </si>
  <si>
    <t>Dental Insurance</t>
  </si>
  <si>
    <t>Vision Insurance</t>
  </si>
  <si>
    <t>Life Insurance</t>
  </si>
  <si>
    <t>Pension</t>
  </si>
  <si>
    <t>Paid Sick Leave</t>
  </si>
  <si>
    <t>Paid Vacation</t>
  </si>
  <si>
    <t>Paid Personal Days</t>
  </si>
  <si>
    <t>Paid Holidays</t>
  </si>
  <si>
    <t>Deferred Compensation</t>
  </si>
  <si>
    <t>Disability</t>
  </si>
  <si>
    <t>Longevity</t>
  </si>
  <si>
    <t>Other Benefits</t>
  </si>
  <si>
    <t>I</t>
  </si>
  <si>
    <t>II</t>
  </si>
  <si>
    <t>Paid Snow Days</t>
  </si>
  <si>
    <t>Extraordinary Leave Bank</t>
  </si>
  <si>
    <t>IV</t>
  </si>
  <si>
    <t>Employee match for employee IRA contributions</t>
  </si>
  <si>
    <t>401 K</t>
  </si>
  <si>
    <t>Roth IRA</t>
  </si>
  <si>
    <t>Contribution to 403b</t>
  </si>
  <si>
    <t>457 Match</t>
  </si>
  <si>
    <t>Health Care Savings Plan</t>
  </si>
  <si>
    <t>Personal Business &amp; Emergency Time</t>
  </si>
  <si>
    <t xml:space="preserve">Dependent Health Coverage </t>
  </si>
  <si>
    <t>Retirement</t>
  </si>
  <si>
    <t>benefits stipend for full-time employees</t>
  </si>
  <si>
    <t>Long Term Disability, Flexible Spending accounts</t>
  </si>
  <si>
    <t>FICA</t>
  </si>
  <si>
    <t>125 Plan</t>
  </si>
  <si>
    <t>Three separate Floating Holiday days, including Birthday.</t>
  </si>
  <si>
    <t>Tuition, Health Incentive</t>
  </si>
  <si>
    <t>Birthday</t>
  </si>
  <si>
    <t>bereavement leave - flex fund for dental and vision expenses $500 per full time employee paid for by the library</t>
  </si>
  <si>
    <t>Mers and Aflac</t>
  </si>
  <si>
    <t>Paid sick pay if due to Covid</t>
  </si>
  <si>
    <t xml:space="preserve"> Tuition Reimbursement</t>
  </si>
  <si>
    <t>FSA</t>
  </si>
  <si>
    <t>EAP</t>
  </si>
  <si>
    <t>401 A, 457, Roth IRA</t>
  </si>
  <si>
    <t>401a match</t>
  </si>
  <si>
    <t>Retirement/FSA</t>
  </si>
  <si>
    <t>Bereavement</t>
  </si>
  <si>
    <t>Wellness Program</t>
  </si>
  <si>
    <t>Gym Membership</t>
  </si>
  <si>
    <t>ICHRA</t>
  </si>
  <si>
    <t>Aflac, MERS 457 plan</t>
  </si>
  <si>
    <t>Performance Incentive</t>
  </si>
  <si>
    <t>Clothing allowance, Rotary membership fee</t>
  </si>
  <si>
    <t>Health Savings Account</t>
  </si>
  <si>
    <t>Year End Bonus</t>
  </si>
  <si>
    <t xml:space="preserve">Sick time buyout </t>
  </si>
  <si>
    <t>Gym membership</t>
  </si>
  <si>
    <t>401K Retirement</t>
  </si>
  <si>
    <t>Christmas bonus, free meeting room use, no fines</t>
  </si>
  <si>
    <t>Training</t>
  </si>
  <si>
    <t>Dental Allowance</t>
  </si>
  <si>
    <t>Death in the immediate family paid</t>
  </si>
  <si>
    <t>birthday, jury duty, funeral pay</t>
  </si>
  <si>
    <t>Membership in ALA</t>
  </si>
  <si>
    <t>Birthday off - paid</t>
  </si>
  <si>
    <t>Long Term Disability, Personal Paid Days</t>
  </si>
  <si>
    <t>HRA and HSA</t>
  </si>
  <si>
    <t>Healthcare Spending program</t>
  </si>
  <si>
    <t>Stipend to use for health benefits. Stipend to use for health benefits.</t>
  </si>
  <si>
    <t>HRA</t>
  </si>
  <si>
    <t>Defined Contribution 401A</t>
  </si>
  <si>
    <t>24 business hours</t>
  </si>
  <si>
    <t>Printing; extended checkout</t>
  </si>
  <si>
    <t>Long Term, Short Term Disability</t>
  </si>
  <si>
    <t>Section 125 FSA, Health Care Savings Plan</t>
  </si>
  <si>
    <t>one free community room rental per year</t>
  </si>
  <si>
    <t>27% of salary paid as stipend for benefits</t>
  </si>
  <si>
    <t>Employer paid HRA account</t>
  </si>
  <si>
    <t>401(a) Library Contributes 10% of Regular Wages; $200 Well Being Benefit</t>
  </si>
  <si>
    <t>two snow days</t>
  </si>
  <si>
    <t>457 Deferred Compensation</t>
  </si>
  <si>
    <t>Limited Use Flex Spending</t>
  </si>
  <si>
    <t>Long term care</t>
  </si>
  <si>
    <t>$60 per month for cell phone</t>
  </si>
  <si>
    <t>Anniversary date for part-time employees</t>
  </si>
  <si>
    <t>Employer contribution to tax deferred annuity</t>
  </si>
  <si>
    <t>IRA</t>
  </si>
  <si>
    <t>Defined Contribution</t>
  </si>
  <si>
    <t>medical reimbursement</t>
  </si>
  <si>
    <t>$450 Vision Reimbursement</t>
  </si>
  <si>
    <t>Holiday Bonus</t>
  </si>
  <si>
    <t>PTO</t>
  </si>
  <si>
    <t>sick days-cash comp time-cash, HSA and retiree health HSA</t>
  </si>
  <si>
    <t>2 weeks paid vacation per year</t>
  </si>
  <si>
    <t>3 snow days</t>
  </si>
  <si>
    <t>partial cell phone allocation</t>
  </si>
  <si>
    <t>2 weeks paid vacation</t>
  </si>
  <si>
    <t>Disability insurance, long term care insurance, tuition reimbursement</t>
  </si>
  <si>
    <t>Defined Contribution Retirement</t>
  </si>
  <si>
    <t>EAP and FSA</t>
  </si>
  <si>
    <t>Director Benefits by Class</t>
  </si>
  <si>
    <t>Assistant Director Average Hrs/Wk</t>
  </si>
  <si>
    <t>Assistant Director Minimum Salary</t>
  </si>
  <si>
    <t>Assistant Director Maximum Salary</t>
  </si>
  <si>
    <t>Department/Branch Head Average Hrs/Wk</t>
  </si>
  <si>
    <t>Department/Branch Head Minimum Salary</t>
  </si>
  <si>
    <t>Department/Branch Head Maximum Salary</t>
  </si>
  <si>
    <t>Senior Level Librarian Average Hrs/Wk</t>
  </si>
  <si>
    <t>Senior Level Librarian Minimum Salary</t>
  </si>
  <si>
    <t>Senior Level Librarian Maximum Salary</t>
  </si>
  <si>
    <t>Entry Level Librarian Average Hrs/Wk</t>
  </si>
  <si>
    <t>Entry Level Librarian Minimum Salary</t>
  </si>
  <si>
    <t>Entry Level Librarian Maximum Salary</t>
  </si>
  <si>
    <t>Computer/Technology Specialist Average Hrs/Wk</t>
  </si>
  <si>
    <t>Computer/Technology Specialist Minimum Salary</t>
  </si>
  <si>
    <t>Computer/Technology Specialist Maximum Salary</t>
  </si>
  <si>
    <t>Library Clerk Average Hrs/Wk</t>
  </si>
  <si>
    <t>Library Clerk Minimum Salary</t>
  </si>
  <si>
    <t>Library Clerk Maximum Salary</t>
  </si>
  <si>
    <t>Full Time Health Insurance</t>
  </si>
  <si>
    <t>Full Time Dental Insurance</t>
  </si>
  <si>
    <t>Full Time Life Insurance</t>
  </si>
  <si>
    <t>Full Time Pension</t>
  </si>
  <si>
    <t>Full Time Vision Insurance</t>
  </si>
  <si>
    <t>Full Time Paid Sick Leave</t>
  </si>
  <si>
    <t>Full Time Paid Vacation</t>
  </si>
  <si>
    <t>Full Time Paid Holidays</t>
  </si>
  <si>
    <t>Full Time Deferred Compensation</t>
  </si>
  <si>
    <t>Full Time Disability</t>
  </si>
  <si>
    <t>Full Time Paid Personal Days</t>
  </si>
  <si>
    <t>Full Time Longevity</t>
  </si>
  <si>
    <t>Full Time Other Benefits</t>
  </si>
  <si>
    <t>Part Time Health Insurance</t>
  </si>
  <si>
    <t>Part Time Dental Insurance</t>
  </si>
  <si>
    <t>Part Time Life Insurance</t>
  </si>
  <si>
    <t>Part Time Pension</t>
  </si>
  <si>
    <t>Part Time Vision Insurance</t>
  </si>
  <si>
    <t>Part Time Paid Sick Leave</t>
  </si>
  <si>
    <t>Part Time Paid Vacation</t>
  </si>
  <si>
    <t>Part Time Paid Holidays</t>
  </si>
  <si>
    <t>Part Time Deferred Compensation</t>
  </si>
  <si>
    <t>Part Time Disability</t>
  </si>
  <si>
    <t>Part Time Paid Personal Days</t>
  </si>
  <si>
    <t>Part Time Longevity</t>
  </si>
  <si>
    <t>Part Time Other Benefits</t>
  </si>
  <si>
    <t>401K retirement plan</t>
  </si>
  <si>
    <t>Retirement/ FSA</t>
  </si>
  <si>
    <t>Christmas bonus, free use of the meeting room, no fines</t>
  </si>
  <si>
    <t>jury duty, birthday, funereral pay</t>
  </si>
  <si>
    <t>jury duty, birthday, funeral pay</t>
  </si>
  <si>
    <t>Funeral leave.</t>
  </si>
  <si>
    <t>Yes, unspecified</t>
  </si>
  <si>
    <t>bewreavement leave - flex fund for dental and vision expenses $500 per full time employee paid for by the library</t>
  </si>
  <si>
    <t>first 6 snowdays are paid</t>
  </si>
  <si>
    <t>PTO scale based ib yrly hrs worked and longevity</t>
  </si>
  <si>
    <t>401k</t>
  </si>
  <si>
    <t>Paid holidays and PTO for part time over 20 hours per week</t>
  </si>
  <si>
    <t>457 Match, Afflac</t>
  </si>
  <si>
    <t>457b program</t>
  </si>
  <si>
    <t>leave time is pro-rated for part-time staff</t>
  </si>
  <si>
    <t>$80 clothing allowance, MLA membership for 3 librarians</t>
  </si>
  <si>
    <t>$80 clothing allowance</t>
  </si>
  <si>
    <t>Prorated Sick/Vacation leave for those working over 21 hours per week on a regular and recurring basis</t>
  </si>
  <si>
    <t xml:space="preserve"> Section 125 FSA</t>
  </si>
  <si>
    <t xml:space="preserve">AFLAC available </t>
  </si>
  <si>
    <t>phone stipend</t>
  </si>
  <si>
    <t>Long Term Disability, Flexible Spending Accounts</t>
  </si>
  <si>
    <t>Flexibile Spending Accounts</t>
  </si>
  <si>
    <t>125 PLan</t>
  </si>
  <si>
    <t xml:space="preserve">125 Plan </t>
  </si>
  <si>
    <t>Education discounts</t>
  </si>
  <si>
    <t>Educational discounts</t>
  </si>
  <si>
    <t>Additional wage in lieu of benefits</t>
  </si>
  <si>
    <t>403 B retirement savings with employer match</t>
  </si>
  <si>
    <t>HCSP</t>
  </si>
  <si>
    <t>Pro-rated birthday</t>
  </si>
  <si>
    <t>Health Care Spending Program</t>
  </si>
  <si>
    <t>PTO Paid Time Off/Healthcare Spending Program</t>
  </si>
  <si>
    <t>Defined Benefit and Defined Contribution options</t>
  </si>
  <si>
    <t>must work 20-29 hours p/wk for time benefits</t>
  </si>
  <si>
    <t>$200 Well Being Benefit</t>
  </si>
  <si>
    <t>sick days-cash, comp time-cash, HSA and retiree health HSA</t>
  </si>
  <si>
    <t xml:space="preserve">Tuition </t>
  </si>
  <si>
    <t>Tuiition</t>
  </si>
  <si>
    <t>Paid Time Off</t>
  </si>
  <si>
    <t>Full Time Employee Benefits by Class</t>
  </si>
  <si>
    <t>Part Time Employee Benefits by Class</t>
  </si>
  <si>
    <t>Were any of the library's physical locations closed to the public for any period of time due to the Coronavirus (COVID-19) pandemic?</t>
  </si>
  <si>
    <t>Did any staff continue to provide services to the public during any portion of the period when the building was physically closed due to the Coronavirus (COVID-19) pandemic?</t>
  </si>
  <si>
    <t>How many hours of alternate service were provided due to the Coronavirus (COVID-19) pandemic?</t>
  </si>
  <si>
    <t>Were library staff re-assigned to assist other government agencies or nonprofit organizations with Coronavirus (COVID-19) pandemic -related efforts?</t>
  </si>
  <si>
    <t>Did the library add or increase access to electronic collections or eMaterials due to the Coronavirus (COVID-19) pandemic?</t>
  </si>
  <si>
    <t>Did the library provide live, virtual programs via the Internet during the Coronavirus (COVID-19) pandemic?</t>
  </si>
  <si>
    <t>Did the library create and provide recordings of programs via the Internet during the Coronavirus (COVID-19) pandemic?</t>
  </si>
  <si>
    <t>(COVID-19) Children's Virtual Programs Offered (Live Events Only)</t>
  </si>
  <si>
    <t>(COVID-19) Children's Virtual Program Attendance (Live Events Only)</t>
  </si>
  <si>
    <t>(COVID-19) Teen Virtual Programs Offered (Live Events Only)</t>
  </si>
  <si>
    <t>(COVID-19) Teen Virtual Program Attendance (Live Events Only)</t>
  </si>
  <si>
    <t>(COVID-19) Adult Virtual Programs Offered (Live Events Only)</t>
  </si>
  <si>
    <t>(COVID-19) Adult Virtual Program Attendance (Live Events Only)</t>
  </si>
  <si>
    <t>(COVID-19) General Virtual Programs Offered (Live Events Only)</t>
  </si>
  <si>
    <t>(COVID-19) General Virtual Programs Attendance (Live Events Only)</t>
  </si>
  <si>
    <t>(COVID-19) Total Library Created Virtual Program Recorded Views</t>
  </si>
  <si>
    <t>8. Reference Transactions</t>
  </si>
  <si>
    <t>Did the library provide WiFi Internet access to users outside the building, at any outlet, before the Coronavirus (COVID-19) pandemic?”</t>
  </si>
  <si>
    <t>Did the library provide or increase access to WiFi Internet access to users outside the building, at any outlet, during the Coronavirus (COVID-19) pandemic?</t>
  </si>
  <si>
    <t>Did the library issue library cards electronically before the Coronavirus (COVID-19) pandemic?</t>
  </si>
  <si>
    <t>Did the library issue library cards electronically during the Coronavirus (COVID-19) pandemic?</t>
  </si>
  <si>
    <t xml:space="preserve"> Library Class</t>
  </si>
  <si>
    <t xml:space="preserve"> Cooperative</t>
  </si>
  <si>
    <t>COVID YES/NO Responses % Answering Yes</t>
  </si>
  <si>
    <t>Reference Transactions Are Counted*</t>
  </si>
  <si>
    <t>Reference Transactions Are Estimated*</t>
  </si>
  <si>
    <t>*DNR=Did not Report</t>
  </si>
  <si>
    <t>Return to Table of Contents</t>
  </si>
  <si>
    <t>COVID Statistics (ALL)</t>
  </si>
  <si>
    <t>2020/2021 Annual Report/State Aid Application</t>
  </si>
  <si>
    <t>COVID STATISTICS (ALL)</t>
  </si>
  <si>
    <t>Outlets, Hours and SqFt</t>
  </si>
  <si>
    <t>Operating Expenditure</t>
  </si>
  <si>
    <t>Capital Income &amp; Expenditure</t>
  </si>
  <si>
    <t>Other Employee's Salary &amp; Benefits</t>
  </si>
  <si>
    <t>Director's Salary &amp; Benefits</t>
  </si>
  <si>
    <t>End of worksheet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</si>
</sst>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0.00_);[Red]\(&quot;$&quot;#,##0.00\)"/>
    <numFmt numFmtId="164" formatCode="[&lt;=9999999]###\-####;\(###\)\ ###\-####"/>
    <numFmt numFmtId="165" formatCode="[&lt;=999999999999999]###\-####;\(###\)\ ###\-####\ \x#####"/>
    <numFmt numFmtId="166" formatCode="[&lt;=99999]00000;[&lt;=999999999]00000\-0000"/>
    <numFmt numFmtId="167" formatCode="0.0%"/>
    <numFmt numFmtId="168" formatCode="&quot;$&quot;#,##0"/>
    <numFmt numFmtId="169" formatCode="#,##0.0000"/>
    <numFmt numFmtId="170" formatCode="&quot;$&quot;#,##0.00"/>
  </numFmts>
  <fonts count="54" x14ac:knownFonts="1">
    <font>
      <sz val="10"/>
      <name val="Arial"/>
    </font>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0"/>
      <name val="Arial"/>
      <family val="2"/>
    </font>
    <font>
      <u/>
      <sz val="10"/>
      <color indexed="12"/>
      <name val="Arial"/>
      <family val="2"/>
    </font>
    <font>
      <sz val="10"/>
      <color theme="1"/>
      <name val="Arial"/>
      <family val="2"/>
    </font>
    <font>
      <b/>
      <sz val="12"/>
      <color rgb="FF003366"/>
      <name val="Verdana"/>
      <family val="2"/>
    </font>
    <font>
      <b/>
      <sz val="10.050000000000001"/>
      <color theme="1"/>
      <name val="Arial"/>
      <family val="2"/>
    </font>
    <font>
      <b/>
      <sz val="10.050000000000001"/>
      <color rgb="FF808080"/>
      <name val="Arial"/>
      <family val="2"/>
    </font>
    <font>
      <b/>
      <sz val="12"/>
      <color theme="1"/>
      <name val="Arial"/>
      <family val="2"/>
    </font>
    <font>
      <b/>
      <i/>
      <sz val="12.8"/>
      <color rgb="FF003399"/>
      <name val="Arial"/>
      <family val="2"/>
    </font>
    <font>
      <b/>
      <sz val="12.8"/>
      <color rgb="FF003399"/>
      <name val="Arial"/>
      <family val="2"/>
    </font>
    <font>
      <sz val="10"/>
      <color theme="8" tint="-0.249977111117893"/>
      <name val="Arial"/>
      <family val="2"/>
    </font>
    <font>
      <u/>
      <sz val="10"/>
      <color theme="8" tint="-0.249977111117893"/>
      <name val="Arial"/>
      <family val="2"/>
    </font>
    <font>
      <b/>
      <sz val="10"/>
      <color theme="1"/>
      <name val="Arial"/>
      <family val="2"/>
    </font>
    <font>
      <sz val="14"/>
      <name val="Calibri"/>
      <family val="2"/>
      <scheme val="minor"/>
    </font>
    <font>
      <b/>
      <sz val="14"/>
      <name val="Calibri"/>
      <family val="2"/>
      <scheme val="minor"/>
    </font>
    <font>
      <sz val="10"/>
      <name val="Arial"/>
      <family val="2"/>
    </font>
    <font>
      <b/>
      <sz val="14"/>
      <color theme="1"/>
      <name val="Arial"/>
      <family val="2"/>
    </font>
    <font>
      <sz val="12"/>
      <name val="Arial"/>
      <family val="2"/>
    </font>
    <font>
      <sz val="14"/>
      <name val="Arial"/>
      <family val="2"/>
    </font>
    <font>
      <b/>
      <sz val="12"/>
      <name val="Arial"/>
      <family val="2"/>
    </font>
    <font>
      <sz val="11"/>
      <name val="Calibri"/>
      <family val="2"/>
      <scheme val="minor"/>
    </font>
    <font>
      <b/>
      <sz val="11"/>
      <name val="Calibri"/>
      <family val="2"/>
      <scheme val="minor"/>
    </font>
    <font>
      <b/>
      <i/>
      <sz val="9"/>
      <color rgb="FF000000"/>
      <name val="Arial"/>
      <family val="2"/>
    </font>
    <font>
      <b/>
      <sz val="16"/>
      <color theme="1"/>
      <name val="Calibri"/>
      <family val="2"/>
      <scheme val="minor"/>
    </font>
    <font>
      <b/>
      <sz val="8"/>
      <color theme="1"/>
      <name val="Arial"/>
      <family val="2"/>
    </font>
    <font>
      <b/>
      <sz val="14"/>
      <name val="Arial"/>
      <family val="2"/>
    </font>
    <font>
      <b/>
      <u/>
      <sz val="10"/>
      <color theme="1"/>
      <name val="Arial"/>
      <family val="2"/>
    </font>
    <font>
      <sz val="10"/>
      <color theme="1"/>
      <name val="Arial"/>
      <family val="2"/>
    </font>
    <font>
      <sz val="11"/>
      <name val="Calibri"/>
      <family val="2"/>
    </font>
    <font>
      <b/>
      <sz val="11"/>
      <name val="Arial"/>
      <family val="2"/>
    </font>
    <font>
      <u/>
      <sz val="14"/>
      <color indexed="12"/>
      <name val="Calibri"/>
      <family val="2"/>
      <scheme val="minor"/>
    </font>
    <font>
      <u/>
      <sz val="14"/>
      <color indexed="12"/>
      <name val="Arial"/>
      <family val="2"/>
    </font>
    <font>
      <sz val="10"/>
      <name val="Calibri"/>
      <family val="2"/>
      <scheme val="minor"/>
    </font>
    <font>
      <b/>
      <u/>
      <sz val="14"/>
      <color theme="4" tint="0.39997558519241921"/>
      <name val="Arial"/>
      <family val="2"/>
    </font>
    <font>
      <sz val="11"/>
      <color theme="0"/>
      <name val="Calibri"/>
      <family val="2"/>
    </font>
  </fonts>
  <fills count="4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EEEEE"/>
        <bgColor indexed="64"/>
      </patternFill>
    </fill>
    <fill>
      <patternFill patternType="solid">
        <fgColor rgb="FFE6F0FA"/>
        <bgColor indexed="64"/>
      </patternFill>
    </fill>
    <fill>
      <patternFill patternType="solid">
        <fgColor rgb="FFFFFFFF"/>
        <bgColor indexed="64"/>
      </patternFill>
    </fill>
    <fill>
      <patternFill patternType="solid">
        <fgColor rgb="FFF0FAE6"/>
        <bgColor indexed="64"/>
      </patternFill>
    </fill>
    <fill>
      <patternFill patternType="solid">
        <fgColor rgb="FFCCCCCC"/>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545454"/>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8CC6D4"/>
        <bgColor indexed="64"/>
      </patternFill>
    </fill>
  </fills>
  <borders count="6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auto="1"/>
      </left>
      <right style="medium">
        <color auto="1"/>
      </right>
      <top style="medium">
        <color auto="1"/>
      </top>
      <bottom style="medium">
        <color auto="1"/>
      </bottom>
      <diagonal/>
    </border>
    <border>
      <left style="medium">
        <color rgb="FFEEEEEE"/>
      </left>
      <right/>
      <top style="medium">
        <color rgb="FFA06927"/>
      </top>
      <bottom style="medium">
        <color rgb="FFEEEEEE"/>
      </bottom>
      <diagonal/>
    </border>
    <border>
      <left/>
      <right/>
      <top style="medium">
        <color rgb="FFA06927"/>
      </top>
      <bottom style="medium">
        <color rgb="FFEEEEEE"/>
      </bottom>
      <diagonal/>
    </border>
    <border>
      <left style="medium">
        <color rgb="FFEEEEEE"/>
      </left>
      <right/>
      <top style="medium">
        <color rgb="FFEEEEEE"/>
      </top>
      <bottom style="medium">
        <color rgb="FFA06927"/>
      </bottom>
      <diagonal/>
    </border>
    <border>
      <left/>
      <right/>
      <top style="medium">
        <color rgb="FFEEEEEE"/>
      </top>
      <bottom style="medium">
        <color rgb="FFA06927"/>
      </bottom>
      <diagonal/>
    </border>
    <border>
      <left style="medium">
        <color rgb="FFA06927"/>
      </left>
      <right style="medium">
        <color rgb="FFA06927"/>
      </right>
      <top style="medium">
        <color rgb="FFA06927"/>
      </top>
      <bottom/>
      <diagonal/>
    </border>
    <border>
      <left style="medium">
        <color rgb="FFA06927"/>
      </left>
      <right style="medium">
        <color rgb="FFA06927"/>
      </right>
      <top/>
      <bottom style="medium">
        <color rgb="FFA06927"/>
      </bottom>
      <diagonal/>
    </border>
    <border>
      <left style="medium">
        <color rgb="FFA06927"/>
      </left>
      <right style="medium">
        <color rgb="FFA06927"/>
      </right>
      <top style="medium">
        <color rgb="FFA06927"/>
      </top>
      <bottom style="medium">
        <color rgb="FFA06927"/>
      </bottom>
      <diagonal/>
    </border>
    <border>
      <left style="medium">
        <color rgb="FFA06927"/>
      </left>
      <right/>
      <top style="medium">
        <color rgb="FFA06927"/>
      </top>
      <bottom style="medium">
        <color rgb="FFA06927"/>
      </bottom>
      <diagonal/>
    </border>
    <border>
      <left/>
      <right/>
      <top style="medium">
        <color rgb="FFA06927"/>
      </top>
      <bottom style="medium">
        <color rgb="FFA06927"/>
      </bottom>
      <diagonal/>
    </border>
    <border>
      <left style="medium">
        <color rgb="FFA06927"/>
      </left>
      <right style="medium">
        <color rgb="FFA06927"/>
      </right>
      <top/>
      <bottom/>
      <diagonal/>
    </border>
    <border>
      <left style="medium">
        <color rgb="FFEEEEEE"/>
      </left>
      <right/>
      <top style="medium">
        <color rgb="FFA06927"/>
      </top>
      <bottom style="medium">
        <color rgb="FFA06927"/>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style="medium">
        <color auto="1"/>
      </right>
      <top style="medium">
        <color auto="1"/>
      </top>
      <bottom/>
      <diagonal/>
    </border>
    <border>
      <left style="medium">
        <color auto="1"/>
      </left>
      <right style="medium">
        <color auto="1"/>
      </right>
      <top/>
      <bottom/>
      <diagonal/>
    </border>
    <border>
      <left/>
      <right/>
      <top style="medium">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auto="1"/>
      </top>
      <bottom style="medium">
        <color auto="1"/>
      </bottom>
      <diagonal/>
    </border>
    <border>
      <left/>
      <right style="thin">
        <color indexed="64"/>
      </right>
      <top style="thin">
        <color indexed="64"/>
      </top>
      <bottom style="thin">
        <color theme="6"/>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right style="medium">
        <color auto="1"/>
      </right>
      <top style="medium">
        <color auto="1"/>
      </top>
      <bottom style="medium">
        <color auto="1"/>
      </bottom>
      <diagonal/>
    </border>
    <border>
      <left/>
      <right style="medium">
        <color auto="1"/>
      </right>
      <top/>
      <bottom style="medium">
        <color auto="1"/>
      </bottom>
      <diagonal/>
    </border>
    <border>
      <left/>
      <right/>
      <top/>
      <bottom style="medium">
        <color indexed="64"/>
      </bottom>
      <diagonal/>
    </border>
    <border>
      <left/>
      <right style="medium">
        <color indexed="64"/>
      </right>
      <top/>
      <bottom style="medium">
        <color indexed="64"/>
      </bottom>
      <diagonal/>
    </border>
    <border>
      <left style="medium">
        <color auto="1"/>
      </left>
      <right/>
      <top/>
      <bottom/>
      <diagonal/>
    </border>
    <border>
      <left/>
      <right/>
      <top style="double">
        <color theme="6"/>
      </top>
      <bottom style="thin">
        <color theme="6"/>
      </bottom>
      <diagonal/>
    </border>
    <border>
      <left style="medium">
        <color auto="1"/>
      </left>
      <right/>
      <top style="medium">
        <color auto="1"/>
      </top>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right/>
      <top style="double">
        <color theme="6"/>
      </top>
      <bottom style="thin">
        <color theme="6" tint="0.39997558519241921"/>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62">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34" fillId="0" borderId="0" applyFont="0" applyFill="0" applyBorder="0" applyAlignment="0" applyProtection="0"/>
    <xf numFmtId="0" fontId="34" fillId="0" borderId="0" applyFont="0" applyFill="0" applyBorder="0" applyAlignment="0" applyProtection="0"/>
    <xf numFmtId="3" fontId="34" fillId="0" borderId="0" applyFont="0" applyFill="0" applyBorder="0" applyAlignment="0" applyProtection="0"/>
    <xf numFmtId="8" fontId="34" fillId="0" borderId="0" applyFont="0" applyFill="0" applyBorder="0" applyAlignment="0" applyProtection="0"/>
    <xf numFmtId="10" fontId="34" fillId="0" borderId="0" applyFont="0" applyFill="0" applyBorder="0" applyAlignment="0" applyProtection="0"/>
    <xf numFmtId="4" fontId="34" fillId="0" borderId="0" applyFont="0" applyFill="0" applyBorder="0" applyAlignment="0" applyProtection="0"/>
    <xf numFmtId="14" fontId="34" fillId="0" borderId="0" applyFont="0" applyFill="0" applyBorder="0" applyAlignment="0" applyProtection="0"/>
    <xf numFmtId="20" fontId="34" fillId="0" borderId="0" applyFont="0" applyFill="0" applyBorder="0" applyAlignment="0" applyProtection="0"/>
    <xf numFmtId="22" fontId="34" fillId="0" borderId="0" applyFont="0" applyFill="0" applyBorder="0" applyAlignment="0" applyProtection="0"/>
    <xf numFmtId="15" fontId="34" fillId="0" borderId="0" applyFont="0" applyFill="0" applyBorder="0" applyAlignment="0" applyProtection="0"/>
    <xf numFmtId="15" fontId="34" fillId="0" borderId="0" applyFont="0" applyFill="0" applyBorder="0" applyAlignment="0" applyProtection="0"/>
    <xf numFmtId="19" fontId="34" fillId="0" borderId="0" applyFont="0" applyFill="0" applyBorder="0" applyAlignment="0" applyProtection="0"/>
    <xf numFmtId="18" fontId="34" fillId="0" borderId="0" applyFont="0" applyFill="0" applyBorder="0" applyAlignment="0" applyProtection="0"/>
    <xf numFmtId="0" fontId="34" fillId="0" borderId="0" applyNumberFormat="0" applyFont="0" applyFill="0" applyBorder="0" applyProtection="0">
      <alignment horizontal="left" vertical="center"/>
    </xf>
    <xf numFmtId="0" fontId="34" fillId="0" borderId="0" applyNumberFormat="0" applyFont="0" applyFill="0" applyBorder="0" applyProtection="0">
      <alignment horizontal="left" vertical="center"/>
    </xf>
    <xf numFmtId="0" fontId="21" fillId="0" borderId="0" applyNumberFormat="0" applyFill="0" applyBorder="0" applyAlignment="0" applyProtection="0"/>
    <xf numFmtId="164"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0" fontId="20" fillId="0" borderId="0"/>
  </cellStyleXfs>
  <cellXfs count="370">
    <xf numFmtId="0" fontId="0" fillId="0" borderId="0" xfId="0"/>
    <xf numFmtId="0" fontId="23" fillId="34" borderId="12" xfId="0" applyFont="1" applyFill="1" applyBorder="1" applyAlignment="1">
      <alignment horizontal="left" vertical="center" wrapText="1"/>
    </xf>
    <xf numFmtId="0" fontId="23" fillId="34" borderId="14" xfId="0" applyFont="1" applyFill="1" applyBorder="1" applyAlignment="1">
      <alignment horizontal="left" vertical="center" wrapText="1"/>
    </xf>
    <xf numFmtId="0" fontId="25" fillId="35" borderId="15" xfId="0" applyFont="1" applyFill="1" applyBorder="1" applyAlignment="1">
      <alignment horizontal="left" vertical="center" wrapText="1"/>
    </xf>
    <xf numFmtId="0" fontId="24" fillId="35" borderId="16" xfId="0" applyFont="1" applyFill="1" applyBorder="1" applyAlignment="1">
      <alignment horizontal="left" vertical="center" wrapText="1"/>
    </xf>
    <xf numFmtId="0" fontId="24" fillId="35" borderId="17" xfId="0" applyFont="1" applyFill="1" applyBorder="1" applyAlignment="1">
      <alignment horizontal="left" vertical="center" wrapText="1"/>
    </xf>
    <xf numFmtId="0" fontId="24" fillId="35" borderId="15" xfId="0" applyFont="1" applyFill="1" applyBorder="1" applyAlignment="1">
      <alignment horizontal="left" vertical="center" wrapText="1"/>
    </xf>
    <xf numFmtId="0" fontId="26" fillId="34" borderId="19" xfId="0" applyFont="1" applyFill="1" applyBorder="1" applyAlignment="1">
      <alignment vertical="center" wrapText="1"/>
    </xf>
    <xf numFmtId="0" fontId="28" fillId="36" borderId="19" xfId="0" applyFont="1" applyFill="1" applyBorder="1" applyAlignment="1">
      <alignment vertical="center" wrapText="1"/>
    </xf>
    <xf numFmtId="0" fontId="0" fillId="35" borderId="20" xfId="0" applyFill="1" applyBorder="1" applyAlignment="1">
      <alignment horizontal="left" vertical="center" wrapText="1"/>
    </xf>
    <xf numFmtId="0" fontId="24" fillId="35" borderId="20" xfId="0" applyFont="1" applyFill="1" applyBorder="1" applyAlignment="1">
      <alignment horizontal="left" vertical="center" wrapText="1"/>
    </xf>
    <xf numFmtId="0" fontId="0" fillId="35" borderId="16" xfId="0" applyFill="1" applyBorder="1" applyAlignment="1">
      <alignment horizontal="left" vertical="center" wrapText="1"/>
    </xf>
    <xf numFmtId="0" fontId="23" fillId="34" borderId="19" xfId="0" applyFont="1" applyFill="1" applyBorder="1" applyAlignment="1">
      <alignment horizontal="left" vertical="center" wrapText="1"/>
    </xf>
    <xf numFmtId="0" fontId="25" fillId="35" borderId="17" xfId="0" applyFont="1" applyFill="1" applyBorder="1" applyAlignment="1">
      <alignment horizontal="left" vertical="center" wrapText="1"/>
    </xf>
    <xf numFmtId="0" fontId="24" fillId="37" borderId="15" xfId="0" applyFont="1" applyFill="1" applyBorder="1" applyAlignment="1">
      <alignment horizontal="left" vertical="center" wrapText="1"/>
    </xf>
    <xf numFmtId="0" fontId="24" fillId="37" borderId="16" xfId="0" applyFont="1" applyFill="1" applyBorder="1" applyAlignment="1">
      <alignment horizontal="left" vertical="center" wrapText="1"/>
    </xf>
    <xf numFmtId="0" fontId="24" fillId="37" borderId="17" xfId="0" applyFont="1" applyFill="1" applyBorder="1" applyAlignment="1">
      <alignment horizontal="left" vertical="center" wrapText="1"/>
    </xf>
    <xf numFmtId="0" fontId="25" fillId="35" borderId="16" xfId="0" applyFont="1" applyFill="1" applyBorder="1" applyAlignment="1">
      <alignment horizontal="left" vertical="center" wrapText="1"/>
    </xf>
    <xf numFmtId="0" fontId="25" fillId="37" borderId="15" xfId="0" applyFont="1" applyFill="1" applyBorder="1" applyAlignment="1">
      <alignment horizontal="left" vertical="center" wrapText="1"/>
    </xf>
    <xf numFmtId="0" fontId="25" fillId="37" borderId="17" xfId="0" applyFont="1" applyFill="1" applyBorder="1" applyAlignment="1">
      <alignment horizontal="left" vertical="center" wrapText="1"/>
    </xf>
    <xf numFmtId="0" fontId="24" fillId="37" borderId="20" xfId="0" applyFont="1" applyFill="1" applyBorder="1" applyAlignment="1">
      <alignment horizontal="left" vertical="center" wrapText="1"/>
    </xf>
    <xf numFmtId="0" fontId="25" fillId="37" borderId="16" xfId="0" applyFont="1" applyFill="1" applyBorder="1" applyAlignment="1">
      <alignment horizontal="left" vertical="center" wrapText="1"/>
    </xf>
    <xf numFmtId="0" fontId="25" fillId="35" borderId="20" xfId="0" applyFont="1" applyFill="1" applyBorder="1" applyAlignment="1">
      <alignment horizontal="left" vertical="center" wrapText="1"/>
    </xf>
    <xf numFmtId="0" fontId="25" fillId="37" borderId="20" xfId="0" applyFont="1" applyFill="1" applyBorder="1" applyAlignment="1">
      <alignment horizontal="left" vertical="center" wrapText="1"/>
    </xf>
    <xf numFmtId="0" fontId="23" fillId="34" borderId="11" xfId="0" applyFont="1" applyFill="1" applyBorder="1" applyAlignment="1">
      <alignment horizontal="left" vertical="center" wrapText="1"/>
    </xf>
    <xf numFmtId="0" fontId="23" fillId="34" borderId="13" xfId="0" applyFont="1" applyFill="1" applyBorder="1" applyAlignment="1">
      <alignment horizontal="left" vertical="center" wrapText="1"/>
    </xf>
    <xf numFmtId="0" fontId="26" fillId="34" borderId="18" xfId="0" applyFont="1" applyFill="1" applyBorder="1" applyAlignment="1">
      <alignment vertical="center" wrapText="1"/>
    </xf>
    <xf numFmtId="0" fontId="27" fillId="36" borderId="18" xfId="0" applyFont="1" applyFill="1" applyBorder="1" applyAlignment="1">
      <alignment vertical="center" wrapText="1"/>
    </xf>
    <xf numFmtId="0" fontId="23" fillId="34" borderId="21" xfId="0" applyFont="1" applyFill="1" applyBorder="1" applyAlignment="1">
      <alignment horizontal="left" vertical="center" wrapText="1"/>
    </xf>
    <xf numFmtId="0" fontId="29" fillId="0" borderId="0" xfId="0" applyFont="1"/>
    <xf numFmtId="0" fontId="30" fillId="0" borderId="0" xfId="57" applyFont="1"/>
    <xf numFmtId="0" fontId="20" fillId="0" borderId="0" xfId="0" applyFont="1"/>
    <xf numFmtId="0" fontId="0" fillId="0" borderId="0" xfId="0" applyAlignment="1">
      <alignment horizontal="right"/>
    </xf>
    <xf numFmtId="0" fontId="31" fillId="33" borderId="22" xfId="0" applyFont="1" applyFill="1" applyBorder="1" applyAlignment="1">
      <alignment horizontal="left" wrapText="1"/>
    </xf>
    <xf numFmtId="0" fontId="22" fillId="0" borderId="0" xfId="0" applyFont="1" applyAlignment="1">
      <alignment wrapText="1"/>
    </xf>
    <xf numFmtId="0" fontId="0" fillId="0" borderId="0" xfId="0" applyBorder="1" applyAlignment="1">
      <alignment horizontal="left" vertical="center"/>
    </xf>
    <xf numFmtId="14" fontId="32" fillId="0" borderId="0" xfId="0" applyNumberFormat="1" applyFont="1" applyBorder="1"/>
    <xf numFmtId="0" fontId="32" fillId="0" borderId="0" xfId="0" applyFont="1"/>
    <xf numFmtId="14" fontId="33" fillId="0" borderId="25" xfId="0" applyNumberFormat="1" applyFont="1" applyBorder="1"/>
    <xf numFmtId="0" fontId="33" fillId="0" borderId="25" xfId="0" applyFont="1" applyBorder="1"/>
    <xf numFmtId="0" fontId="33" fillId="33" borderId="23" xfId="0" applyFont="1" applyFill="1" applyBorder="1" applyAlignment="1">
      <alignment horizontal="right"/>
    </xf>
    <xf numFmtId="0" fontId="32" fillId="0" borderId="0" xfId="0" applyFont="1" applyBorder="1" applyAlignment="1">
      <alignment horizontal="left" vertical="center"/>
    </xf>
    <xf numFmtId="3" fontId="32" fillId="0" borderId="26" xfId="0" applyNumberFormat="1" applyFont="1" applyBorder="1"/>
    <xf numFmtId="3" fontId="32" fillId="0" borderId="24" xfId="0" applyNumberFormat="1" applyFont="1" applyBorder="1"/>
    <xf numFmtId="3" fontId="33" fillId="0" borderId="26" xfId="0" applyNumberFormat="1" applyFont="1" applyBorder="1"/>
    <xf numFmtId="3" fontId="33" fillId="0" borderId="24" xfId="0" applyNumberFormat="1" applyFont="1" applyBorder="1"/>
    <xf numFmtId="0" fontId="0" fillId="0" borderId="0" xfId="0" applyFill="1"/>
    <xf numFmtId="0" fontId="19" fillId="33" borderId="28" xfId="0" applyFont="1" applyFill="1" applyBorder="1" applyAlignment="1">
      <alignment horizontal="left"/>
    </xf>
    <xf numFmtId="0" fontId="34" fillId="0" borderId="0" xfId="55">
      <alignment horizontal="left" vertical="center"/>
    </xf>
    <xf numFmtId="0" fontId="0" fillId="0" borderId="0" xfId="0" applyAlignment="1">
      <alignment wrapText="1"/>
    </xf>
    <xf numFmtId="3" fontId="0" fillId="0" borderId="0" xfId="0" applyNumberFormat="1"/>
    <xf numFmtId="0" fontId="31" fillId="33" borderId="29" xfId="0" applyFont="1" applyFill="1" applyBorder="1" applyAlignment="1">
      <alignment horizontal="left" wrapText="1"/>
    </xf>
    <xf numFmtId="0" fontId="0" fillId="0" borderId="0" xfId="55" applyFont="1">
      <alignment horizontal="left" vertical="center"/>
    </xf>
    <xf numFmtId="0" fontId="0" fillId="0" borderId="0" xfId="55" applyFont="1" applyBorder="1">
      <alignment horizontal="left" vertical="center"/>
    </xf>
    <xf numFmtId="0" fontId="19" fillId="33" borderId="30" xfId="0" applyFont="1" applyFill="1" applyBorder="1" applyAlignment="1">
      <alignment horizontal="left"/>
    </xf>
    <xf numFmtId="3" fontId="0" fillId="0" borderId="0" xfId="44" applyFont="1" applyBorder="1"/>
    <xf numFmtId="2" fontId="0" fillId="0" borderId="0" xfId="0" applyNumberFormat="1" applyBorder="1"/>
    <xf numFmtId="0" fontId="19" fillId="33" borderId="31" xfId="0" applyFont="1" applyFill="1" applyBorder="1" applyAlignment="1">
      <alignment horizontal="left"/>
    </xf>
    <xf numFmtId="0" fontId="19" fillId="0" borderId="0" xfId="0" applyFont="1" applyFill="1" applyBorder="1" applyAlignment="1">
      <alignment horizontal="left"/>
    </xf>
    <xf numFmtId="0" fontId="35" fillId="38" borderId="25" xfId="0" applyFont="1" applyFill="1" applyBorder="1" applyAlignment="1">
      <alignment horizontal="right"/>
    </xf>
    <xf numFmtId="0" fontId="20" fillId="0" borderId="0" xfId="0" applyFont="1" applyBorder="1" applyAlignment="1">
      <alignment horizontal="left" vertical="center"/>
    </xf>
    <xf numFmtId="0" fontId="37" fillId="38" borderId="24" xfId="0" applyFont="1" applyFill="1" applyBorder="1" applyAlignment="1">
      <alignment horizontal="left" vertical="center"/>
    </xf>
    <xf numFmtId="0" fontId="38" fillId="0" borderId="0" xfId="0" applyFont="1"/>
    <xf numFmtId="3" fontId="31" fillId="0" borderId="25" xfId="0" applyNumberFormat="1" applyFont="1" applyBorder="1"/>
    <xf numFmtId="3" fontId="31" fillId="0" borderId="26" xfId="0" applyNumberFormat="1" applyFont="1" applyBorder="1"/>
    <xf numFmtId="3" fontId="31" fillId="0" borderId="32" xfId="0" applyNumberFormat="1" applyFont="1" applyBorder="1"/>
    <xf numFmtId="3" fontId="31" fillId="0" borderId="27" xfId="0" applyNumberFormat="1" applyFont="1" applyBorder="1"/>
    <xf numFmtId="3" fontId="31" fillId="0" borderId="33" xfId="0" applyNumberFormat="1" applyFont="1" applyBorder="1"/>
    <xf numFmtId="4" fontId="31" fillId="0" borderId="26" xfId="0" applyNumberFormat="1" applyFont="1" applyBorder="1"/>
    <xf numFmtId="4" fontId="31" fillId="0" borderId="24" xfId="0" applyNumberFormat="1" applyFont="1" applyBorder="1"/>
    <xf numFmtId="0" fontId="17" fillId="33" borderId="22" xfId="0" applyFont="1" applyFill="1" applyBorder="1" applyAlignment="1">
      <alignment horizontal="left" wrapText="1"/>
    </xf>
    <xf numFmtId="0" fontId="39" fillId="0" borderId="0" xfId="55" applyFont="1" applyAlignment="1">
      <alignment horizontal="left" vertical="center"/>
    </xf>
    <xf numFmtId="0" fontId="40" fillId="33" borderId="10" xfId="0" applyFont="1" applyFill="1" applyBorder="1" applyAlignment="1">
      <alignment horizontal="left"/>
    </xf>
    <xf numFmtId="14" fontId="39" fillId="0" borderId="0" xfId="48" applyNumberFormat="1" applyFont="1"/>
    <xf numFmtId="3" fontId="39" fillId="0" borderId="0" xfId="44" applyNumberFormat="1" applyFont="1"/>
    <xf numFmtId="3" fontId="39" fillId="0" borderId="0" xfId="44" applyNumberFormat="1" applyFont="1" applyAlignment="1">
      <alignment horizontal="right"/>
    </xf>
    <xf numFmtId="3" fontId="39" fillId="0" borderId="0" xfId="44" applyNumberFormat="1" applyFont="1" applyFill="1"/>
    <xf numFmtId="0" fontId="39" fillId="0" borderId="0" xfId="55" applyFont="1" applyAlignment="1">
      <alignment horizontal="right" vertical="center"/>
    </xf>
    <xf numFmtId="3" fontId="39" fillId="0" borderId="0" xfId="55" applyNumberFormat="1" applyFont="1" applyAlignment="1">
      <alignment horizontal="right" vertical="center"/>
    </xf>
    <xf numFmtId="0" fontId="39" fillId="0" borderId="0" xfId="55" applyFont="1">
      <alignment horizontal="left" vertical="center"/>
    </xf>
    <xf numFmtId="0" fontId="40" fillId="33" borderId="28" xfId="0" applyFont="1" applyFill="1" applyBorder="1" applyAlignment="1">
      <alignment horizontal="left"/>
    </xf>
    <xf numFmtId="3" fontId="39" fillId="0" borderId="0" xfId="44" applyFont="1"/>
    <xf numFmtId="2" fontId="39" fillId="0" borderId="0" xfId="0" applyNumberFormat="1" applyFont="1"/>
    <xf numFmtId="0" fontId="40" fillId="33" borderId="30" xfId="0" applyFont="1" applyFill="1" applyBorder="1" applyAlignment="1">
      <alignment horizontal="left"/>
    </xf>
    <xf numFmtId="0" fontId="39" fillId="0" borderId="0" xfId="0" applyFont="1"/>
    <xf numFmtId="0" fontId="41" fillId="0" borderId="0" xfId="0" applyFont="1" applyAlignment="1">
      <alignment wrapText="1"/>
    </xf>
    <xf numFmtId="0" fontId="19" fillId="33" borderId="34" xfId="0" applyFont="1" applyFill="1" applyBorder="1" applyAlignment="1">
      <alignment horizontal="left" wrapText="1"/>
    </xf>
    <xf numFmtId="0" fontId="34" fillId="0" borderId="0" xfId="55" applyAlignment="1">
      <alignment horizontal="right" vertical="center"/>
    </xf>
    <xf numFmtId="0" fontId="34" fillId="0" borderId="0" xfId="55" applyFill="1">
      <alignment horizontal="left" vertical="center"/>
    </xf>
    <xf numFmtId="0" fontId="19" fillId="38" borderId="28" xfId="0" applyFont="1" applyFill="1" applyBorder="1" applyAlignment="1">
      <alignment horizontal="left"/>
    </xf>
    <xf numFmtId="0" fontId="17" fillId="33" borderId="29" xfId="0" applyFont="1" applyFill="1" applyBorder="1" applyAlignment="1">
      <alignment horizontal="left" wrapText="1"/>
    </xf>
    <xf numFmtId="0" fontId="17" fillId="33" borderId="35" xfId="0" applyFont="1" applyFill="1" applyBorder="1" applyAlignment="1">
      <alignment horizontal="left" wrapText="1"/>
    </xf>
    <xf numFmtId="0" fontId="1" fillId="0" borderId="0" xfId="0" applyFont="1" applyAlignment="1">
      <alignment wrapText="1"/>
    </xf>
    <xf numFmtId="0" fontId="40" fillId="38" borderId="28" xfId="0" applyFont="1" applyFill="1" applyBorder="1" applyAlignment="1">
      <alignment horizontal="left"/>
    </xf>
    <xf numFmtId="4" fontId="39" fillId="0" borderId="0" xfId="44" applyNumberFormat="1" applyFont="1"/>
    <xf numFmtId="3" fontId="39" fillId="0" borderId="0" xfId="44" applyFont="1" applyAlignment="1">
      <alignment horizontal="right"/>
    </xf>
    <xf numFmtId="0" fontId="39" fillId="0" borderId="0" xfId="55" applyFont="1" applyFill="1">
      <alignment horizontal="left" vertical="center"/>
    </xf>
    <xf numFmtId="3" fontId="39" fillId="0" borderId="0" xfId="44" applyFont="1" applyFill="1"/>
    <xf numFmtId="4" fontId="39" fillId="0" borderId="0" xfId="44" applyNumberFormat="1" applyFont="1" applyFill="1"/>
    <xf numFmtId="3" fontId="39" fillId="0" borderId="0" xfId="44" applyFont="1" applyFill="1" applyAlignment="1">
      <alignment horizontal="right"/>
    </xf>
    <xf numFmtId="0" fontId="39" fillId="0" borderId="0" xfId="55" applyFont="1" applyFill="1" applyAlignment="1">
      <alignment horizontal="right" vertical="center"/>
    </xf>
    <xf numFmtId="0" fontId="42" fillId="38" borderId="25" xfId="0" applyFont="1" applyFill="1" applyBorder="1" applyAlignment="1">
      <alignment horizontal="right"/>
    </xf>
    <xf numFmtId="0" fontId="32" fillId="38" borderId="0" xfId="0" applyFont="1" applyFill="1" applyBorder="1" applyAlignment="1">
      <alignment horizontal="left" vertical="center"/>
    </xf>
    <xf numFmtId="0" fontId="40" fillId="0" borderId="30" xfId="0" applyFont="1" applyFill="1" applyBorder="1" applyAlignment="1">
      <alignment horizontal="left"/>
    </xf>
    <xf numFmtId="0" fontId="35" fillId="0" borderId="25" xfId="0" applyFont="1" applyBorder="1"/>
    <xf numFmtId="3" fontId="26" fillId="0" borderId="26" xfId="0" applyNumberFormat="1" applyFont="1" applyBorder="1"/>
    <xf numFmtId="4" fontId="26" fillId="0" borderId="26" xfId="0" applyNumberFormat="1" applyFont="1" applyBorder="1"/>
    <xf numFmtId="0" fontId="22" fillId="0" borderId="0" xfId="0" applyFont="1" applyAlignment="1">
      <alignment horizontal="left" wrapText="1"/>
    </xf>
    <xf numFmtId="3" fontId="34" fillId="0" borderId="0" xfId="44" applyAlignment="1">
      <alignment horizontal="left"/>
    </xf>
    <xf numFmtId="0" fontId="34" fillId="0" borderId="0" xfId="55" applyAlignment="1">
      <alignment horizontal="left" vertical="center"/>
    </xf>
    <xf numFmtId="4" fontId="34" fillId="0" borderId="0" xfId="44" applyNumberFormat="1" applyAlignment="1">
      <alignment horizontal="left"/>
    </xf>
    <xf numFmtId="3" fontId="34" fillId="0" borderId="0" xfId="44" applyFill="1" applyAlignment="1">
      <alignment horizontal="left"/>
    </xf>
    <xf numFmtId="0" fontId="34" fillId="0" borderId="0" xfId="55" applyFill="1" applyAlignment="1">
      <alignment horizontal="left" vertical="center"/>
    </xf>
    <xf numFmtId="0" fontId="44" fillId="38" borderId="25" xfId="0" applyFont="1" applyFill="1" applyBorder="1" applyAlignment="1">
      <alignment horizontal="right"/>
    </xf>
    <xf numFmtId="0" fontId="36" fillId="0" borderId="0" xfId="0" applyFont="1" applyAlignment="1">
      <alignment horizontal="left"/>
    </xf>
    <xf numFmtId="0" fontId="44" fillId="0" borderId="25" xfId="0" applyFont="1" applyBorder="1" applyAlignment="1">
      <alignment horizontal="left"/>
    </xf>
    <xf numFmtId="3" fontId="26" fillId="0" borderId="26" xfId="0" applyNumberFormat="1" applyFont="1" applyBorder="1" applyAlignment="1">
      <alignment horizontal="left"/>
    </xf>
    <xf numFmtId="3" fontId="26" fillId="0" borderId="24" xfId="0" applyNumberFormat="1" applyFont="1" applyBorder="1" applyAlignment="1">
      <alignment horizontal="left"/>
    </xf>
    <xf numFmtId="0" fontId="26" fillId="33" borderId="30" xfId="0" applyFont="1" applyFill="1" applyBorder="1" applyAlignment="1">
      <alignment horizontal="left" wrapText="1"/>
    </xf>
    <xf numFmtId="167" fontId="36" fillId="0" borderId="34" xfId="0" applyNumberFormat="1" applyFont="1" applyBorder="1" applyAlignment="1">
      <alignment horizontal="left"/>
    </xf>
    <xf numFmtId="167" fontId="36" fillId="0" borderId="35" xfId="0" applyNumberFormat="1" applyFont="1" applyBorder="1" applyAlignment="1">
      <alignment horizontal="left"/>
    </xf>
    <xf numFmtId="0" fontId="36" fillId="0" borderId="34" xfId="0" applyFont="1" applyBorder="1" applyAlignment="1">
      <alignment horizontal="left"/>
    </xf>
    <xf numFmtId="0" fontId="36" fillId="0" borderId="35" xfId="0" applyFont="1" applyBorder="1" applyAlignment="1">
      <alignment horizontal="left"/>
    </xf>
    <xf numFmtId="0" fontId="36" fillId="0" borderId="35" xfId="0" applyFont="1" applyFill="1" applyBorder="1" applyAlignment="1">
      <alignment horizontal="left"/>
    </xf>
    <xf numFmtId="0" fontId="36" fillId="38" borderId="35" xfId="0" applyFont="1" applyFill="1" applyBorder="1" applyAlignment="1">
      <alignment horizontal="left"/>
    </xf>
    <xf numFmtId="167" fontId="36" fillId="38" borderId="35" xfId="0" applyNumberFormat="1" applyFont="1" applyFill="1" applyBorder="1" applyAlignment="1">
      <alignment horizontal="left"/>
    </xf>
    <xf numFmtId="0" fontId="36" fillId="38" borderId="22" xfId="0" applyFont="1" applyFill="1" applyBorder="1" applyAlignment="1">
      <alignment horizontal="left"/>
    </xf>
    <xf numFmtId="167" fontId="36" fillId="38" borderId="22" xfId="0" applyNumberFormat="1" applyFont="1" applyFill="1" applyBorder="1" applyAlignment="1">
      <alignment horizontal="left"/>
    </xf>
    <xf numFmtId="4" fontId="26" fillId="0" borderId="26" xfId="0" applyNumberFormat="1" applyFont="1" applyBorder="1" applyAlignment="1">
      <alignment horizontal="left"/>
    </xf>
    <xf numFmtId="14" fontId="34" fillId="0" borderId="0" xfId="48"/>
    <xf numFmtId="0" fontId="19" fillId="39" borderId="37" xfId="0" applyFont="1" applyFill="1" applyBorder="1" applyAlignment="1">
      <alignment horizontal="left"/>
    </xf>
    <xf numFmtId="0" fontId="34" fillId="39" borderId="37" xfId="55" applyFill="1" applyBorder="1">
      <alignment horizontal="left" vertical="center"/>
    </xf>
    <xf numFmtId="169" fontId="0" fillId="39" borderId="37" xfId="0" applyNumberFormat="1" applyFill="1" applyBorder="1"/>
    <xf numFmtId="14" fontId="34" fillId="39" borderId="37" xfId="48" applyFill="1" applyBorder="1"/>
    <xf numFmtId="0" fontId="19" fillId="40" borderId="37" xfId="0" applyFont="1" applyFill="1" applyBorder="1" applyAlignment="1">
      <alignment horizontal="left"/>
    </xf>
    <xf numFmtId="0" fontId="34" fillId="40" borderId="37" xfId="55" applyFill="1" applyBorder="1">
      <alignment horizontal="left" vertical="center"/>
    </xf>
    <xf numFmtId="169" fontId="0" fillId="40" borderId="37" xfId="0" applyNumberFormat="1" applyFill="1" applyBorder="1"/>
    <xf numFmtId="14" fontId="34" fillId="40" borderId="37" xfId="48" applyFill="1" applyBorder="1"/>
    <xf numFmtId="0" fontId="19" fillId="41" borderId="37" xfId="0" applyFont="1" applyFill="1" applyBorder="1" applyAlignment="1">
      <alignment horizontal="left"/>
    </xf>
    <xf numFmtId="0" fontId="34" fillId="41" borderId="37" xfId="55" applyFill="1" applyBorder="1">
      <alignment horizontal="left" vertical="center"/>
    </xf>
    <xf numFmtId="169" fontId="0" fillId="41" borderId="37" xfId="0" applyNumberFormat="1" applyFill="1" applyBorder="1"/>
    <xf numFmtId="14" fontId="34" fillId="41" borderId="37" xfId="48" applyFill="1" applyBorder="1"/>
    <xf numFmtId="0" fontId="19" fillId="42" borderId="37" xfId="0" applyFont="1" applyFill="1" applyBorder="1" applyAlignment="1">
      <alignment horizontal="left"/>
    </xf>
    <xf numFmtId="0" fontId="34" fillId="42" borderId="37" xfId="55" applyFill="1" applyBorder="1">
      <alignment horizontal="left" vertical="center"/>
    </xf>
    <xf numFmtId="169" fontId="0" fillId="42" borderId="37" xfId="0" applyNumberFormat="1" applyFill="1" applyBorder="1"/>
    <xf numFmtId="14" fontId="34" fillId="42" borderId="37" xfId="48" applyFill="1" applyBorder="1"/>
    <xf numFmtId="0" fontId="19" fillId="43" borderId="37" xfId="0" applyFont="1" applyFill="1" applyBorder="1" applyAlignment="1">
      <alignment horizontal="left"/>
    </xf>
    <xf numFmtId="0" fontId="34" fillId="43" borderId="37" xfId="55" applyFill="1" applyBorder="1">
      <alignment horizontal="left" vertical="center"/>
    </xf>
    <xf numFmtId="169" fontId="0" fillId="43" borderId="37" xfId="0" applyNumberFormat="1" applyFill="1" applyBorder="1"/>
    <xf numFmtId="14" fontId="34" fillId="43" borderId="37" xfId="48" applyFill="1" applyBorder="1"/>
    <xf numFmtId="0" fontId="19" fillId="44" borderId="37" xfId="0" applyFont="1" applyFill="1" applyBorder="1" applyAlignment="1">
      <alignment horizontal="left"/>
    </xf>
    <xf numFmtId="0" fontId="34" fillId="44" borderId="37" xfId="55" applyFill="1" applyBorder="1">
      <alignment horizontal="left" vertical="center"/>
    </xf>
    <xf numFmtId="169" fontId="0" fillId="44" borderId="37" xfId="0" applyNumberFormat="1" applyFill="1" applyBorder="1"/>
    <xf numFmtId="14" fontId="34" fillId="44" borderId="37" xfId="48" applyFill="1" applyBorder="1"/>
    <xf numFmtId="0" fontId="34" fillId="45" borderId="37" xfId="55" applyFill="1" applyBorder="1">
      <alignment horizontal="left" vertical="center"/>
    </xf>
    <xf numFmtId="169" fontId="0" fillId="45" borderId="37" xfId="0" applyNumberFormat="1" applyFill="1" applyBorder="1"/>
    <xf numFmtId="14" fontId="34" fillId="45" borderId="37" xfId="48" applyFill="1" applyBorder="1"/>
    <xf numFmtId="0" fontId="0" fillId="45" borderId="37" xfId="0" applyFill="1" applyBorder="1"/>
    <xf numFmtId="0" fontId="34" fillId="45" borderId="0" xfId="55" applyFill="1" applyBorder="1">
      <alignment horizontal="left" vertical="center"/>
    </xf>
    <xf numFmtId="169" fontId="0" fillId="45" borderId="0" xfId="0" applyNumberFormat="1" applyFill="1" applyBorder="1"/>
    <xf numFmtId="0" fontId="34" fillId="44" borderId="38" xfId="55" applyFill="1" applyBorder="1">
      <alignment horizontal="left" vertical="center"/>
    </xf>
    <xf numFmtId="0" fontId="19" fillId="44" borderId="38" xfId="0" applyFont="1" applyFill="1" applyBorder="1" applyAlignment="1">
      <alignment horizontal="left"/>
    </xf>
    <xf numFmtId="169" fontId="0" fillId="44" borderId="38" xfId="0" applyNumberFormat="1" applyFill="1" applyBorder="1"/>
    <xf numFmtId="14" fontId="34" fillId="44" borderId="38" xfId="48" applyFill="1" applyBorder="1"/>
    <xf numFmtId="0" fontId="31" fillId="33" borderId="31" xfId="0" applyFont="1" applyFill="1" applyBorder="1" applyAlignment="1">
      <alignment horizontal="left" wrapText="1"/>
    </xf>
    <xf numFmtId="0" fontId="34" fillId="0" borderId="37" xfId="55" applyBorder="1">
      <alignment horizontal="left" vertical="center"/>
    </xf>
    <xf numFmtId="3" fontId="34" fillId="0" borderId="37" xfId="44" applyBorder="1"/>
    <xf numFmtId="168" fontId="0" fillId="0" borderId="37" xfId="0" applyNumberFormat="1" applyBorder="1"/>
    <xf numFmtId="0" fontId="19" fillId="33" borderId="39" xfId="0" applyFont="1" applyFill="1" applyBorder="1" applyAlignment="1">
      <alignment horizontal="left"/>
    </xf>
    <xf numFmtId="0" fontId="19" fillId="33" borderId="36" xfId="0" applyFont="1" applyFill="1" applyBorder="1" applyAlignment="1">
      <alignment horizontal="left"/>
    </xf>
    <xf numFmtId="168" fontId="0" fillId="0" borderId="38" xfId="0" applyNumberFormat="1" applyBorder="1"/>
    <xf numFmtId="0" fontId="20" fillId="0" borderId="38" xfId="0" applyFont="1" applyBorder="1" applyAlignment="1">
      <alignment horizontal="left" vertical="center"/>
    </xf>
    <xf numFmtId="0" fontId="34" fillId="0" borderId="38" xfId="55" applyBorder="1">
      <alignment horizontal="left" vertical="center"/>
    </xf>
    <xf numFmtId="0" fontId="38" fillId="0" borderId="0" xfId="0" applyFont="1" applyAlignment="1">
      <alignment horizontal="right"/>
    </xf>
    <xf numFmtId="0" fontId="31" fillId="33" borderId="34" xfId="0" applyFont="1" applyFill="1" applyBorder="1" applyAlignment="1">
      <alignment horizontal="left" wrapText="1"/>
    </xf>
    <xf numFmtId="167" fontId="0" fillId="0" borderId="37" xfId="0" applyNumberFormat="1" applyBorder="1"/>
    <xf numFmtId="167" fontId="0" fillId="38" borderId="37" xfId="0" applyNumberFormat="1" applyFill="1" applyBorder="1"/>
    <xf numFmtId="167" fontId="0" fillId="0" borderId="42" xfId="0" applyNumberFormat="1" applyBorder="1"/>
    <xf numFmtId="167" fontId="0" fillId="0" borderId="43" xfId="0" applyNumberFormat="1" applyBorder="1"/>
    <xf numFmtId="167" fontId="0" fillId="0" borderId="44" xfId="0" applyNumberFormat="1" applyBorder="1"/>
    <xf numFmtId="167" fontId="0" fillId="38" borderId="45" xfId="0" applyNumberFormat="1" applyFill="1" applyBorder="1"/>
    <xf numFmtId="167" fontId="0" fillId="38" borderId="46" xfId="0" applyNumberFormat="1" applyFill="1" applyBorder="1"/>
    <xf numFmtId="167" fontId="0" fillId="0" borderId="45" xfId="0" applyNumberFormat="1" applyBorder="1"/>
    <xf numFmtId="167" fontId="0" fillId="0" borderId="46" xfId="0" applyNumberFormat="1" applyBorder="1"/>
    <xf numFmtId="167" fontId="0" fillId="38" borderId="48" xfId="0" applyNumberFormat="1" applyFill="1" applyBorder="1"/>
    <xf numFmtId="167" fontId="0" fillId="38" borderId="49" xfId="0" applyNumberFormat="1" applyFill="1" applyBorder="1"/>
    <xf numFmtId="9" fontId="0" fillId="0" borderId="45" xfId="0" applyNumberFormat="1" applyBorder="1"/>
    <xf numFmtId="9" fontId="0" fillId="0" borderId="37" xfId="0" applyNumberFormat="1" applyBorder="1"/>
    <xf numFmtId="9" fontId="0" fillId="38" borderId="47" xfId="0" applyNumberFormat="1" applyFill="1" applyBorder="1"/>
    <xf numFmtId="9" fontId="0" fillId="38" borderId="48" xfId="0" applyNumberFormat="1" applyFill="1" applyBorder="1"/>
    <xf numFmtId="9" fontId="0" fillId="38" borderId="37" xfId="0" applyNumberFormat="1" applyFill="1" applyBorder="1"/>
    <xf numFmtId="167" fontId="35" fillId="0" borderId="40" xfId="0" applyNumberFormat="1" applyFont="1" applyBorder="1" applyAlignment="1">
      <alignment horizontal="left" vertical="center"/>
    </xf>
    <xf numFmtId="0" fontId="37" fillId="38" borderId="50" xfId="0" applyFont="1" applyFill="1" applyBorder="1" applyAlignment="1">
      <alignment horizontal="left" vertical="center"/>
    </xf>
    <xf numFmtId="0" fontId="37" fillId="0" borderId="25" xfId="0" applyFont="1" applyBorder="1"/>
    <xf numFmtId="3" fontId="35" fillId="0" borderId="26" xfId="0" applyNumberFormat="1" applyFont="1" applyBorder="1"/>
    <xf numFmtId="3" fontId="35" fillId="0" borderId="41" xfId="0" applyNumberFormat="1" applyFont="1" applyBorder="1"/>
    <xf numFmtId="3" fontId="35" fillId="0" borderId="24" xfId="0" applyNumberFormat="1" applyFont="1" applyBorder="1"/>
    <xf numFmtId="0" fontId="20" fillId="0" borderId="37" xfId="55" applyFont="1" applyBorder="1" applyAlignment="1">
      <alignment horizontal="right" vertical="center"/>
    </xf>
    <xf numFmtId="0" fontId="31" fillId="42" borderId="29" xfId="0" applyFont="1" applyFill="1" applyBorder="1" applyAlignment="1">
      <alignment horizontal="left" wrapText="1"/>
    </xf>
    <xf numFmtId="0" fontId="31" fillId="43" borderId="29" xfId="0" applyFont="1" applyFill="1" applyBorder="1" applyAlignment="1">
      <alignment horizontal="left" wrapText="1"/>
    </xf>
    <xf numFmtId="0" fontId="31" fillId="44" borderId="29" xfId="0" applyFont="1" applyFill="1" applyBorder="1" applyAlignment="1">
      <alignment horizontal="left" wrapText="1"/>
    </xf>
    <xf numFmtId="170" fontId="31" fillId="44" borderId="35" xfId="0" applyNumberFormat="1" applyFont="1" applyFill="1" applyBorder="1" applyAlignment="1">
      <alignment horizontal="left" wrapText="1"/>
    </xf>
    <xf numFmtId="0" fontId="0" fillId="0" borderId="0" xfId="0" applyAlignment="1">
      <alignment horizontal="left"/>
    </xf>
    <xf numFmtId="168" fontId="34" fillId="0" borderId="0" xfId="55" applyNumberFormat="1" applyAlignment="1">
      <alignment horizontal="right" vertical="center"/>
    </xf>
    <xf numFmtId="168" fontId="20" fillId="0" borderId="0" xfId="44" applyNumberFormat="1" applyFont="1" applyAlignment="1">
      <alignment horizontal="right"/>
    </xf>
    <xf numFmtId="168" fontId="34" fillId="0" borderId="0" xfId="44" applyNumberFormat="1" applyAlignment="1">
      <alignment horizontal="right"/>
    </xf>
    <xf numFmtId="3" fontId="31" fillId="42" borderId="29" xfId="0" applyNumberFormat="1" applyFont="1" applyFill="1" applyBorder="1" applyAlignment="1">
      <alignment horizontal="left" wrapText="1"/>
    </xf>
    <xf numFmtId="3" fontId="34" fillId="0" borderId="0" xfId="44" applyNumberFormat="1" applyAlignment="1">
      <alignment horizontal="right"/>
    </xf>
    <xf numFmtId="168" fontId="0" fillId="0" borderId="0" xfId="0" applyNumberFormat="1" applyAlignment="1">
      <alignment horizontal="right"/>
    </xf>
    <xf numFmtId="170" fontId="0" fillId="0" borderId="0" xfId="0" applyNumberFormat="1" applyAlignment="1">
      <alignment horizontal="right"/>
    </xf>
    <xf numFmtId="3" fontId="34" fillId="0" borderId="0" xfId="55" applyNumberFormat="1" applyAlignment="1">
      <alignment horizontal="right" vertical="center"/>
    </xf>
    <xf numFmtId="168" fontId="0" fillId="0" borderId="0" xfId="0" applyNumberFormat="1" applyBorder="1" applyAlignment="1">
      <alignment horizontal="right"/>
    </xf>
    <xf numFmtId="170" fontId="0" fillId="0" borderId="0" xfId="0" applyNumberFormat="1" applyBorder="1" applyAlignment="1">
      <alignment horizontal="right"/>
    </xf>
    <xf numFmtId="14" fontId="20" fillId="0" borderId="0" xfId="0" applyNumberFormat="1" applyFont="1" applyBorder="1"/>
    <xf numFmtId="0" fontId="20" fillId="0" borderId="0" xfId="0" applyFont="1" applyBorder="1" applyAlignment="1">
      <alignment horizontal="right" vertical="center"/>
    </xf>
    <xf numFmtId="168" fontId="20" fillId="0" borderId="0" xfId="0" applyNumberFormat="1" applyFont="1" applyBorder="1" applyAlignment="1">
      <alignment horizontal="right"/>
    </xf>
    <xf numFmtId="3" fontId="20" fillId="0" borderId="0" xfId="0" applyNumberFormat="1" applyFont="1" applyBorder="1" applyAlignment="1">
      <alignment horizontal="right"/>
    </xf>
    <xf numFmtId="3" fontId="20" fillId="0" borderId="0" xfId="0" applyNumberFormat="1" applyFont="1" applyBorder="1" applyAlignment="1">
      <alignment horizontal="right" vertical="center"/>
    </xf>
    <xf numFmtId="168" fontId="20" fillId="0" borderId="0" xfId="0" applyNumberFormat="1" applyFont="1" applyBorder="1" applyAlignment="1">
      <alignment horizontal="right" vertical="center"/>
    </xf>
    <xf numFmtId="0" fontId="35" fillId="38" borderId="24" xfId="0" applyFont="1" applyFill="1" applyBorder="1" applyAlignment="1">
      <alignment horizontal="left" vertical="center"/>
    </xf>
    <xf numFmtId="3" fontId="35" fillId="0" borderId="26" xfId="0" applyNumberFormat="1" applyFont="1" applyBorder="1" applyAlignment="1">
      <alignment horizontal="right"/>
    </xf>
    <xf numFmtId="170" fontId="35" fillId="0" borderId="24" xfId="0" applyNumberFormat="1" applyFont="1" applyBorder="1" applyAlignment="1">
      <alignment horizontal="right"/>
    </xf>
    <xf numFmtId="168" fontId="35" fillId="0" borderId="26" xfId="0" applyNumberFormat="1" applyFont="1" applyBorder="1" applyAlignment="1">
      <alignment horizontal="right"/>
    </xf>
    <xf numFmtId="0" fontId="20" fillId="0" borderId="0" xfId="0" applyFont="1" applyAlignment="1">
      <alignment horizontal="left" wrapText="1"/>
    </xf>
    <xf numFmtId="0" fontId="19" fillId="33" borderId="51" xfId="0" applyFont="1" applyFill="1" applyBorder="1" applyAlignment="1">
      <alignment horizontal="left"/>
    </xf>
    <xf numFmtId="168" fontId="0" fillId="0" borderId="0" xfId="0" applyNumberFormat="1"/>
    <xf numFmtId="3" fontId="34" fillId="0" borderId="0" xfId="44"/>
    <xf numFmtId="170" fontId="0" fillId="0" borderId="0" xfId="0" applyNumberFormat="1"/>
    <xf numFmtId="0" fontId="31" fillId="33" borderId="52" xfId="0" applyFont="1" applyFill="1" applyBorder="1" applyAlignment="1">
      <alignment horizontal="left" wrapText="1"/>
    </xf>
    <xf numFmtId="0" fontId="17" fillId="33" borderId="29" xfId="0" applyFont="1" applyFill="1" applyBorder="1" applyAlignment="1">
      <alignment horizontal="center" wrapText="1"/>
    </xf>
    <xf numFmtId="0" fontId="46" fillId="0" borderId="0" xfId="0" applyFont="1" applyAlignment="1">
      <alignment wrapText="1"/>
    </xf>
    <xf numFmtId="0" fontId="19" fillId="33" borderId="53" xfId="0" applyFont="1" applyFill="1" applyBorder="1" applyAlignment="1">
      <alignment horizontal="left"/>
    </xf>
    <xf numFmtId="3" fontId="20" fillId="0" borderId="0" xfId="0" applyNumberFormat="1" applyFont="1" applyBorder="1"/>
    <xf numFmtId="0" fontId="37" fillId="38" borderId="33" xfId="0" applyFont="1" applyFill="1" applyBorder="1" applyAlignment="1">
      <alignment horizontal="left" vertical="center"/>
    </xf>
    <xf numFmtId="3" fontId="35" fillId="38" borderId="39" xfId="0" applyNumberFormat="1" applyFont="1" applyFill="1" applyBorder="1"/>
    <xf numFmtId="168" fontId="35" fillId="38" borderId="39" xfId="0" applyNumberFormat="1" applyFont="1" applyFill="1" applyBorder="1"/>
    <xf numFmtId="168" fontId="37" fillId="38" borderId="24" xfId="0" applyNumberFormat="1" applyFont="1" applyFill="1" applyBorder="1"/>
    <xf numFmtId="170" fontId="35" fillId="38" borderId="24" xfId="0" applyNumberFormat="1" applyFont="1" applyFill="1" applyBorder="1"/>
    <xf numFmtId="0" fontId="22" fillId="0" borderId="0" xfId="0" applyFont="1"/>
    <xf numFmtId="0" fontId="35" fillId="38" borderId="33" xfId="0" applyFont="1" applyFill="1" applyBorder="1" applyAlignment="1">
      <alignment horizontal="left" vertical="center"/>
    </xf>
    <xf numFmtId="0" fontId="44" fillId="38" borderId="25" xfId="0" applyFont="1" applyFill="1" applyBorder="1"/>
    <xf numFmtId="168" fontId="35" fillId="38" borderId="24" xfId="0" applyNumberFormat="1" applyFont="1" applyFill="1" applyBorder="1"/>
    <xf numFmtId="0" fontId="26" fillId="33" borderId="52" xfId="0" applyFont="1" applyFill="1" applyBorder="1" applyAlignment="1">
      <alignment horizontal="left" wrapText="1"/>
    </xf>
    <xf numFmtId="0" fontId="26" fillId="0" borderId="0" xfId="0" applyFont="1"/>
    <xf numFmtId="3" fontId="34" fillId="0" borderId="0" xfId="44" applyAlignment="1">
      <alignment horizontal="right"/>
    </xf>
    <xf numFmtId="0" fontId="35" fillId="0" borderId="0" xfId="0" applyFont="1" applyFill="1" applyBorder="1" applyAlignment="1">
      <alignment horizontal="left" vertical="center"/>
    </xf>
    <xf numFmtId="168" fontId="34" fillId="0" borderId="0" xfId="55" applyNumberFormat="1" applyAlignment="1">
      <alignment horizontal="left" vertical="center" wrapText="1"/>
    </xf>
    <xf numFmtId="0" fontId="34" fillId="0" borderId="0" xfId="55" applyAlignment="1">
      <alignment horizontal="left" vertical="center" wrapText="1"/>
    </xf>
    <xf numFmtId="0" fontId="47" fillId="0" borderId="0" xfId="0" applyFont="1" applyAlignment="1">
      <alignment vertical="center" wrapText="1"/>
    </xf>
    <xf numFmtId="168" fontId="20" fillId="0" borderId="0" xfId="0" applyNumberFormat="1" applyFont="1" applyBorder="1" applyAlignment="1">
      <alignment horizontal="left" vertical="center" wrapText="1"/>
    </xf>
    <xf numFmtId="0" fontId="20" fillId="0" borderId="0" xfId="0" applyFont="1" applyBorder="1" applyAlignment="1">
      <alignment horizontal="left" vertical="center" wrapText="1"/>
    </xf>
    <xf numFmtId="2" fontId="0" fillId="0" borderId="0" xfId="0" applyNumberFormat="1" applyAlignment="1">
      <alignment horizontal="right"/>
    </xf>
    <xf numFmtId="2" fontId="34" fillId="0" borderId="0" xfId="55" applyNumberFormat="1" applyAlignment="1">
      <alignment horizontal="right" vertical="center"/>
    </xf>
    <xf numFmtId="4" fontId="0" fillId="0" borderId="0" xfId="0" applyNumberFormat="1" applyAlignment="1">
      <alignment horizontal="right"/>
    </xf>
    <xf numFmtId="2" fontId="20" fillId="0" borderId="0" xfId="55" applyNumberFormat="1" applyFont="1" applyAlignment="1">
      <alignment horizontal="right" vertical="center"/>
    </xf>
    <xf numFmtId="0" fontId="34" fillId="0" borderId="0" xfId="55" applyAlignment="1">
      <alignment vertical="center"/>
    </xf>
    <xf numFmtId="0" fontId="0" fillId="0" borderId="0" xfId="0" applyAlignment="1"/>
    <xf numFmtId="0" fontId="20" fillId="0" borderId="0" xfId="55" applyFont="1" applyAlignment="1">
      <alignment horizontal="right" vertical="center"/>
    </xf>
    <xf numFmtId="0" fontId="19" fillId="33" borderId="54" xfId="0" applyFont="1" applyFill="1" applyBorder="1" applyAlignment="1">
      <alignment horizontal="left"/>
    </xf>
    <xf numFmtId="0" fontId="19" fillId="38" borderId="54" xfId="0" applyFont="1" applyFill="1" applyBorder="1" applyAlignment="1">
      <alignment horizontal="left"/>
    </xf>
    <xf numFmtId="0" fontId="31" fillId="33" borderId="51" xfId="0" applyFont="1" applyFill="1" applyBorder="1" applyAlignment="1">
      <alignment horizontal="left" wrapText="1"/>
    </xf>
    <xf numFmtId="0" fontId="31" fillId="33" borderId="55" xfId="0" applyFont="1" applyFill="1" applyBorder="1" applyAlignment="1">
      <alignment horizontal="left" wrapText="1"/>
    </xf>
    <xf numFmtId="0" fontId="31" fillId="33" borderId="52" xfId="0" applyFont="1" applyFill="1" applyBorder="1" applyAlignment="1">
      <alignment wrapText="1"/>
    </xf>
    <xf numFmtId="0" fontId="37" fillId="0" borderId="56" xfId="0" applyFont="1" applyBorder="1"/>
    <xf numFmtId="0" fontId="37" fillId="0" borderId="57" xfId="0" applyFont="1" applyBorder="1"/>
    <xf numFmtId="4" fontId="35" fillId="0" borderId="56" xfId="0" applyNumberFormat="1" applyFont="1" applyBorder="1"/>
    <xf numFmtId="3" fontId="35" fillId="0" borderId="39" xfId="0" applyNumberFormat="1" applyFont="1" applyBorder="1" applyAlignment="1">
      <alignment horizontal="right"/>
    </xf>
    <xf numFmtId="3" fontId="35" fillId="0" borderId="24" xfId="0" applyNumberFormat="1" applyFont="1" applyBorder="1" applyAlignment="1">
      <alignment horizontal="right"/>
    </xf>
    <xf numFmtId="0" fontId="44" fillId="38" borderId="28" xfId="0" applyFont="1" applyFill="1" applyBorder="1" applyAlignment="1">
      <alignment horizontal="right"/>
    </xf>
    <xf numFmtId="0" fontId="44" fillId="38" borderId="29" xfId="0" applyFont="1" applyFill="1" applyBorder="1" applyAlignment="1">
      <alignment horizontal="right"/>
    </xf>
    <xf numFmtId="0" fontId="38" fillId="38" borderId="34" xfId="0" applyFont="1" applyFill="1" applyBorder="1" applyAlignment="1">
      <alignment wrapText="1"/>
    </xf>
    <xf numFmtId="0" fontId="38" fillId="33" borderId="34" xfId="0" applyFont="1" applyFill="1" applyBorder="1" applyAlignment="1">
      <alignment horizontal="left" wrapText="1"/>
    </xf>
    <xf numFmtId="0" fontId="38" fillId="0" borderId="42" xfId="0" applyFont="1" applyBorder="1" applyAlignment="1">
      <alignment horizontal="right"/>
    </xf>
    <xf numFmtId="167" fontId="36" fillId="0" borderId="43" xfId="0" applyNumberFormat="1" applyFont="1" applyBorder="1"/>
    <xf numFmtId="167" fontId="36" fillId="0" borderId="44" xfId="0" applyNumberFormat="1" applyFont="1" applyBorder="1"/>
    <xf numFmtId="0" fontId="38" fillId="38" borderId="45" xfId="0" applyFont="1" applyFill="1" applyBorder="1" applyAlignment="1">
      <alignment horizontal="right"/>
    </xf>
    <xf numFmtId="167" fontId="36" fillId="38" borderId="37" xfId="0" applyNumberFormat="1" applyFont="1" applyFill="1" applyBorder="1"/>
    <xf numFmtId="167" fontId="36" fillId="38" borderId="46" xfId="0" applyNumberFormat="1" applyFont="1" applyFill="1" applyBorder="1"/>
    <xf numFmtId="0" fontId="38" fillId="0" borderId="45" xfId="0" applyFont="1" applyBorder="1" applyAlignment="1">
      <alignment horizontal="right"/>
    </xf>
    <xf numFmtId="167" fontId="36" fillId="0" borderId="37" xfId="0" applyNumberFormat="1" applyFont="1" applyBorder="1"/>
    <xf numFmtId="167" fontId="36" fillId="0" borderId="46" xfId="0" applyNumberFormat="1" applyFont="1" applyBorder="1"/>
    <xf numFmtId="0" fontId="38" fillId="38" borderId="47" xfId="0" applyFont="1" applyFill="1" applyBorder="1" applyAlignment="1">
      <alignment horizontal="right"/>
    </xf>
    <xf numFmtId="167" fontId="36" fillId="38" borderId="48" xfId="0" applyNumberFormat="1" applyFont="1" applyFill="1" applyBorder="1"/>
    <xf numFmtId="167" fontId="36" fillId="38" borderId="49" xfId="0" applyNumberFormat="1" applyFont="1" applyFill="1" applyBorder="1"/>
    <xf numFmtId="0" fontId="26" fillId="0" borderId="59" xfId="0" applyFont="1" applyBorder="1" applyAlignment="1">
      <alignment horizontal="right" vertical="center"/>
    </xf>
    <xf numFmtId="168" fontId="26" fillId="0" borderId="59" xfId="0" applyNumberFormat="1" applyFont="1" applyBorder="1" applyAlignment="1">
      <alignment horizontal="right"/>
    </xf>
    <xf numFmtId="0" fontId="31" fillId="33" borderId="53" xfId="0" applyFont="1" applyFill="1" applyBorder="1" applyAlignment="1">
      <alignment horizontal="left" wrapText="1"/>
    </xf>
    <xf numFmtId="0" fontId="31" fillId="39" borderId="53" xfId="0" applyFont="1" applyFill="1" applyBorder="1" applyAlignment="1">
      <alignment horizontal="left" wrapText="1"/>
    </xf>
    <xf numFmtId="0" fontId="31" fillId="44" borderId="53" xfId="0" applyFont="1" applyFill="1" applyBorder="1" applyAlignment="1">
      <alignment horizontal="left" wrapText="1"/>
    </xf>
    <xf numFmtId="0" fontId="31" fillId="44" borderId="60" xfId="0" applyFont="1" applyFill="1" applyBorder="1" applyAlignment="1">
      <alignment horizontal="left" wrapText="1"/>
    </xf>
    <xf numFmtId="0" fontId="31" fillId="44" borderId="34" xfId="0" applyFont="1" applyFill="1" applyBorder="1" applyAlignment="1">
      <alignment wrapText="1"/>
    </xf>
    <xf numFmtId="0" fontId="19" fillId="33" borderId="61" xfId="0" applyFont="1" applyFill="1" applyBorder="1" applyAlignment="1">
      <alignment horizontal="left"/>
    </xf>
    <xf numFmtId="0" fontId="34" fillId="0" borderId="42" xfId="55" applyBorder="1">
      <alignment horizontal="left" vertical="center"/>
    </xf>
    <xf numFmtId="3" fontId="34" fillId="0" borderId="43" xfId="44" applyBorder="1" applyAlignment="1">
      <alignment horizontal="right"/>
    </xf>
    <xf numFmtId="168" fontId="0" fillId="0" borderId="43" xfId="0" applyNumberFormat="1" applyBorder="1" applyAlignment="1">
      <alignment horizontal="right"/>
    </xf>
    <xf numFmtId="0" fontId="34" fillId="46" borderId="43" xfId="55" applyFill="1" applyBorder="1" applyAlignment="1">
      <alignment horizontal="right" vertical="center"/>
    </xf>
    <xf numFmtId="0" fontId="34" fillId="46" borderId="43" xfId="55" applyFill="1" applyBorder="1">
      <alignment horizontal="left" vertical="center"/>
    </xf>
    <xf numFmtId="0" fontId="34" fillId="46" borderId="44" xfId="55" applyFill="1" applyBorder="1">
      <alignment horizontal="left" vertical="center"/>
    </xf>
    <xf numFmtId="0" fontId="34" fillId="0" borderId="45" xfId="55" applyBorder="1">
      <alignment horizontal="left" vertical="center"/>
    </xf>
    <xf numFmtId="0" fontId="34" fillId="46" borderId="37" xfId="55" applyFill="1" applyBorder="1" applyAlignment="1">
      <alignment horizontal="right" vertical="center"/>
    </xf>
    <xf numFmtId="0" fontId="34" fillId="46" borderId="37" xfId="55" applyFill="1" applyBorder="1">
      <alignment horizontal="left" vertical="center"/>
    </xf>
    <xf numFmtId="0" fontId="34" fillId="46" borderId="46" xfId="55" applyFill="1" applyBorder="1">
      <alignment horizontal="left" vertical="center"/>
    </xf>
    <xf numFmtId="3" fontId="34" fillId="0" borderId="37" xfId="44" applyBorder="1" applyAlignment="1">
      <alignment horizontal="right"/>
    </xf>
    <xf numFmtId="168" fontId="0" fillId="0" borderId="37" xfId="0" applyNumberFormat="1" applyBorder="1" applyAlignment="1">
      <alignment horizontal="right"/>
    </xf>
    <xf numFmtId="3" fontId="34" fillId="46" borderId="37" xfId="44" applyFill="1" applyBorder="1" applyAlignment="1">
      <alignment horizontal="right"/>
    </xf>
    <xf numFmtId="168" fontId="0" fillId="46" borderId="37" xfId="0" applyNumberFormat="1" applyFill="1" applyBorder="1" applyAlignment="1">
      <alignment horizontal="right"/>
    </xf>
    <xf numFmtId="0" fontId="34" fillId="0" borderId="37" xfId="55" applyBorder="1" applyAlignment="1">
      <alignment horizontal="right" vertical="center"/>
    </xf>
    <xf numFmtId="0" fontId="34" fillId="0" borderId="46" xfId="55" applyBorder="1">
      <alignment horizontal="left" vertical="center"/>
    </xf>
    <xf numFmtId="0" fontId="34" fillId="0" borderId="47" xfId="55" applyBorder="1">
      <alignment horizontal="left" vertical="center"/>
    </xf>
    <xf numFmtId="3" fontId="34" fillId="0" borderId="48" xfId="44" applyBorder="1" applyAlignment="1">
      <alignment horizontal="right"/>
    </xf>
    <xf numFmtId="168" fontId="0" fillId="0" borderId="48" xfId="0" applyNumberFormat="1" applyBorder="1" applyAlignment="1">
      <alignment horizontal="right"/>
    </xf>
    <xf numFmtId="0" fontId="0" fillId="0" borderId="0" xfId="0" applyAlignment="1">
      <alignment horizontal="left" vertical="center"/>
    </xf>
    <xf numFmtId="0" fontId="35" fillId="38" borderId="28" xfId="0" applyFont="1" applyFill="1" applyBorder="1" applyAlignment="1">
      <alignment horizontal="left" vertical="center"/>
    </xf>
    <xf numFmtId="3" fontId="35" fillId="0" borderId="25" xfId="0" applyNumberFormat="1" applyFont="1" applyBorder="1"/>
    <xf numFmtId="3" fontId="35" fillId="0" borderId="39" xfId="0" applyNumberFormat="1" applyFont="1" applyBorder="1"/>
    <xf numFmtId="0" fontId="48" fillId="39" borderId="34" xfId="0" applyFont="1" applyFill="1" applyBorder="1" applyAlignment="1">
      <alignment wrapText="1"/>
    </xf>
    <xf numFmtId="0" fontId="48" fillId="39" borderId="34" xfId="0" applyFont="1" applyFill="1" applyBorder="1" applyAlignment="1">
      <alignment horizontal="left" wrapText="1"/>
    </xf>
    <xf numFmtId="0" fontId="48" fillId="0" borderId="0" xfId="0" applyFont="1" applyAlignment="1">
      <alignment horizontal="right"/>
    </xf>
    <xf numFmtId="0" fontId="48" fillId="44" borderId="34" xfId="0" applyFont="1" applyFill="1" applyBorder="1" applyAlignment="1">
      <alignment wrapText="1"/>
    </xf>
    <xf numFmtId="0" fontId="48" fillId="44" borderId="34" xfId="0" applyFont="1" applyFill="1" applyBorder="1" applyAlignment="1">
      <alignment horizontal="left" wrapText="1"/>
    </xf>
    <xf numFmtId="0" fontId="34" fillId="0" borderId="43" xfId="55" applyFill="1" applyBorder="1">
      <alignment horizontal="left" vertical="center"/>
    </xf>
    <xf numFmtId="0" fontId="34" fillId="0" borderId="37" xfId="55" applyFill="1" applyBorder="1">
      <alignment horizontal="left" vertical="center"/>
    </xf>
    <xf numFmtId="0" fontId="34" fillId="0" borderId="48" xfId="55" applyFill="1" applyBorder="1">
      <alignment horizontal="left" vertical="center"/>
    </xf>
    <xf numFmtId="0" fontId="48" fillId="0" borderId="32" xfId="0" applyFont="1" applyBorder="1" applyAlignment="1">
      <alignment horizontal="right"/>
    </xf>
    <xf numFmtId="0" fontId="48" fillId="0" borderId="58" xfId="0" applyFont="1" applyBorder="1" applyAlignment="1">
      <alignment horizontal="right"/>
    </xf>
    <xf numFmtId="0" fontId="48" fillId="39" borderId="25" xfId="0" applyFont="1" applyFill="1" applyBorder="1" applyAlignment="1">
      <alignment horizontal="right"/>
    </xf>
    <xf numFmtId="167" fontId="48" fillId="0" borderId="42" xfId="0" applyNumberFormat="1" applyFont="1" applyBorder="1"/>
    <xf numFmtId="167" fontId="48" fillId="0" borderId="43" xfId="0" applyNumberFormat="1" applyFont="1" applyBorder="1"/>
    <xf numFmtId="167" fontId="48" fillId="0" borderId="44" xfId="0" applyNumberFormat="1" applyFont="1" applyBorder="1"/>
    <xf numFmtId="167" fontId="48" fillId="39" borderId="45" xfId="0" applyNumberFormat="1" applyFont="1" applyFill="1" applyBorder="1"/>
    <xf numFmtId="167" fontId="48" fillId="39" borderId="37" xfId="0" applyNumberFormat="1" applyFont="1" applyFill="1" applyBorder="1"/>
    <xf numFmtId="167" fontId="48" fillId="39" borderId="46" xfId="0" applyNumberFormat="1" applyFont="1" applyFill="1" applyBorder="1"/>
    <xf numFmtId="167" fontId="48" fillId="0" borderId="45" xfId="0" applyNumberFormat="1" applyFont="1" applyBorder="1"/>
    <xf numFmtId="167" fontId="48" fillId="0" borderId="37" xfId="0" applyNumberFormat="1" applyFont="1" applyBorder="1"/>
    <xf numFmtId="167" fontId="48" fillId="0" borderId="46" xfId="0" applyNumberFormat="1" applyFont="1" applyBorder="1"/>
    <xf numFmtId="167" fontId="48" fillId="39" borderId="47" xfId="0" applyNumberFormat="1" applyFont="1" applyFill="1" applyBorder="1"/>
    <xf numFmtId="167" fontId="48" fillId="39" borderId="48" xfId="0" applyNumberFormat="1" applyFont="1" applyFill="1" applyBorder="1"/>
    <xf numFmtId="167" fontId="48" fillId="39" borderId="49" xfId="0" applyNumberFormat="1" applyFont="1" applyFill="1" applyBorder="1"/>
    <xf numFmtId="0" fontId="48" fillId="44" borderId="25" xfId="0" applyFont="1" applyFill="1" applyBorder="1" applyAlignment="1">
      <alignment horizontal="right"/>
    </xf>
    <xf numFmtId="167" fontId="48" fillId="44" borderId="45" xfId="0" applyNumberFormat="1" applyFont="1" applyFill="1" applyBorder="1"/>
    <xf numFmtId="167" fontId="48" fillId="44" borderId="37" xfId="0" applyNumberFormat="1" applyFont="1" applyFill="1" applyBorder="1"/>
    <xf numFmtId="167" fontId="48" fillId="44" borderId="46" xfId="0" applyNumberFormat="1" applyFont="1" applyFill="1" applyBorder="1"/>
    <xf numFmtId="167" fontId="48" fillId="44" borderId="47" xfId="0" applyNumberFormat="1" applyFont="1" applyFill="1" applyBorder="1"/>
    <xf numFmtId="167" fontId="48" fillId="44" borderId="48" xfId="0" applyNumberFormat="1" applyFont="1" applyFill="1" applyBorder="1"/>
    <xf numFmtId="167" fontId="48" fillId="44" borderId="49" xfId="0" applyNumberFormat="1" applyFont="1" applyFill="1" applyBorder="1"/>
    <xf numFmtId="170" fontId="35" fillId="0" borderId="39" xfId="0" applyNumberFormat="1" applyFont="1" applyBorder="1"/>
    <xf numFmtId="170" fontId="35" fillId="0" borderId="24" xfId="0" applyNumberFormat="1" applyFont="1" applyBorder="1"/>
    <xf numFmtId="0" fontId="19" fillId="33" borderId="62" xfId="0" applyFont="1" applyFill="1" applyBorder="1" applyAlignment="1">
      <alignment horizontal="left"/>
    </xf>
    <xf numFmtId="0" fontId="35" fillId="47" borderId="61" xfId="0" applyFont="1" applyFill="1" applyBorder="1" applyAlignment="1">
      <alignment horizontal="right"/>
    </xf>
    <xf numFmtId="0" fontId="35" fillId="47" borderId="63" xfId="0" applyFont="1" applyFill="1" applyBorder="1" applyAlignment="1">
      <alignment horizontal="left" vertical="center"/>
    </xf>
    <xf numFmtId="0" fontId="38" fillId="0" borderId="64" xfId="0" applyFont="1" applyBorder="1" applyAlignment="1">
      <alignment horizontal="right"/>
    </xf>
    <xf numFmtId="0" fontId="38" fillId="38" borderId="65" xfId="0" applyFont="1" applyFill="1" applyBorder="1" applyAlignment="1">
      <alignment horizontal="right"/>
    </xf>
    <xf numFmtId="0" fontId="38" fillId="0" borderId="65" xfId="0" applyFont="1" applyBorder="1" applyAlignment="1">
      <alignment horizontal="right"/>
    </xf>
    <xf numFmtId="0" fontId="38" fillId="38" borderId="66" xfId="0" applyFont="1" applyFill="1" applyBorder="1" applyAlignment="1">
      <alignment horizontal="right"/>
    </xf>
    <xf numFmtId="10" fontId="0" fillId="0" borderId="37" xfId="0" applyNumberFormat="1" applyBorder="1"/>
    <xf numFmtId="10" fontId="0" fillId="0" borderId="43" xfId="0" applyNumberFormat="1" applyBorder="1"/>
    <xf numFmtId="167" fontId="0" fillId="0" borderId="47" xfId="0" applyNumberFormat="1" applyBorder="1"/>
    <xf numFmtId="167" fontId="0" fillId="0" borderId="48" xfId="0" applyNumberFormat="1" applyBorder="1"/>
    <xf numFmtId="10" fontId="0" fillId="0" borderId="48" xfId="0" applyNumberFormat="1" applyBorder="1"/>
    <xf numFmtId="167" fontId="0" fillId="0" borderId="49" xfId="0" applyNumberFormat="1" applyBorder="1"/>
    <xf numFmtId="0" fontId="49" fillId="0" borderId="0" xfId="57" applyFont="1" applyAlignment="1"/>
    <xf numFmtId="0" fontId="37" fillId="0" borderId="0" xfId="0" applyFont="1" applyFill="1"/>
    <xf numFmtId="0" fontId="44" fillId="48" borderId="37" xfId="61" applyFont="1" applyFill="1" applyBorder="1"/>
    <xf numFmtId="0" fontId="37" fillId="0" borderId="0" xfId="0" applyFont="1"/>
    <xf numFmtId="0" fontId="33" fillId="0" borderId="0" xfId="0" applyFont="1"/>
    <xf numFmtId="0" fontId="51" fillId="48" borderId="0" xfId="0" applyFont="1" applyFill="1"/>
    <xf numFmtId="0" fontId="52" fillId="0" borderId="0" xfId="57" applyFont="1" applyFill="1"/>
    <xf numFmtId="0" fontId="52" fillId="0" borderId="0" xfId="57" applyFont="1"/>
    <xf numFmtId="0" fontId="50" fillId="0" borderId="0" xfId="57" applyFont="1" applyAlignment="1"/>
    <xf numFmtId="0" fontId="53" fillId="0" borderId="0" xfId="0" applyFont="1"/>
  </cellXfs>
  <cellStyles count="6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57" builtinId="8"/>
    <cellStyle name="Input" xfId="9" builtinId="20" customBuiltin="1"/>
    <cellStyle name="Linked Cell" xfId="12" builtinId="24" customBuiltin="1"/>
    <cellStyle name="Neutral" xfId="8" builtinId="28" customBuiltin="1"/>
    <cellStyle name="Normal" xfId="0" builtinId="0" customBuiltin="1"/>
    <cellStyle name="Normal 2 2 2" xfId="61" xr:uid="{1A7D07F0-5F16-4ADB-B10F-F509F11666C0}"/>
    <cellStyle name="Note" xfId="15" builtinId="10" customBuiltin="1"/>
    <cellStyle name="Output" xfId="10" builtinId="21" customBuiltin="1"/>
    <cellStyle name="sCurrency" xfId="45" xr:uid="{00000000-0005-0000-0000-000028000000}"/>
    <cellStyle name="sDate" xfId="50" xr:uid="{00000000-0005-0000-0000-000029000000}"/>
    <cellStyle name="sDecimal" xfId="43" xr:uid="{00000000-0005-0000-0000-00002A000000}"/>
    <cellStyle name="sInteger" xfId="44" xr:uid="{00000000-0005-0000-0000-00002B000000}"/>
    <cellStyle name="sLongDate" xfId="51" xr:uid="{00000000-0005-0000-0000-00002C000000}"/>
    <cellStyle name="sLongTime" xfId="53" xr:uid="{00000000-0005-0000-0000-00002D000000}"/>
    <cellStyle name="sMediumDate" xfId="52" xr:uid="{00000000-0005-0000-0000-00002E000000}"/>
    <cellStyle name="sMediumTime" xfId="54" xr:uid="{00000000-0005-0000-0000-00002F000000}"/>
    <cellStyle name="sNumber" xfId="42" xr:uid="{00000000-0005-0000-0000-000030000000}"/>
    <cellStyle name="sPercent" xfId="46" xr:uid="{00000000-0005-0000-0000-000031000000}"/>
    <cellStyle name="sPhone" xfId="58" xr:uid="{00000000-0005-0000-0000-000032000000}"/>
    <cellStyle name="sPhoneExt" xfId="59" xr:uid="{00000000-0005-0000-0000-000033000000}"/>
    <cellStyle name="sRichText" xfId="56" xr:uid="{00000000-0005-0000-0000-000034000000}"/>
    <cellStyle name="sShortDate" xfId="48" xr:uid="{00000000-0005-0000-0000-000035000000}"/>
    <cellStyle name="sShortTime" xfId="49" xr:uid="{00000000-0005-0000-0000-000036000000}"/>
    <cellStyle name="sStandard" xfId="47" xr:uid="{00000000-0005-0000-0000-000037000000}"/>
    <cellStyle name="sText" xfId="55" xr:uid="{00000000-0005-0000-0000-000038000000}"/>
    <cellStyle name="sZip" xfId="60" xr:uid="{00000000-0005-0000-0000-000039000000}"/>
    <cellStyle name="Title" xfId="1" builtinId="15" customBuiltin="1"/>
    <cellStyle name="Total" xfId="17" builtinId="25" customBuiltin="1"/>
    <cellStyle name="Warning Text" xfId="14" builtinId="11" customBuiltin="1"/>
  </cellStyles>
  <dxfs count="509">
    <dxf>
      <numFmt numFmtId="3" formatCode="#,##0"/>
    </dxf>
    <dxf>
      <fill>
        <patternFill patternType="solid">
          <fgColor indexed="64"/>
          <bgColor theme="0" tint="-0.34998626667073579"/>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3" formatCode="#,##0"/>
    </dxf>
    <dxf>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3" formatCode="#,##0"/>
    </dxf>
    <dxf>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3" formatCode="#,##0"/>
    </dxf>
    <dxf>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3" formatCode="#,##0"/>
    </dxf>
    <dxf>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3" formatCode="#,##0"/>
    </dxf>
    <dxf>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3" formatCode="#,##0"/>
    </dxf>
    <dxf>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3" formatCode="#,##0"/>
    </dxf>
    <dxf>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3" formatCode="#,##0"/>
    </dxf>
    <dxf>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3" formatCode="#,##0"/>
    </dxf>
    <dxf>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3" formatCode="#,##0"/>
    </dxf>
    <dxf>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3" formatCode="#,##0"/>
    </dxf>
    <dxf>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3" formatCode="#,##0"/>
    </dxf>
    <dxf>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3" formatCode="#,##0"/>
    </dxf>
    <dxf>
      <fill>
        <patternFill patternType="solid">
          <fgColor indexed="64"/>
          <bgColor theme="0" tint="-0.34998626667073579"/>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3" formatCode="#,##0"/>
    </dxf>
    <dxf>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3" formatCode="#,##0"/>
    </dxf>
    <dxf>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3" formatCode="#,##0"/>
    </dxf>
    <dxf>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3" formatCode="#,##0"/>
    </dxf>
    <dxf>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3" formatCode="#,##0"/>
    </dxf>
    <dxf>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3" formatCode="#,##0"/>
    </dxf>
    <dxf>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3" formatCode="#,##0"/>
    </dxf>
    <dxf>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3" formatCode="#,##0"/>
    </dxf>
    <dxf>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3" formatCode="#,##0"/>
    </dxf>
    <dxf>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3" formatCode="#,##0"/>
    </dxf>
    <dxf>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3" formatCode="#,##0"/>
    </dxf>
    <dxf>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3" formatCode="#,##0"/>
    </dxf>
    <dxf>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168" formatCode="&quot;$&quot;#,##0"/>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168" formatCode="&quot;$&quot;#,##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68" formatCode="&quot;$&quot;#,##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68" formatCode="&quot;$&quot;#,##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68" formatCode="&quot;$&quot;#,##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68" formatCode="&quot;$&quot;#,##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68" formatCode="&quot;$&quot;#,##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68" formatCode="&quot;$&quot;#,##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68" formatCode="&quot;$&quot;#,##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68" formatCode="&quot;$&quot;#,##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tint="-0.34998626667073579"/>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family val="2"/>
        <scheme val="none"/>
      </font>
      <fill>
        <patternFill patternType="solid">
          <fgColor indexed="64"/>
          <bgColor rgb="FFEEEEEE"/>
        </patternFill>
      </fill>
      <alignment horizontal="left" vertical="bottom" textRotation="0" wrapText="0" indent="0" justifyLastLine="0" shrinkToFit="0" readingOrder="0"/>
      <border diagonalUp="0" diagonalDown="0">
        <left style="medium">
          <color auto="1"/>
        </left>
        <right/>
        <top style="medium">
          <color auto="1"/>
        </top>
        <bottom style="medium">
          <color auto="1"/>
        </bottom>
        <vertical/>
        <horizontal/>
      </border>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font>
        <b/>
        <i val="0"/>
        <strike val="0"/>
        <condense val="0"/>
        <extend val="0"/>
        <outline val="0"/>
        <shadow val="0"/>
        <u val="none"/>
        <vertAlign val="baseline"/>
        <sz val="10"/>
        <color theme="1"/>
        <name val="Arial"/>
        <family val="2"/>
        <scheme val="none"/>
      </font>
      <fill>
        <patternFill patternType="solid">
          <fgColor indexed="64"/>
          <bgColor theme="0" tint="-4.9989318521683403E-2"/>
        </patternFill>
      </fill>
      <alignment horizontal="general" vertical="bottom" textRotation="0" wrapText="1"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0"/>
        <color auto="1"/>
        <name val="Arial"/>
        <family val="2"/>
        <scheme val="none"/>
      </font>
      <alignment horizontal="left"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family val="2"/>
        <scheme val="none"/>
      </font>
      <alignment horizontal="left"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family val="2"/>
        <scheme val="none"/>
      </font>
      <alignment horizontal="left"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family val="2"/>
        <scheme val="none"/>
      </font>
      <alignment horizontal="left"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family val="2"/>
        <scheme val="none"/>
      </font>
      <alignment horizontal="left"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family val="2"/>
        <scheme val="none"/>
      </font>
      <alignment horizontal="left"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family val="2"/>
        <scheme val="none"/>
      </font>
      <alignment horizontal="left"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family val="2"/>
        <scheme val="none"/>
      </font>
      <alignment horizontal="left"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family val="2"/>
        <scheme val="none"/>
      </font>
      <alignment horizontal="left"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family val="2"/>
        <scheme val="none"/>
      </font>
      <alignment horizontal="left"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family val="2"/>
        <scheme val="none"/>
      </font>
      <alignment horizontal="left"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family val="2"/>
        <scheme val="none"/>
      </font>
      <alignment horizontal="left"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family val="2"/>
        <scheme val="none"/>
      </font>
      <alignment horizontal="left"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family val="2"/>
        <scheme val="none"/>
      </font>
      <numFmt numFmtId="3" formatCode="#,##0"/>
      <alignment horizontal="right" vertical="bottom" textRotation="0" wrapText="0" indent="0" justifyLastLine="0" shrinkToFit="0" readingOrder="0"/>
      <border diagonalUp="0" diagonalDown="0" outline="0">
        <left/>
        <right/>
        <top/>
        <bottom/>
      </border>
    </dxf>
    <dxf>
      <alignment horizontal="right" vertical="bottom" textRotation="0" wrapText="0" indent="0" justifyLastLine="0" shrinkToFit="0" readingOrder="0"/>
    </dxf>
    <dxf>
      <numFmt numFmtId="168" formatCode="&quot;$&quot;#,##0"/>
      <alignment horizontal="right" vertical="bottom" textRotation="0" wrapText="0" indent="0" justifyLastLine="0" shrinkToFit="0" readingOrder="0"/>
    </dxf>
    <dxf>
      <numFmt numFmtId="168" formatCode="&quot;$&quot;#,##0"/>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center" textRotation="0" wrapText="0" indent="0" justifyLastLine="0" shrinkToFit="0" readingOrder="0"/>
    </dxf>
    <dxf>
      <font>
        <b/>
        <i val="0"/>
        <strike val="0"/>
        <condense val="0"/>
        <extend val="0"/>
        <outline val="0"/>
        <shadow val="0"/>
        <u val="none"/>
        <vertAlign val="baseline"/>
        <sz val="10"/>
        <color auto="1"/>
        <name val="Arial"/>
        <family val="2"/>
        <scheme val="none"/>
      </font>
      <fill>
        <patternFill patternType="solid">
          <fgColor indexed="64"/>
          <bgColor rgb="FFEEEEEE"/>
        </patternFill>
      </fill>
      <alignment horizontal="left" vertical="bottom" textRotation="0" wrapText="0" indent="0" justifyLastLine="0" shrinkToFit="0" readingOrder="0"/>
      <border diagonalUp="0" diagonalDown="0">
        <left style="medium">
          <color auto="1"/>
        </left>
        <right style="medium">
          <color auto="1"/>
        </right>
        <top style="medium">
          <color auto="1"/>
        </top>
        <bottom style="medium">
          <color auto="1"/>
        </bottom>
        <vertical/>
        <horizontal/>
      </border>
    </dxf>
    <dxf>
      <font>
        <b val="0"/>
        <i val="0"/>
        <strike val="0"/>
        <condense val="0"/>
        <extend val="0"/>
        <outline val="0"/>
        <shadow val="0"/>
        <u val="none"/>
        <vertAlign val="baseline"/>
        <sz val="10"/>
        <color auto="1"/>
        <name val="Arial"/>
        <family val="2"/>
        <scheme val="none"/>
      </font>
      <alignment horizontal="left" vertical="center" textRotation="0" wrapText="0" indent="0" justifyLastLine="0" shrinkToFit="0" readingOrder="0"/>
      <border diagonalUp="0" diagonalDown="0" outline="0">
        <left/>
        <right/>
        <top/>
        <bottom/>
      </border>
    </dxf>
    <dxf>
      <border outline="0">
        <top style="medium">
          <color auto="1"/>
        </top>
      </border>
    </dxf>
    <dxf>
      <border outline="0">
        <bottom style="medium">
          <color auto="1"/>
        </bottom>
      </border>
    </dxf>
    <dxf>
      <font>
        <b/>
        <i val="0"/>
        <strike val="0"/>
        <condense val="0"/>
        <extend val="0"/>
        <outline val="0"/>
        <shadow val="0"/>
        <u val="none"/>
        <vertAlign val="baseline"/>
        <sz val="10"/>
        <color theme="1"/>
        <name val="Arial"/>
        <scheme val="none"/>
      </font>
      <fill>
        <patternFill patternType="solid">
          <fgColor indexed="64"/>
          <bgColor rgb="FFEEEEEE"/>
        </patternFill>
      </fill>
      <alignment horizontal="left" vertical="bottom" textRotation="0" wrapText="1" indent="0" justifyLastLine="0" shrinkToFit="0" readingOrder="0"/>
      <border diagonalUp="0" diagonalDown="0" outline="0">
        <left style="medium">
          <color auto="1"/>
        </left>
        <right style="medium">
          <color auto="1"/>
        </right>
        <top/>
        <bottom/>
      </border>
    </dxf>
    <dxf>
      <numFmt numFmtId="3" formatCode="#,##0"/>
    </dxf>
    <dxf>
      <alignment horizontal="right" vertical="center" textRotation="0" wrapText="0" indent="0" justifyLastLine="0" shrinkToFit="0" readingOrder="0"/>
    </dxf>
    <dxf>
      <alignment horizontal="right" vertical="bottom" textRotation="0" wrapText="0" indent="0" justifyLastLine="0" shrinkToFit="0" readingOrder="0"/>
    </dxf>
    <dxf>
      <alignment horizontal="right" vertical="center" textRotation="0" wrapText="0" indent="0" justifyLastLine="0" shrinkToFit="0" readingOrder="0"/>
    </dxf>
    <dxf>
      <numFmt numFmtId="2" formatCode="0.00"/>
      <alignment horizontal="right" vertical="bottom" textRotation="0" wrapText="0" indent="0" justifyLastLine="0" shrinkToFit="0" readingOrder="0"/>
    </dxf>
    <dxf>
      <numFmt numFmtId="2" formatCode="0.00"/>
      <alignment horizontal="right" vertical="bottom" textRotation="0" wrapText="0" indent="0" justifyLastLine="0" shrinkToFit="0" readingOrder="0"/>
    </dxf>
    <dxf>
      <alignment horizontal="right" vertical="bottom" textRotation="0" wrapText="0" indent="0" justifyLastLine="0" shrinkToFit="0" readingOrder="0"/>
    </dxf>
    <dxf>
      <numFmt numFmtId="2" formatCode="0.00"/>
      <alignment horizontal="right" vertical="bottom" textRotation="0" wrapText="0" indent="0" justifyLastLine="0" shrinkToFit="0" readingOrder="0"/>
    </dxf>
    <dxf>
      <numFmt numFmtId="2" formatCode="0.00"/>
      <alignment horizontal="right" vertical="bottom" textRotation="0" wrapText="0" indent="0" justifyLastLine="0" shrinkToFit="0" readingOrder="0"/>
    </dxf>
    <dxf>
      <alignment horizontal="right" vertical="bottom" textRotation="0" wrapText="0" indent="0" justifyLastLine="0" shrinkToFit="0" readingOrder="0"/>
    </dxf>
    <dxf>
      <numFmt numFmtId="2" formatCode="0.00"/>
      <alignment horizontal="right" vertical="bottom" textRotation="0" wrapText="0" indent="0" justifyLastLine="0" shrinkToFit="0" readingOrder="0"/>
    </dxf>
    <dxf>
      <numFmt numFmtId="2" formatCode="0.00"/>
      <alignment horizontal="right" vertical="bottom" textRotation="0" wrapText="0" indent="0" justifyLastLine="0" shrinkToFit="0" readingOrder="0"/>
    </dxf>
    <dxf>
      <alignment horizontal="right" vertical="bottom" textRotation="0" wrapText="0" indent="0" justifyLastLine="0" shrinkToFit="0" readingOrder="0"/>
    </dxf>
    <dxf>
      <numFmt numFmtId="4" formatCode="#,##0.00"/>
      <alignment horizontal="right" vertical="bottom" textRotation="0" wrapText="0" indent="0" justifyLastLine="0" shrinkToFit="0" readingOrder="0"/>
    </dxf>
    <dxf>
      <numFmt numFmtId="4" formatCode="#,##0.00"/>
      <alignment horizontal="right" vertical="bottom" textRotation="0" wrapText="0" indent="0" justifyLastLine="0" shrinkToFit="0" readingOrder="0"/>
    </dxf>
    <dxf>
      <alignment horizontal="right" vertical="bottom" textRotation="0" wrapText="0" indent="0" justifyLastLine="0" shrinkToFit="0" readingOrder="0"/>
    </dxf>
    <dxf>
      <numFmt numFmtId="2" formatCode="0.00"/>
      <alignment horizontal="right" vertical="bottom" textRotation="0" wrapText="0" indent="0" justifyLastLine="0" shrinkToFit="0" readingOrder="0"/>
    </dxf>
    <dxf>
      <numFmt numFmtId="2" formatCode="0.00"/>
      <alignment horizontal="right" vertical="bottom" textRotation="0" wrapText="0" indent="0" justifyLastLine="0" shrinkToFit="0" readingOrder="0"/>
    </dxf>
    <dxf>
      <alignment horizontal="right" vertical="bottom" textRotation="0" wrapText="0" indent="0" justifyLastLine="0" shrinkToFit="0" readingOrder="0"/>
    </dxf>
    <dxf>
      <numFmt numFmtId="3" formatCode="#,##0"/>
    </dxf>
    <dxf>
      <alignment horizontal="right" vertical="bottom" textRotation="0" wrapText="0" indent="0" justifyLastLine="0" shrinkToFit="0" readingOrder="0"/>
    </dxf>
    <dxf>
      <alignment horizontal="general" vertical="bottom" textRotation="0" wrapText="0" indent="0" justifyLastLine="0" shrinkToFit="0" readingOrder="0"/>
    </dxf>
    <dxf>
      <alignment horizontal="general" vertical="center" textRotation="0" wrapText="0" indent="0" justifyLastLine="0" shrinkToFit="0" readingOrder="0"/>
    </dxf>
    <dxf>
      <font>
        <b/>
        <i val="0"/>
        <strike val="0"/>
        <condense val="0"/>
        <extend val="0"/>
        <outline val="0"/>
        <shadow val="0"/>
        <u val="none"/>
        <vertAlign val="baseline"/>
        <sz val="10"/>
        <color auto="1"/>
        <name val="Arial"/>
        <family val="2"/>
        <scheme val="none"/>
      </font>
      <fill>
        <patternFill patternType="solid">
          <fgColor indexed="64"/>
          <bgColor rgb="FFEEEEEE"/>
        </patternFill>
      </fill>
      <alignment horizontal="left" vertical="bottom" textRotation="0" wrapText="0" indent="0" justifyLastLine="0" shrinkToFit="0" readingOrder="0"/>
      <border diagonalUp="0" diagonalDown="0">
        <left/>
        <right style="medium">
          <color auto="1"/>
        </right>
        <top style="medium">
          <color auto="1"/>
        </top>
        <bottom style="medium">
          <color auto="1"/>
        </bottom>
        <vertical/>
        <horizontal/>
      </border>
    </dxf>
    <dxf>
      <border outline="0">
        <left style="medium">
          <color auto="1"/>
        </left>
        <top style="medium">
          <color auto="1"/>
        </top>
      </border>
    </dxf>
    <dxf>
      <border outline="0">
        <bottom style="medium">
          <color auto="1"/>
        </bottom>
      </border>
    </dxf>
    <dxf>
      <font>
        <b/>
        <i val="0"/>
        <strike val="0"/>
        <condense val="0"/>
        <extend val="0"/>
        <outline val="0"/>
        <shadow val="0"/>
        <u val="none"/>
        <vertAlign val="baseline"/>
        <sz val="10"/>
        <color theme="1"/>
        <name val="Arial"/>
        <scheme val="none"/>
      </font>
      <fill>
        <patternFill patternType="solid">
          <fgColor indexed="64"/>
          <bgColor rgb="FFEEEEEE"/>
        </patternFill>
      </fill>
      <alignment horizontal="left" vertical="bottom" textRotation="0" wrapText="1" indent="0" justifyLastLine="0" shrinkToFit="0" readingOrder="0"/>
      <border diagonalUp="0" diagonalDown="0" outline="0">
        <left style="medium">
          <color auto="1"/>
        </left>
        <right style="medium">
          <color auto="1"/>
        </right>
        <top/>
        <bottom/>
      </border>
    </dxf>
    <dxf>
      <font>
        <b val="0"/>
        <i val="0"/>
        <strike val="0"/>
        <condense val="0"/>
        <extend val="0"/>
        <outline val="0"/>
        <shadow val="0"/>
        <u val="none"/>
        <vertAlign val="baseline"/>
        <sz val="10"/>
        <color auto="1"/>
        <name val="Arial"/>
        <family val="2"/>
        <scheme val="none"/>
      </font>
      <alignment horizontal="left" vertical="center" textRotation="0" wrapText="1" indent="0" justifyLastLine="0" shrinkToFit="0" readingOrder="0"/>
      <border diagonalUp="0" diagonalDown="0" outline="0">
        <left/>
        <right/>
        <top/>
        <bottom/>
      </border>
    </dxf>
    <dxf>
      <alignment horizontal="lef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68" formatCode="&quot;$&quot;#,##0"/>
      <alignment horizontal="left" vertical="center" textRotation="0" wrapText="1" indent="0" justifyLastLine="0" shrinkToFit="0" readingOrder="0"/>
      <border diagonalUp="0" diagonalDown="0" outline="0">
        <left/>
        <right/>
        <top/>
        <bottom/>
      </border>
    </dxf>
    <dxf>
      <numFmt numFmtId="168" formatCode="&quot;$&quot;#,##0"/>
      <alignment horizontal="lef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left"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family val="2"/>
        <scheme val="none"/>
      </font>
      <alignment horizontal="left"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family val="2"/>
        <scheme val="none"/>
      </font>
      <alignment horizontal="left"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family val="2"/>
        <scheme val="none"/>
      </font>
      <alignment horizontal="left"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family val="2"/>
        <scheme val="none"/>
      </font>
      <alignment horizontal="left"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family val="2"/>
        <scheme val="none"/>
      </font>
      <numFmt numFmtId="3" formatCode="#,##0"/>
      <border diagonalUp="0" diagonalDown="0" outline="0">
        <left/>
        <right/>
        <top/>
        <bottom/>
      </border>
    </dxf>
    <dxf>
      <font>
        <b/>
        <i val="0"/>
        <strike val="0"/>
        <condense val="0"/>
        <extend val="0"/>
        <outline val="0"/>
        <shadow val="0"/>
        <u val="none"/>
        <vertAlign val="baseline"/>
        <sz val="10"/>
        <color auto="1"/>
        <name val="Arial"/>
        <family val="2"/>
        <scheme val="none"/>
      </font>
      <fill>
        <patternFill patternType="solid">
          <fgColor indexed="64"/>
          <bgColor rgb="FFEEEEEE"/>
        </patternFill>
      </fill>
      <alignment horizontal="left" vertical="bottom" textRotation="0" wrapText="0" indent="0" justifyLastLine="0" shrinkToFit="0" readingOrder="0"/>
      <border diagonalUp="0" diagonalDown="0">
        <left style="medium">
          <color auto="1"/>
        </left>
        <right style="medium">
          <color auto="1"/>
        </right>
        <top style="medium">
          <color auto="1"/>
        </top>
        <bottom style="medium">
          <color auto="1"/>
        </bottom>
        <vertical/>
        <horizontal/>
      </border>
    </dxf>
    <dxf>
      <font>
        <b val="0"/>
        <i val="0"/>
        <strike val="0"/>
        <condense val="0"/>
        <extend val="0"/>
        <outline val="0"/>
        <shadow val="0"/>
        <u val="none"/>
        <vertAlign val="baseline"/>
        <sz val="10"/>
        <color auto="1"/>
        <name val="Arial"/>
        <family val="2"/>
        <scheme val="none"/>
      </font>
      <alignment horizontal="left" vertical="center" textRotation="0" wrapText="0" indent="0" justifyLastLine="0" shrinkToFit="0" readingOrder="0"/>
      <border diagonalUp="0" diagonalDown="0" outline="0">
        <left/>
        <right/>
        <top/>
        <bottom/>
      </border>
    </dxf>
    <dxf>
      <border outline="0">
        <top style="medium">
          <color auto="1"/>
        </top>
      </border>
    </dxf>
    <dxf>
      <border outline="0">
        <bottom style="medium">
          <color auto="1"/>
        </bottom>
      </border>
    </dxf>
    <dxf>
      <font>
        <b/>
        <i val="0"/>
        <strike val="0"/>
        <condense val="0"/>
        <extend val="0"/>
        <outline val="0"/>
        <shadow val="0"/>
        <u val="none"/>
        <vertAlign val="baseline"/>
        <sz val="10"/>
        <color theme="1"/>
        <name val="Arial"/>
        <scheme val="none"/>
      </font>
      <fill>
        <patternFill patternType="solid">
          <fgColor indexed="64"/>
          <bgColor rgb="FFEEEEEE"/>
        </patternFill>
      </fill>
      <alignment horizontal="left" vertical="bottom" textRotation="0" wrapText="1" indent="0" justifyLastLine="0" shrinkToFit="0" readingOrder="0"/>
      <border diagonalUp="0" diagonalDown="0" outline="0">
        <left style="medium">
          <color auto="1"/>
        </left>
        <right style="medium">
          <color auto="1"/>
        </right>
        <top/>
        <bottom/>
      </border>
    </dxf>
    <dxf>
      <numFmt numFmtId="168" formatCode="&quot;$&quot;#,##0"/>
      <alignment horizontal="right" textRotation="0" wrapText="0" indent="0" justifyLastLine="0" shrinkToFit="0" readingOrder="0"/>
    </dxf>
    <dxf>
      <numFmt numFmtId="168" formatCode="&quot;$&quot;#,##0"/>
      <alignment horizontal="right" textRotation="0" wrapText="0" indent="0" justifyLastLine="0" shrinkToFit="0" readingOrder="0"/>
    </dxf>
    <dxf>
      <numFmt numFmtId="168" formatCode="&quot;$&quot;#,##0"/>
      <alignment horizontal="right" textRotation="0" wrapText="0" indent="0" justifyLastLine="0" shrinkToFit="0" readingOrder="0"/>
    </dxf>
    <dxf>
      <numFmt numFmtId="168" formatCode="&quot;$&quot;#,##0"/>
      <alignment horizontal="right" textRotation="0" wrapText="0" indent="0" justifyLastLine="0" shrinkToFit="0" readingOrder="0"/>
    </dxf>
    <dxf>
      <numFmt numFmtId="168" formatCode="&quot;$&quot;#,##0"/>
      <alignment horizontal="right" textRotation="0" wrapText="0" indent="0" justifyLastLine="0" shrinkToFit="0" readingOrder="0"/>
    </dxf>
    <dxf>
      <numFmt numFmtId="168" formatCode="&quot;$&quot;#,##0"/>
      <alignment horizontal="right" vertical="bottom" textRotation="0" wrapText="0" indent="0" justifyLastLine="0" shrinkToFit="0" readingOrder="0"/>
    </dxf>
    <dxf>
      <numFmt numFmtId="168" formatCode="&quot;$&quot;#,##0"/>
      <alignment horizontal="right" vertical="bottom" textRotation="0" wrapText="0" indent="0" justifyLastLine="0" shrinkToFit="0" readingOrder="0"/>
    </dxf>
    <dxf>
      <numFmt numFmtId="168" formatCode="&quot;$&quot;#,##0"/>
      <alignment horizontal="right" vertical="bottom" textRotation="0" wrapText="0" indent="0" justifyLastLine="0" shrinkToFit="0" readingOrder="0"/>
    </dxf>
    <dxf>
      <numFmt numFmtId="168" formatCode="&quot;$&quot;#,##0"/>
      <alignment horizontal="right" vertical="bottom" textRotation="0" wrapText="0" indent="0" justifyLastLine="0" shrinkToFit="0" readingOrder="0"/>
    </dxf>
    <dxf>
      <numFmt numFmtId="168" formatCode="&quot;$&quot;#,##0"/>
      <alignment horizontal="right" vertical="bottom" textRotation="0" wrapText="0" indent="0" justifyLastLine="0" shrinkToFit="0" readingOrder="0"/>
    </dxf>
    <dxf>
      <font>
        <b/>
        <i val="0"/>
        <strike val="0"/>
        <condense val="0"/>
        <extend val="0"/>
        <outline val="0"/>
        <shadow val="0"/>
        <u val="none"/>
        <vertAlign val="baseline"/>
        <sz val="10"/>
        <color auto="1"/>
        <name val="Arial"/>
        <family val="2"/>
        <scheme val="none"/>
      </font>
      <fill>
        <patternFill patternType="solid">
          <fgColor indexed="64"/>
          <bgColor rgb="FFEEEEEE"/>
        </patternFill>
      </fill>
      <alignment horizontal="left" vertical="bottom" textRotation="0" wrapText="0" indent="0" justifyLastLine="0" shrinkToFit="0" readingOrder="0"/>
      <border diagonalUp="0" diagonalDown="0">
        <left style="medium">
          <color auto="1"/>
        </left>
        <right style="medium">
          <color auto="1"/>
        </right>
        <top style="medium">
          <color auto="1"/>
        </top>
        <bottom style="medium">
          <color auto="1"/>
        </bottom>
        <vertical/>
        <horizontal/>
      </border>
    </dxf>
    <dxf>
      <font>
        <b val="0"/>
        <i val="0"/>
        <strike val="0"/>
        <condense val="0"/>
        <extend val="0"/>
        <outline val="0"/>
        <shadow val="0"/>
        <u val="none"/>
        <vertAlign val="baseline"/>
        <sz val="10"/>
        <color auto="1"/>
        <name val="Arial"/>
        <family val="2"/>
        <scheme val="none"/>
      </font>
      <alignment horizontal="left" vertical="center" textRotation="0" wrapText="0" indent="0" justifyLastLine="0" shrinkToFit="0" readingOrder="0"/>
      <border diagonalUp="0" diagonalDown="0" outline="0">
        <left/>
        <right/>
        <top/>
        <bottom/>
      </border>
    </dxf>
    <dxf>
      <border outline="0">
        <top style="medium">
          <color auto="1"/>
        </top>
      </border>
    </dxf>
    <dxf>
      <border outline="0">
        <bottom style="medium">
          <color auto="1"/>
        </bottom>
      </border>
    </dxf>
    <dxf>
      <font>
        <b/>
        <i val="0"/>
        <strike val="0"/>
        <condense val="0"/>
        <extend val="0"/>
        <outline val="0"/>
        <shadow val="0"/>
        <u val="none"/>
        <vertAlign val="baseline"/>
        <sz val="12"/>
        <color theme="1"/>
        <name val="Arial"/>
        <family val="2"/>
        <scheme val="none"/>
      </font>
      <fill>
        <patternFill patternType="solid">
          <fgColor indexed="64"/>
          <bgColor rgb="FFEEEEEE"/>
        </patternFill>
      </fill>
      <alignment horizontal="left" vertical="bottom" textRotation="0" wrapText="1" indent="0" justifyLastLine="0" shrinkToFit="0" readingOrder="0"/>
      <border diagonalUp="0" diagonalDown="0" outline="0">
        <left style="medium">
          <color auto="1"/>
        </left>
        <right style="medium">
          <color auto="1"/>
        </right>
        <top/>
        <bottom/>
      </border>
    </dxf>
    <dxf>
      <numFmt numFmtId="170" formatCode="&quot;$&quot;#,##0.00"/>
    </dxf>
    <dxf>
      <numFmt numFmtId="168" formatCode="&quot;$&quot;#,##0"/>
    </dxf>
    <dxf>
      <numFmt numFmtId="168" formatCode="&quot;$&quot;#,##0"/>
    </dxf>
    <dxf>
      <numFmt numFmtId="168" formatCode="&quot;$&quot;#,##0"/>
    </dxf>
    <dxf>
      <numFmt numFmtId="168" formatCode="&quot;$&quot;#,##0"/>
    </dxf>
    <dxf>
      <numFmt numFmtId="168" formatCode="&quot;$&quot;#,##0"/>
    </dxf>
    <dxf>
      <numFmt numFmtId="168" formatCode="&quot;$&quot;#,##0"/>
    </dxf>
    <dxf>
      <numFmt numFmtId="168" formatCode="&quot;$&quot;#,##0"/>
    </dxf>
    <dxf>
      <numFmt numFmtId="168" formatCode="&quot;$&quot;#,##0"/>
    </dxf>
    <dxf>
      <numFmt numFmtId="168" formatCode="&quot;$&quot;#,##0"/>
    </dxf>
    <dxf>
      <font>
        <b val="0"/>
        <i val="0"/>
        <strike val="0"/>
        <condense val="0"/>
        <extend val="0"/>
        <outline val="0"/>
        <shadow val="0"/>
        <u val="none"/>
        <vertAlign val="baseline"/>
        <sz val="14"/>
        <color auto="1"/>
        <name val="Arial"/>
        <family val="2"/>
        <scheme val="none"/>
      </font>
      <fill>
        <patternFill patternType="solid">
          <fgColor indexed="64"/>
          <bgColor theme="0" tint="-4.9989318521683403E-2"/>
        </patternFill>
      </fill>
      <alignment horizontal="left" vertical="center" textRotation="0" wrapText="0" indent="0" justifyLastLine="0" shrinkToFit="0" readingOrder="0"/>
      <border diagonalUp="0" diagonalDown="0" outline="0">
        <left/>
        <right style="medium">
          <color indexed="64"/>
        </right>
        <top style="medium">
          <color indexed="64"/>
        </top>
        <bottom style="medium">
          <color indexed="64"/>
        </bottom>
      </border>
    </dxf>
    <dxf>
      <font>
        <b/>
        <i val="0"/>
        <strike val="0"/>
        <condense val="0"/>
        <extend val="0"/>
        <outline val="0"/>
        <shadow val="0"/>
        <u val="none"/>
        <vertAlign val="baseline"/>
        <sz val="14"/>
        <color auto="1"/>
        <name val="Arial"/>
        <family val="2"/>
        <scheme val="none"/>
      </font>
      <fill>
        <patternFill patternType="solid">
          <fgColor indexed="64"/>
          <bgColor theme="0" tint="-4.9989318521683403E-2"/>
        </patternFill>
      </fill>
      <alignment horizontal="right" vertical="bottom" textRotation="0" wrapText="0" indent="0" justifyLastLine="0" shrinkToFit="0" readingOrder="0"/>
      <border diagonalUp="0" diagonalDown="0" outline="0">
        <left style="medium">
          <color indexed="64"/>
        </left>
        <right/>
        <top style="medium">
          <color indexed="64"/>
        </top>
        <bottom style="medium">
          <color indexed="64"/>
        </bottom>
      </border>
    </dxf>
    <dxf>
      <font>
        <b/>
        <i val="0"/>
        <strike val="0"/>
        <condense val="0"/>
        <extend val="0"/>
        <outline val="0"/>
        <shadow val="0"/>
        <u val="none"/>
        <vertAlign val="baseline"/>
        <sz val="10"/>
        <color auto="1"/>
        <name val="Arial"/>
        <family val="2"/>
        <scheme val="none"/>
      </font>
      <fill>
        <patternFill patternType="solid">
          <fgColor indexed="64"/>
          <bgColor rgb="FFEEEEEE"/>
        </patternFill>
      </fill>
      <alignment horizontal="left" vertical="bottom" textRotation="0" wrapText="0" indent="0" justifyLastLine="0" shrinkToFit="0" readingOrder="0"/>
      <border diagonalUp="0" diagonalDown="0">
        <left style="medium">
          <color auto="1"/>
        </left>
        <right style="medium">
          <color auto="1"/>
        </right>
        <top style="medium">
          <color auto="1"/>
        </top>
        <bottom style="medium">
          <color auto="1"/>
        </bottom>
        <vertical/>
        <horizontal/>
      </border>
    </dxf>
    <dxf>
      <font>
        <b val="0"/>
        <i val="0"/>
        <strike val="0"/>
        <condense val="0"/>
        <extend val="0"/>
        <outline val="0"/>
        <shadow val="0"/>
        <u val="none"/>
        <vertAlign val="baseline"/>
        <sz val="10"/>
        <color auto="1"/>
        <name val="Arial"/>
        <family val="2"/>
        <scheme val="none"/>
      </font>
      <alignment horizontal="left" vertical="center" textRotation="0" wrapText="0" indent="0" justifyLastLine="0" shrinkToFit="0" readingOrder="0"/>
      <border diagonalUp="0" diagonalDown="0" outline="0">
        <left/>
        <right/>
        <top/>
        <bottom/>
      </border>
    </dxf>
    <dxf>
      <border outline="0">
        <top style="medium">
          <color auto="1"/>
        </top>
      </border>
    </dxf>
    <dxf>
      <border outline="0">
        <bottom style="medium">
          <color auto="1"/>
        </bottom>
      </border>
    </dxf>
    <dxf>
      <font>
        <b/>
        <i val="0"/>
        <strike val="0"/>
        <condense val="0"/>
        <extend val="0"/>
        <outline val="0"/>
        <shadow val="0"/>
        <u val="none"/>
        <vertAlign val="baseline"/>
        <sz val="10"/>
        <color theme="1"/>
        <name val="Arial"/>
        <family val="2"/>
        <scheme val="none"/>
      </font>
      <fill>
        <patternFill patternType="solid">
          <fgColor indexed="64"/>
          <bgColor rgb="FFEEEEEE"/>
        </patternFill>
      </fill>
      <alignment horizontal="left" vertical="bottom" textRotation="0" wrapText="1" indent="0" justifyLastLine="0" shrinkToFit="0" readingOrder="0"/>
      <border diagonalUp="0" diagonalDown="0" outline="0">
        <left style="medium">
          <color auto="1"/>
        </left>
        <right style="medium">
          <color auto="1"/>
        </right>
        <top/>
        <bottom/>
      </border>
    </dxf>
    <dxf>
      <numFmt numFmtId="170" formatCode="&quot;$&quot;#,##0.00"/>
      <alignment horizontal="right" vertical="bottom" textRotation="0" wrapText="0" indent="0" justifyLastLine="0" shrinkToFit="0" readingOrder="0"/>
      <border diagonalUp="0" diagonalDown="0" outline="0">
        <left/>
        <right/>
        <top/>
        <bottom/>
      </border>
    </dxf>
    <dxf>
      <numFmt numFmtId="170" formatCode="&quot;$&quot;#,##0.00"/>
      <alignment horizontal="right" textRotation="0" wrapText="0" indent="0" justifyLastLine="0" shrinkToFit="0" readingOrder="0"/>
    </dxf>
    <dxf>
      <numFmt numFmtId="168" formatCode="&quot;$&quot;#,##0"/>
      <alignment horizontal="right" vertical="bottom" textRotation="0" wrapText="0" indent="0" justifyLastLine="0" shrinkToFit="0" readingOrder="0"/>
      <border diagonalUp="0" diagonalDown="0" outline="0">
        <left/>
        <right/>
        <top/>
        <bottom/>
      </border>
    </dxf>
    <dxf>
      <numFmt numFmtId="168" formatCode="&quot;$&quot;#,##0"/>
      <alignment horizontal="right" textRotation="0" wrapText="0" indent="0" justifyLastLine="0" shrinkToFit="0" readingOrder="0"/>
    </dxf>
    <dxf>
      <numFmt numFmtId="168" formatCode="&quot;$&quot;#,##0"/>
      <alignment horizontal="right" vertical="bottom" textRotation="0" wrapText="0" indent="0" justifyLastLine="0" shrinkToFit="0" readingOrder="0"/>
      <border diagonalUp="0" diagonalDown="0" outline="0">
        <left/>
        <right/>
        <top/>
        <bottom/>
      </border>
    </dxf>
    <dxf>
      <numFmt numFmtId="168" formatCode="&quot;$&quot;#,##0"/>
      <alignment horizontal="right" textRotation="0" wrapText="0" indent="0" justifyLastLine="0" shrinkToFit="0" readingOrder="0"/>
    </dxf>
    <dxf>
      <numFmt numFmtId="168" formatCode="&quot;$&quot;#,##0"/>
      <alignment horizontal="right" vertical="bottom" textRotation="0" wrapText="0" indent="0" justifyLastLine="0" shrinkToFit="0" readingOrder="0"/>
      <border diagonalUp="0" diagonalDown="0" outline="0">
        <left/>
        <right/>
        <top/>
        <bottom/>
      </border>
    </dxf>
    <dxf>
      <numFmt numFmtId="168" formatCode="&quot;$&quot;#,##0"/>
      <alignment horizontal="right" textRotation="0" wrapText="0" indent="0" justifyLastLine="0" shrinkToFit="0" readingOrder="0"/>
    </dxf>
    <dxf>
      <numFmt numFmtId="168" formatCode="&quot;$&quot;#,##0"/>
      <alignment horizontal="right" vertical="bottom" textRotation="0" wrapText="0" indent="0" justifyLastLine="0" shrinkToFit="0" readingOrder="0"/>
      <border diagonalUp="0" diagonalDown="0" outline="0">
        <left/>
        <right/>
        <top/>
        <bottom/>
      </border>
    </dxf>
    <dxf>
      <numFmt numFmtId="168" formatCode="&quot;$&quot;#,##0"/>
      <alignment horizontal="right" textRotation="0" wrapText="0" indent="0" justifyLastLine="0" shrinkToFit="0" readingOrder="0"/>
    </dxf>
    <dxf>
      <numFmt numFmtId="168" formatCode="&quot;$&quot;#,##0"/>
      <alignment horizontal="right" vertical="bottom" textRotation="0" wrapText="0" indent="0" justifyLastLine="0" shrinkToFit="0" readingOrder="0"/>
      <border diagonalUp="0" diagonalDown="0" outline="0">
        <left/>
        <right/>
        <top/>
        <bottom/>
      </border>
    </dxf>
    <dxf>
      <numFmt numFmtId="168" formatCode="&quot;$&quot;#,##0"/>
      <alignment horizontal="right" textRotation="0" wrapText="0" indent="0" justifyLastLine="0" shrinkToFit="0" readingOrder="0"/>
    </dxf>
    <dxf>
      <numFmt numFmtId="168" formatCode="&quot;$&quot;#,##0"/>
      <alignment horizontal="right" vertical="bottom" textRotation="0" wrapText="0" indent="0" justifyLastLine="0" shrinkToFit="0" readingOrder="0"/>
      <border diagonalUp="0" diagonalDown="0" outline="0">
        <left/>
        <right/>
        <top/>
        <bottom/>
      </border>
    </dxf>
    <dxf>
      <numFmt numFmtId="168" formatCode="&quot;$&quot;#,##0"/>
      <alignment horizontal="right"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8" formatCode="&quot;$&quot;#,##0"/>
      <alignment horizontal="right" vertical="center" textRotation="0" wrapText="0" indent="0" justifyLastLine="0" shrinkToFit="0" readingOrder="0"/>
      <border diagonalUp="0" diagonalDown="0" outline="0">
        <left/>
        <right/>
        <top/>
        <bottom/>
      </border>
    </dxf>
    <dxf>
      <numFmt numFmtId="168" formatCode="&quot;$&quot;#,##0"/>
      <alignment horizontal="right"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8" formatCode="&quot;$&quot;#,##0"/>
      <alignment horizontal="right" vertical="center" textRotation="0" wrapText="0" indent="0" justifyLastLine="0" shrinkToFit="0" readingOrder="0"/>
      <border diagonalUp="0" diagonalDown="0" outline="0">
        <left/>
        <right/>
        <top/>
        <bottom/>
      </border>
    </dxf>
    <dxf>
      <numFmt numFmtId="168" formatCode="&quot;$&quot;#,##0"/>
      <alignment horizontal="right"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8" formatCode="&quot;$&quot;#,##0"/>
      <alignment horizontal="right" vertical="center" textRotation="0" wrapText="0" indent="0" justifyLastLine="0" shrinkToFit="0" readingOrder="0"/>
      <border diagonalUp="0" diagonalDown="0" outline="0">
        <left/>
        <right/>
        <top/>
        <bottom/>
      </border>
    </dxf>
    <dxf>
      <numFmt numFmtId="168" formatCode="&quot;$&quot;#,##0"/>
      <alignment horizontal="right"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8" formatCode="&quot;$&quot;#,##0"/>
      <alignment horizontal="right" vertical="center" textRotation="0" wrapText="0" indent="0" justifyLastLine="0" shrinkToFit="0" readingOrder="0"/>
      <border diagonalUp="0" diagonalDown="0" outline="0">
        <left/>
        <right/>
        <top/>
        <bottom/>
      </border>
    </dxf>
    <dxf>
      <numFmt numFmtId="168" formatCode="&quot;$&quot;#,##0"/>
      <alignment horizontal="right"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8" formatCode="&quot;$&quot;#,##0"/>
      <alignment horizontal="right" vertical="center" textRotation="0" wrapText="0" indent="0" justifyLastLine="0" shrinkToFit="0" readingOrder="0"/>
      <border diagonalUp="0" diagonalDown="0" outline="0">
        <left/>
        <right/>
        <top/>
        <bottom/>
      </border>
    </dxf>
    <dxf>
      <numFmt numFmtId="168" formatCode="&quot;$&quot;#,##0"/>
      <alignment horizontal="right"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8" formatCode="&quot;$&quot;#,##0"/>
      <alignment horizontal="right" vertical="center" textRotation="0" wrapText="0" indent="0" justifyLastLine="0" shrinkToFit="0" readingOrder="0"/>
      <border diagonalUp="0" diagonalDown="0" outline="0">
        <left/>
        <right/>
        <top/>
        <bottom/>
      </border>
    </dxf>
    <dxf>
      <numFmt numFmtId="168" formatCode="&quot;$&quot;#,##0"/>
      <alignment horizontal="right"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alignment horizontal="right" vertical="center" textRotation="0" wrapText="0" indent="0" justifyLastLine="0" shrinkToFit="0" readingOrder="0"/>
      <border diagonalUp="0" diagonalDown="0" outline="0">
        <left/>
        <right/>
        <top/>
        <bottom/>
      </border>
    </dxf>
    <dxf>
      <numFmt numFmtId="3" formatCode="#,##0"/>
      <alignment horizontal="right" textRotation="0" wrapText="0" indent="0" justifyLastLine="0" shrinkToFit="0" readingOrder="0"/>
    </dxf>
    <dxf>
      <numFmt numFmtId="168" formatCode="&quot;$&quot;#,##0"/>
      <alignment horizontal="right" vertical="bottom" textRotation="0" wrapText="0" indent="0" justifyLastLine="0" shrinkToFit="0" readingOrder="0"/>
      <border diagonalUp="0" diagonalDown="0" outline="0">
        <left/>
        <right/>
        <top/>
        <bottom/>
      </border>
    </dxf>
    <dxf>
      <numFmt numFmtId="168" formatCode="&quot;$&quot;#,##0"/>
      <alignment horizontal="right" textRotation="0" wrapText="0" indent="0" justifyLastLine="0" shrinkToFit="0" readingOrder="0"/>
    </dxf>
    <dxf>
      <numFmt numFmtId="168" formatCode="&quot;$&quot;#,##0"/>
      <alignment horizontal="right" vertical="bottom" textRotation="0" wrapText="0" indent="0" justifyLastLine="0" shrinkToFit="0" readingOrder="0"/>
      <border diagonalUp="0" diagonalDown="0" outline="0">
        <left/>
        <right/>
        <top/>
        <bottom/>
      </border>
    </dxf>
    <dxf>
      <numFmt numFmtId="168" formatCode="&quot;$&quot;#,##0"/>
      <alignment horizontal="right" textRotation="0" wrapText="0" indent="0" justifyLastLine="0" shrinkToFit="0" readingOrder="0"/>
    </dxf>
    <dxf>
      <numFmt numFmtId="168" formatCode="&quot;$&quot;#,##0"/>
      <alignment horizontal="right" vertical="bottom" textRotation="0" wrapText="0" indent="0" justifyLastLine="0" shrinkToFit="0" readingOrder="0"/>
      <border diagonalUp="0" diagonalDown="0" outline="0">
        <left/>
        <right/>
        <top/>
        <bottom/>
      </border>
    </dxf>
    <dxf>
      <numFmt numFmtId="168" formatCode="&quot;$&quot;#,##0"/>
      <alignment horizontal="right" textRotation="0" wrapText="0" indent="0" justifyLastLine="0" shrinkToFit="0" readingOrder="0"/>
    </dxf>
    <dxf>
      <numFmt numFmtId="168" formatCode="&quot;$&quot;#,##0"/>
      <alignment horizontal="right" vertical="bottom" textRotation="0" wrapText="0" indent="0" justifyLastLine="0" shrinkToFit="0" readingOrder="0"/>
      <border diagonalUp="0" diagonalDown="0" outline="0">
        <left/>
        <right/>
        <top/>
        <bottom/>
      </border>
    </dxf>
    <dxf>
      <numFmt numFmtId="168" formatCode="&quot;$&quot;#,##0"/>
      <alignment horizontal="right" textRotation="0" wrapText="0" indent="0" justifyLastLine="0" shrinkToFit="0" readingOrder="0"/>
    </dxf>
    <dxf>
      <numFmt numFmtId="168" formatCode="&quot;$&quot;#,##0"/>
      <alignment horizontal="right" vertical="bottom" textRotation="0" wrapText="0" indent="0" justifyLastLine="0" shrinkToFit="0" readingOrder="0"/>
      <border diagonalUp="0" diagonalDown="0" outline="0">
        <left/>
        <right/>
        <top/>
        <bottom/>
      </border>
    </dxf>
    <dxf>
      <numFmt numFmtId="168" formatCode="&quot;$&quot;#,##0"/>
      <alignment horizontal="right" textRotation="0" wrapText="0" indent="0" justifyLastLine="0" shrinkToFit="0" readingOrder="0"/>
    </dxf>
    <dxf>
      <numFmt numFmtId="168" formatCode="&quot;$&quot;#,##0"/>
      <alignment horizontal="right" vertical="bottom" textRotation="0" wrapText="0" indent="0" justifyLastLine="0" shrinkToFit="0" readingOrder="0"/>
      <border diagonalUp="0" diagonalDown="0" outline="0">
        <left/>
        <right/>
        <top/>
        <bottom/>
      </border>
    </dxf>
    <dxf>
      <numFmt numFmtId="168" formatCode="&quot;$&quot;#,##0"/>
      <alignment horizontal="right"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alignment horizontal="right" vertical="bottom" textRotation="0" wrapText="0" indent="0" justifyLastLine="0" shrinkToFit="0" readingOrder="0"/>
      <border diagonalUp="0" diagonalDown="0" outline="0">
        <left/>
        <right/>
        <top/>
        <bottom/>
      </border>
    </dxf>
    <dxf>
      <numFmt numFmtId="3" formatCode="#,##0"/>
      <alignment horizontal="right"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8" formatCode="&quot;$&quot;#,##0"/>
      <alignment horizontal="right" vertical="bottom" textRotation="0" wrapText="0" indent="0" justifyLastLine="0" shrinkToFit="0" readingOrder="0"/>
      <border diagonalUp="0" diagonalDown="0" outline="0">
        <left/>
        <right/>
        <top/>
        <bottom/>
      </border>
    </dxf>
    <dxf>
      <numFmt numFmtId="168" formatCode="&quot;$&quot;#,##0"/>
      <alignment horizontal="right"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right" vertical="center" textRotation="0" wrapText="0" indent="0" justifyLastLine="0" shrinkToFit="0" readingOrder="0"/>
      <border diagonalUp="0" diagonalDown="0" outline="0">
        <left/>
        <right/>
        <top/>
        <bottom/>
      </border>
    </dxf>
    <dxf>
      <alignment horizontal="right" textRotation="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9" formatCode="m/d/yyyy"/>
      <border diagonalUp="0" diagonalDown="0" outline="0">
        <left/>
        <right/>
        <top/>
        <bottom/>
      </border>
    </dxf>
    <dxf>
      <font>
        <b val="0"/>
        <i val="0"/>
        <strike val="0"/>
        <condense val="0"/>
        <extend val="0"/>
        <outline val="0"/>
        <shadow val="0"/>
        <u val="none"/>
        <vertAlign val="baseline"/>
        <sz val="10"/>
        <color auto="1"/>
        <name val="Arial"/>
        <family val="2"/>
        <scheme val="none"/>
      </font>
      <numFmt numFmtId="19" formatCode="m/d/yyyy"/>
      <border diagonalUp="0" diagonalDown="0" outline="0">
        <left/>
        <right/>
        <top/>
        <bottom/>
      </border>
    </dxf>
    <dxf>
      <font>
        <b val="0"/>
        <i val="0"/>
        <strike val="0"/>
        <condense val="0"/>
        <extend val="0"/>
        <outline val="0"/>
        <shadow val="0"/>
        <u val="none"/>
        <vertAlign val="baseline"/>
        <sz val="10"/>
        <color auto="1"/>
        <name val="Arial"/>
        <family val="2"/>
        <scheme val="none"/>
      </font>
      <alignment horizontal="left" vertical="center" textRotation="0" wrapText="0" indent="0" justifyLastLine="0" shrinkToFit="0" readingOrder="0"/>
      <border diagonalUp="0" diagonalDown="0" outline="0">
        <left/>
        <right/>
        <top/>
        <bottom/>
      </border>
    </dxf>
    <dxf>
      <font>
        <b/>
        <i val="0"/>
        <strike val="0"/>
        <condense val="0"/>
        <extend val="0"/>
        <outline val="0"/>
        <shadow val="0"/>
        <u val="none"/>
        <vertAlign val="baseline"/>
        <sz val="10"/>
        <color auto="1"/>
        <name val="Arial"/>
        <family val="2"/>
        <scheme val="none"/>
      </font>
      <fill>
        <patternFill patternType="solid">
          <fgColor indexed="64"/>
          <bgColor rgb="FFEEEEEE"/>
        </patternFill>
      </fill>
      <alignment horizontal="left" vertical="bottom" textRotation="0" wrapText="0" indent="0" justifyLastLine="0" shrinkToFit="0" readingOrder="0"/>
      <border diagonalUp="0" diagonalDown="0">
        <left style="medium">
          <color auto="1"/>
        </left>
        <right style="medium">
          <color auto="1"/>
        </right>
        <top style="medium">
          <color auto="1"/>
        </top>
        <bottom style="medium">
          <color auto="1"/>
        </bottom>
        <vertical/>
        <horizontal/>
      </border>
    </dxf>
    <dxf>
      <font>
        <b val="0"/>
        <i val="0"/>
        <strike val="0"/>
        <condense val="0"/>
        <extend val="0"/>
        <outline val="0"/>
        <shadow val="0"/>
        <u val="none"/>
        <vertAlign val="baseline"/>
        <sz val="10"/>
        <color auto="1"/>
        <name val="Arial"/>
        <family val="2"/>
        <scheme val="none"/>
      </font>
      <alignment horizontal="left" vertical="center" textRotation="0" wrapText="0" indent="0" justifyLastLine="0" shrinkToFit="0" readingOrder="0"/>
      <border diagonalUp="0" diagonalDown="0" outline="0">
        <left/>
        <right/>
        <top/>
        <bottom/>
      </border>
    </dxf>
    <dxf>
      <border outline="0">
        <top style="medium">
          <color auto="1"/>
        </top>
      </border>
    </dxf>
    <dxf>
      <font>
        <b/>
        <i val="0"/>
        <strike val="0"/>
        <condense val="0"/>
        <extend val="0"/>
        <outline val="0"/>
        <shadow val="0"/>
        <u val="none"/>
        <vertAlign val="baseline"/>
        <sz val="10"/>
        <color theme="1"/>
        <name val="Arial"/>
        <scheme val="none"/>
      </font>
      <fill>
        <patternFill patternType="solid">
          <fgColor indexed="64"/>
          <bgColor theme="9" tint="0.79998168889431442"/>
        </patternFill>
      </fill>
      <alignment horizontal="left" vertical="bottom" textRotation="0" wrapText="1" indent="0" justifyLastLine="0" shrinkToFit="0" readingOrder="0"/>
      <border diagonalUp="0" diagonalDown="0" outline="0">
        <left style="medium">
          <color auto="1"/>
        </left>
        <right style="medium">
          <color auto="1"/>
        </right>
        <top/>
        <bottom/>
      </border>
    </dxf>
    <dxf>
      <fill>
        <patternFill patternType="solid">
          <fgColor indexed="64"/>
          <bgColor rgb="FF545454"/>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545454"/>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545454"/>
        </patternFill>
      </fill>
      <border diagonalUp="0" diagonalDown="0">
        <left style="thin">
          <color indexed="64"/>
        </left>
        <right style="thin">
          <color indexed="64"/>
        </right>
        <top style="thin">
          <color indexed="64"/>
        </top>
        <bottom style="thin">
          <color indexed="64"/>
        </bottom>
        <vertical/>
        <horizontal/>
      </border>
    </dxf>
    <dxf>
      <numFmt numFmtId="169" formatCode="#,##0.0000"/>
      <fill>
        <patternFill patternType="solid">
          <fgColor indexed="64"/>
          <bgColor rgb="FF545454"/>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545454"/>
        </patternFill>
      </fill>
      <border diagonalUp="0" diagonalDown="0">
        <left style="thin">
          <color indexed="64"/>
        </left>
        <right style="thin">
          <color indexed="64"/>
        </right>
        <top style="thin">
          <color indexed="64"/>
        </top>
        <bottom style="thin">
          <color indexed="64"/>
        </bottom>
        <vertical/>
        <horizontal/>
      </border>
    </dxf>
    <dxf>
      <numFmt numFmtId="169" formatCode="#,##0.0000"/>
      <fill>
        <patternFill patternType="solid">
          <fgColor indexed="64"/>
          <bgColor rgb="FF545454"/>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545454"/>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vertical/>
        <horizontal/>
      </border>
    </dxf>
    <dxf>
      <numFmt numFmtId="169" formatCode="#,##0.0000"/>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vertical/>
        <horizontal/>
      </border>
    </dxf>
    <dxf>
      <numFmt numFmtId="169" formatCode="#,##0.0000"/>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vertical/>
        <horizontal/>
      </border>
    </dxf>
    <dxf>
      <numFmt numFmtId="169" formatCode="#,##0.0000"/>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vertical/>
        <horizontal/>
      </border>
    </dxf>
    <dxf>
      <numFmt numFmtId="169" formatCode="#,##0.0000"/>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family val="2"/>
        <scheme val="none"/>
      </font>
      <fill>
        <patternFill patternType="solid">
          <fgColor indexed="64"/>
          <bgColor theme="9" tint="0.79998168889431442"/>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vertical/>
        <horizontal/>
      </border>
    </dxf>
    <dxf>
      <border outline="0">
        <top style="medium">
          <color auto="1"/>
        </top>
        <bottom style="thin">
          <color indexed="64"/>
        </bottom>
      </border>
    </dxf>
    <dxf>
      <fill>
        <patternFill patternType="solid">
          <fgColor indexed="64"/>
          <bgColor rgb="FF545454"/>
        </patternFill>
      </fill>
    </dxf>
    <dxf>
      <font>
        <b/>
        <i val="0"/>
        <strike val="0"/>
        <condense val="0"/>
        <extend val="0"/>
        <outline val="0"/>
        <shadow val="0"/>
        <u val="none"/>
        <vertAlign val="baseline"/>
        <sz val="10"/>
        <color theme="1"/>
        <name val="Arial"/>
        <scheme val="none"/>
      </font>
      <fill>
        <patternFill patternType="solid">
          <fgColor indexed="64"/>
          <bgColor rgb="FFEEEEEE"/>
        </patternFill>
      </fill>
      <alignment horizontal="left" vertical="bottom" textRotation="0" wrapText="1" indent="0" justifyLastLine="0" shrinkToFit="0" readingOrder="0"/>
      <border diagonalUp="0" diagonalDown="0" outline="0">
        <left style="medium">
          <color auto="1"/>
        </left>
        <right style="medium">
          <color auto="1"/>
        </right>
        <top/>
        <bottom/>
      </border>
    </dxf>
    <dxf>
      <font>
        <b val="0"/>
        <i val="0"/>
        <strike val="0"/>
        <condense val="0"/>
        <extend val="0"/>
        <outline val="0"/>
        <shadow val="0"/>
        <u val="none"/>
        <vertAlign val="baseline"/>
        <sz val="10"/>
        <color auto="1"/>
        <name val="Arial"/>
        <family val="2"/>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numFmt numFmtId="168" formatCode="&quot;$&quot;#,##0"/>
      <border diagonalUp="0" diagonalDown="0" outline="0">
        <left style="thin">
          <color indexed="64"/>
        </left>
        <right style="thin">
          <color indexed="64"/>
        </right>
        <top style="thin">
          <color indexed="64"/>
        </top>
        <bottom/>
      </border>
    </dxf>
    <dxf>
      <numFmt numFmtId="168" formatCode="&quot;$&quot;#,##0"/>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auto="1"/>
        <name val="Arial"/>
        <family val="2"/>
        <scheme val="none"/>
      </font>
      <fill>
        <patternFill patternType="solid">
          <fgColor indexed="64"/>
          <bgColor theme="0" tint="-4.9989318521683403E-2"/>
        </patternFill>
      </fill>
      <alignment horizontal="left" vertical="center" textRotation="0" wrapText="0" indent="0" justifyLastLine="0" shrinkToFit="0" readingOrder="0"/>
      <border diagonalUp="0" diagonalDown="0" outline="0">
        <left style="thin">
          <color indexed="64"/>
        </left>
        <right style="medium">
          <color indexed="64"/>
        </right>
        <top style="medium">
          <color indexed="64"/>
        </top>
        <bottom style="medium">
          <color indexed="64"/>
        </bottom>
      </border>
    </dxf>
    <dxf>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4"/>
        <color theme="1"/>
        <name val="Arial"/>
        <family val="2"/>
        <scheme val="none"/>
      </font>
      <fill>
        <patternFill patternType="solid">
          <fgColor indexed="64"/>
          <bgColor theme="0" tint="-4.9989318521683403E-2"/>
        </patternFill>
      </fill>
      <alignment horizontal="right" vertical="bottom" textRotation="0" wrapText="0" indent="0" justifyLastLine="0" shrinkToFit="0" readingOrder="0"/>
      <border diagonalUp="0" diagonalDown="0" outline="0">
        <left style="medium">
          <color indexed="64"/>
        </left>
        <right/>
        <top style="medium">
          <color indexed="64"/>
        </top>
        <bottom style="medium">
          <color indexed="64"/>
        </bottom>
      </border>
    </dxf>
    <dxf>
      <font>
        <b/>
        <i val="0"/>
        <strike val="0"/>
        <condense val="0"/>
        <extend val="0"/>
        <outline val="0"/>
        <shadow val="0"/>
        <u val="none"/>
        <vertAlign val="baseline"/>
        <sz val="10"/>
        <color auto="1"/>
        <name val="Arial"/>
        <family val="2"/>
        <scheme val="none"/>
      </font>
      <fill>
        <patternFill patternType="solid">
          <fgColor indexed="64"/>
          <bgColor rgb="FFEEEEEE"/>
        </patternFill>
      </fill>
      <alignment horizontal="left" vertical="bottom" textRotation="0" wrapText="0" indent="0" justifyLastLine="0" shrinkToFit="0" readingOrder="0"/>
      <border diagonalUp="0" diagonalDown="0">
        <left/>
        <right/>
        <top style="medium">
          <color auto="1"/>
        </top>
        <bottom style="medium">
          <color auto="1"/>
        </bottom>
        <vertical/>
        <horizontal/>
      </border>
    </dxf>
    <dxf>
      <font>
        <b val="0"/>
        <i val="0"/>
        <strike val="0"/>
        <condense val="0"/>
        <extend val="0"/>
        <outline val="0"/>
        <shadow val="0"/>
        <u val="none"/>
        <vertAlign val="baseline"/>
        <sz val="10"/>
        <color auto="1"/>
        <name val="Arial"/>
        <family val="2"/>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outline="0">
        <top style="medium">
          <color auto="1"/>
        </top>
      </border>
    </dxf>
    <dxf>
      <font>
        <b/>
        <i val="0"/>
        <strike val="0"/>
        <condense val="0"/>
        <extend val="0"/>
        <outline val="0"/>
        <shadow val="0"/>
        <u val="none"/>
        <vertAlign val="baseline"/>
        <sz val="10"/>
        <color theme="1"/>
        <name val="Arial"/>
        <scheme val="none"/>
      </font>
      <fill>
        <patternFill patternType="solid">
          <fgColor indexed="64"/>
          <bgColor rgb="FFEEEEEE"/>
        </patternFill>
      </fill>
      <alignment horizontal="left" vertical="bottom" textRotation="0" wrapText="1" indent="0" justifyLastLine="0" shrinkToFit="0" readingOrder="0"/>
      <border diagonalUp="0" diagonalDown="0" outline="0">
        <left style="medium">
          <color auto="1"/>
        </left>
        <right style="medium">
          <color auto="1"/>
        </right>
        <top/>
        <bottom/>
      </border>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numFmt numFmtId="4" formatCode="#,##0.00"/>
      <alignment horizontal="left" vertical="bottom" textRotation="0" wrapText="0" indent="0" justifyLastLine="0" shrinkToFit="0" readingOrder="0"/>
    </dxf>
    <dxf>
      <numFmt numFmtId="4" formatCode="#,##0.00"/>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center"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ont>
        <b val="0"/>
        <i val="0"/>
        <strike val="0"/>
        <condense val="0"/>
        <extend val="0"/>
        <outline val="0"/>
        <shadow val="0"/>
        <u val="none"/>
        <vertAlign val="baseline"/>
        <sz val="14"/>
        <color auto="1"/>
        <name val="Arial"/>
        <family val="2"/>
        <scheme val="none"/>
      </font>
      <fill>
        <patternFill>
          <fgColor indexed="64"/>
          <bgColor theme="0" tint="-4.9989318521683403E-2"/>
        </patternFill>
      </fill>
      <alignment horizontal="left"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dxf>
    <dxf>
      <font>
        <b/>
        <i val="0"/>
        <strike val="0"/>
        <condense val="0"/>
        <extend val="0"/>
        <outline val="0"/>
        <shadow val="0"/>
        <u val="none"/>
        <vertAlign val="baseline"/>
        <sz val="14"/>
        <color auto="1"/>
        <name val="Arial"/>
        <family val="2"/>
        <scheme val="none"/>
      </font>
      <fill>
        <patternFill patternType="solid">
          <fgColor indexed="64"/>
          <bgColor theme="0" tint="-4.9989318521683403E-2"/>
        </patternFill>
      </fill>
      <alignment horizontal="right" vertical="bottom"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dxf>
    <dxf>
      <font>
        <b/>
        <i val="0"/>
        <strike val="0"/>
        <condense val="0"/>
        <extend val="0"/>
        <outline val="0"/>
        <shadow val="0"/>
        <u val="none"/>
        <vertAlign val="baseline"/>
        <sz val="10"/>
        <color auto="1"/>
        <name val="Arial"/>
        <family val="2"/>
        <scheme val="none"/>
      </font>
      <fill>
        <patternFill patternType="solid">
          <fgColor indexed="64"/>
          <bgColor rgb="FFEEEEEE"/>
        </patternFill>
      </fill>
      <alignment horizontal="left" vertical="bottom" textRotation="0" wrapText="0" indent="0" justifyLastLine="0" shrinkToFit="0" readingOrder="0"/>
      <border diagonalUp="0" diagonalDown="0">
        <left style="medium">
          <color auto="1"/>
        </left>
        <right style="medium">
          <color auto="1"/>
        </right>
        <top style="medium">
          <color auto="1"/>
        </top>
        <bottom style="medium">
          <color auto="1"/>
        </bottom>
        <vertical/>
        <horizontal/>
      </border>
    </dxf>
    <dxf>
      <font>
        <b val="0"/>
        <i val="0"/>
        <strike val="0"/>
        <condense val="0"/>
        <extend val="0"/>
        <outline val="0"/>
        <shadow val="0"/>
        <u val="none"/>
        <vertAlign val="baseline"/>
        <sz val="10"/>
        <color auto="1"/>
        <name val="Arial"/>
        <family val="2"/>
        <scheme val="none"/>
      </font>
      <alignment horizontal="left" vertical="center" textRotation="0" wrapText="0" indent="0" justifyLastLine="0" shrinkToFit="0" readingOrder="0"/>
      <border diagonalUp="0" diagonalDown="0" outline="0">
        <left/>
        <right/>
        <top/>
        <bottom/>
      </border>
    </dxf>
    <dxf>
      <border outline="0">
        <top style="medium">
          <color auto="1"/>
        </top>
      </border>
    </dxf>
    <dxf>
      <border outline="0">
        <bottom style="medium">
          <color auto="1"/>
        </bottom>
      </border>
    </dxf>
    <dxf>
      <font>
        <b/>
        <i val="0"/>
        <strike val="0"/>
        <condense val="0"/>
        <extend val="0"/>
        <outline val="0"/>
        <shadow val="0"/>
        <u val="none"/>
        <vertAlign val="baseline"/>
        <sz val="10"/>
        <color theme="1"/>
        <name val="Arial"/>
        <scheme val="none"/>
      </font>
      <fill>
        <patternFill patternType="solid">
          <fgColor indexed="64"/>
          <bgColor rgb="FFEEEEEE"/>
        </patternFill>
      </fill>
      <alignment horizontal="left" vertical="bottom" textRotation="0" wrapText="1" indent="0" justifyLastLine="0" shrinkToFit="0" readingOrder="0"/>
      <border diagonalUp="0" diagonalDown="0" outline="0">
        <left style="medium">
          <color auto="1"/>
        </left>
        <right style="medium">
          <color auto="1"/>
        </right>
        <top/>
        <bottom/>
      </border>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numFmt numFmtId="4" formatCode="#,##0.00"/>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numFmt numFmtId="4" formatCode="#,##0.00"/>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numFmt numFmtId="4" formatCode="#,##0.00"/>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numFmt numFmtId="4" formatCode="#,##0.00"/>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numFmt numFmtId="4" formatCode="#,##0.00"/>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numFmt numFmtId="4" formatCode="#,##0.00"/>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b val="0"/>
        <i val="0"/>
        <strike val="0"/>
        <condense val="0"/>
        <extend val="0"/>
        <outline val="0"/>
        <shadow val="0"/>
        <u val="none"/>
        <vertAlign val="baseline"/>
        <sz val="14"/>
        <color auto="1"/>
        <name val="Calibri"/>
        <family val="2"/>
        <scheme val="minor"/>
      </font>
      <fill>
        <patternFill patternType="solid">
          <fgColor indexed="64"/>
          <bgColor theme="0" tint="-4.9989318521683403E-2"/>
        </patternFill>
      </fill>
      <alignment horizontal="left" vertical="center" textRotation="0" wrapText="0" indent="0" justifyLastLine="0" shrinkToFit="0" readingOrder="0"/>
    </dxf>
    <dxf>
      <font>
        <strike val="0"/>
        <outline val="0"/>
        <shadow val="0"/>
        <u val="none"/>
        <vertAlign val="baseline"/>
        <sz val="11"/>
        <name val="Calibri"/>
        <family val="2"/>
        <scheme val="minor"/>
      </font>
    </dxf>
    <dxf>
      <font>
        <b/>
        <i val="0"/>
        <strike val="0"/>
        <condense val="0"/>
        <extend val="0"/>
        <outline val="0"/>
        <shadow val="0"/>
        <u val="none"/>
        <vertAlign val="baseline"/>
        <sz val="16"/>
        <color theme="1"/>
        <name val="Calibri"/>
        <family val="2"/>
        <scheme val="minor"/>
      </font>
      <fill>
        <patternFill patternType="solid">
          <fgColor indexed="64"/>
          <bgColor theme="0" tint="-4.9989318521683403E-2"/>
        </patternFill>
      </fill>
      <alignment horizontal="right" vertical="bottom" textRotation="0" wrapText="0" indent="0" justifyLastLine="0" shrinkToFit="0" readingOrder="0"/>
      <border diagonalUp="0" diagonalDown="0" outline="0">
        <left style="medium">
          <color indexed="64"/>
        </left>
        <right/>
        <top style="medium">
          <color indexed="64"/>
        </top>
        <bottom style="medium">
          <color indexed="64"/>
        </bottom>
      </border>
    </dxf>
    <dxf>
      <font>
        <b/>
        <i val="0"/>
        <strike val="0"/>
        <condense val="0"/>
        <extend val="0"/>
        <outline val="0"/>
        <shadow val="0"/>
        <u val="none"/>
        <vertAlign val="baseline"/>
        <sz val="11"/>
        <color auto="1"/>
        <name val="Calibri"/>
        <family val="2"/>
        <scheme val="minor"/>
      </font>
      <fill>
        <patternFill patternType="solid">
          <fgColor indexed="64"/>
          <bgColor theme="0" tint="-4.9989318521683403E-2"/>
        </patternFill>
      </fill>
      <alignment horizontal="left" vertical="bottom" textRotation="0" wrapText="0" indent="0" justifyLastLine="0" shrinkToFit="0" readingOrder="0"/>
      <border diagonalUp="0" diagonalDown="0" outline="0">
        <left style="medium">
          <color auto="1"/>
        </left>
        <right style="medium">
          <color auto="1"/>
        </right>
        <top style="medium">
          <color auto="1"/>
        </top>
        <bottom style="medium">
          <color auto="1"/>
        </bottom>
      </border>
    </dxf>
    <dxf>
      <font>
        <strike val="0"/>
        <outline val="0"/>
        <shadow val="0"/>
        <u val="none"/>
        <vertAlign val="baseline"/>
        <sz val="11"/>
        <name val="Calibri"/>
        <family val="2"/>
        <scheme val="minor"/>
      </font>
    </dxf>
    <dxf>
      <border outline="0">
        <top style="medium">
          <color auto="1"/>
        </top>
      </border>
    </dxf>
    <dxf>
      <font>
        <strike val="0"/>
        <outline val="0"/>
        <shadow val="0"/>
        <u val="none"/>
        <vertAlign val="baseline"/>
        <sz val="11"/>
        <name val="Calibri"/>
        <family val="2"/>
        <scheme val="minor"/>
      </font>
    </dxf>
    <dxf>
      <font>
        <b/>
        <i val="0"/>
        <strike val="0"/>
        <condense val="0"/>
        <extend val="0"/>
        <outline val="0"/>
        <shadow val="0"/>
        <u val="none"/>
        <vertAlign val="baseline"/>
        <sz val="11"/>
        <color theme="1"/>
        <name val="Calibri"/>
        <family val="2"/>
        <scheme val="minor"/>
      </font>
      <fill>
        <patternFill patternType="solid">
          <fgColor indexed="64"/>
          <bgColor rgb="FFEEEEEE"/>
        </patternFill>
      </fill>
      <alignment horizontal="left" vertical="bottom" textRotation="0" wrapText="1" indent="0" justifyLastLine="0" shrinkToFit="0" readingOrder="0"/>
      <border diagonalUp="0" diagonalDown="0" outline="0">
        <left style="medium">
          <color auto="1"/>
        </left>
        <right style="medium">
          <color auto="1"/>
        </right>
        <top/>
        <bottom/>
      </border>
    </dxf>
    <dxf>
      <numFmt numFmtId="2" formatCode="0.00"/>
    </dxf>
    <dxf>
      <numFmt numFmtId="2" formatCode="0.00"/>
    </dxf>
    <dxf>
      <numFmt numFmtId="2" formatCode="0.00"/>
    </dxf>
    <dxf>
      <font>
        <b val="0"/>
        <i val="0"/>
        <strike val="0"/>
        <condense val="0"/>
        <extend val="0"/>
        <outline val="0"/>
        <shadow val="0"/>
        <u val="none"/>
        <vertAlign val="baseline"/>
        <sz val="14"/>
        <color auto="1"/>
        <name val="Arial"/>
        <family val="2"/>
        <scheme val="none"/>
      </font>
      <fill>
        <patternFill patternType="solid">
          <fgColor indexed="64"/>
          <bgColor theme="0" tint="-4.9989318521683403E-2"/>
        </patternFill>
      </fill>
      <alignment horizontal="left" vertical="center" textRotation="0" wrapText="0" indent="0" justifyLastLine="0" shrinkToFit="0" readingOrder="0"/>
      <border diagonalUp="0" diagonalDown="0" outline="0">
        <left/>
        <right style="medium">
          <color indexed="64"/>
        </right>
        <top style="medium">
          <color indexed="64"/>
        </top>
        <bottom style="medium">
          <color indexed="64"/>
        </bottom>
      </border>
    </dxf>
    <dxf>
      <font>
        <b/>
        <i val="0"/>
        <strike val="0"/>
        <condense val="0"/>
        <extend val="0"/>
        <outline val="0"/>
        <shadow val="0"/>
        <u val="none"/>
        <vertAlign val="baseline"/>
        <sz val="14"/>
        <color theme="1"/>
        <name val="Arial"/>
        <family val="2"/>
        <scheme val="none"/>
      </font>
      <fill>
        <patternFill patternType="solid">
          <fgColor indexed="64"/>
          <bgColor theme="0" tint="-4.9989318521683403E-2"/>
        </patternFill>
      </fill>
      <alignment horizontal="right" vertical="bottom" textRotation="0" wrapText="0" indent="0" justifyLastLine="0" shrinkToFit="0" readingOrder="0"/>
      <border diagonalUp="0" diagonalDown="0" outline="0">
        <left style="medium">
          <color indexed="64"/>
        </left>
        <right/>
        <top style="medium">
          <color indexed="64"/>
        </top>
        <bottom style="medium">
          <color indexed="64"/>
        </bottom>
      </border>
    </dxf>
    <dxf>
      <font>
        <b/>
        <i val="0"/>
        <strike val="0"/>
        <condense val="0"/>
        <extend val="0"/>
        <outline val="0"/>
        <shadow val="0"/>
        <u val="none"/>
        <vertAlign val="baseline"/>
        <sz val="10"/>
        <color auto="1"/>
        <name val="Arial"/>
        <family val="2"/>
        <scheme val="none"/>
      </font>
      <fill>
        <patternFill patternType="solid">
          <fgColor indexed="64"/>
          <bgColor rgb="FFEEEEEE"/>
        </patternFill>
      </fill>
      <alignment horizontal="left" vertical="bottom" textRotation="0" wrapText="0" indent="0" justifyLastLine="0" shrinkToFit="0" readingOrder="0"/>
      <border diagonalUp="0" diagonalDown="0">
        <left style="medium">
          <color auto="1"/>
        </left>
        <right style="medium">
          <color auto="1"/>
        </right>
        <top style="medium">
          <color auto="1"/>
        </top>
        <bottom/>
        <vertical/>
        <horizontal/>
      </border>
    </dxf>
    <dxf>
      <font>
        <b val="0"/>
        <i val="0"/>
        <strike val="0"/>
        <condense val="0"/>
        <extend val="0"/>
        <outline val="0"/>
        <shadow val="0"/>
        <u val="none"/>
        <vertAlign val="baseline"/>
        <sz val="10"/>
        <color auto="1"/>
        <name val="Arial"/>
        <family val="2"/>
        <scheme val="none"/>
      </font>
      <alignment horizontal="left" vertical="center" textRotation="0" wrapText="0" indent="0" justifyLastLine="0" shrinkToFit="0" readingOrder="0"/>
      <border diagonalUp="0" diagonalDown="0" outline="0">
        <left/>
        <right/>
        <top/>
        <bottom/>
      </border>
    </dxf>
    <dxf>
      <border outline="0">
        <top style="medium">
          <color auto="1"/>
        </top>
      </border>
    </dxf>
    <dxf>
      <border outline="0">
        <bottom style="medium">
          <color auto="1"/>
        </bottom>
      </border>
    </dxf>
    <dxf>
      <font>
        <b/>
        <i val="0"/>
        <strike val="0"/>
        <condense val="0"/>
        <extend val="0"/>
        <outline val="0"/>
        <shadow val="0"/>
        <u val="none"/>
        <vertAlign val="baseline"/>
        <sz val="10"/>
        <color theme="1"/>
        <name val="Arial"/>
        <scheme val="none"/>
      </font>
      <fill>
        <patternFill patternType="solid">
          <fgColor indexed="64"/>
          <bgColor rgb="FFEEEEEE"/>
        </patternFill>
      </fill>
      <alignment horizontal="left" vertical="bottom" textRotation="0" wrapText="1" indent="0" justifyLastLine="0" shrinkToFit="0" readingOrder="0"/>
      <border diagonalUp="0" diagonalDown="0" outline="0">
        <left style="medium">
          <color auto="1"/>
        </left>
        <right style="medium">
          <color auto="1"/>
        </right>
        <top/>
        <bottom/>
      </border>
    </dxf>
    <dxf>
      <font>
        <b val="0"/>
        <i val="0"/>
        <strike val="0"/>
        <condense val="0"/>
        <extend val="0"/>
        <outline val="0"/>
        <shadow val="0"/>
        <u val="none"/>
        <vertAlign val="baseline"/>
        <sz val="14"/>
        <color auto="1"/>
        <name val="Calibri"/>
        <family val="2"/>
        <scheme val="minor"/>
      </font>
      <numFmt numFmtId="3" formatCode="#,##0"/>
      <border diagonalUp="0" diagonalDown="0" outline="0">
        <left/>
        <right style="medium">
          <color indexed="64"/>
        </right>
        <top style="medium">
          <color indexed="64"/>
        </top>
        <bottom style="medium">
          <color indexed="64"/>
        </bottom>
      </border>
    </dxf>
    <dxf>
      <font>
        <strike val="0"/>
        <outline val="0"/>
        <shadow val="0"/>
        <u val="none"/>
        <vertAlign val="baseline"/>
        <sz val="1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4"/>
        <color auto="1"/>
        <name val="Calibri"/>
        <family val="2"/>
        <scheme val="minor"/>
      </font>
      <numFmt numFmtId="3" formatCode="#,##0"/>
      <border diagonalUp="0" diagonalDown="0" outline="0">
        <left/>
        <right/>
        <top style="medium">
          <color indexed="64"/>
        </top>
        <bottom style="medium">
          <color indexed="64"/>
        </bottom>
      </border>
    </dxf>
    <dxf>
      <font>
        <strike val="0"/>
        <outline val="0"/>
        <shadow val="0"/>
        <u val="none"/>
        <vertAlign val="baseline"/>
        <sz val="11"/>
        <name val="Calibri"/>
        <family val="2"/>
        <scheme val="minor"/>
      </font>
      <numFmt numFmtId="3" formatCode="#,##0"/>
    </dxf>
    <dxf>
      <font>
        <b val="0"/>
        <i val="0"/>
        <strike val="0"/>
        <condense val="0"/>
        <extend val="0"/>
        <outline val="0"/>
        <shadow val="0"/>
        <u val="none"/>
        <vertAlign val="baseline"/>
        <sz val="14"/>
        <color auto="1"/>
        <name val="Calibri"/>
        <family val="2"/>
        <scheme val="minor"/>
      </font>
      <numFmt numFmtId="3" formatCode="#,##0"/>
      <border diagonalUp="0" diagonalDown="0" outline="0">
        <left/>
        <right/>
        <top style="medium">
          <color indexed="64"/>
        </top>
        <bottom style="medium">
          <color indexed="64"/>
        </bottom>
      </border>
    </dxf>
    <dxf>
      <font>
        <strike val="0"/>
        <outline val="0"/>
        <shadow val="0"/>
        <u val="none"/>
        <vertAlign val="baseline"/>
        <sz val="11"/>
        <name val="Calibri"/>
        <family val="2"/>
        <scheme val="minor"/>
      </font>
      <numFmt numFmtId="3" formatCode="#,##0"/>
    </dxf>
    <dxf>
      <font>
        <b val="0"/>
        <i val="0"/>
        <strike val="0"/>
        <condense val="0"/>
        <extend val="0"/>
        <outline val="0"/>
        <shadow val="0"/>
        <u val="none"/>
        <vertAlign val="baseline"/>
        <sz val="14"/>
        <color auto="1"/>
        <name val="Calibri"/>
        <family val="2"/>
        <scheme val="minor"/>
      </font>
      <numFmt numFmtId="3" formatCode="#,##0"/>
      <border diagonalUp="0" diagonalDown="0" outline="0">
        <left/>
        <right/>
        <top style="medium">
          <color indexed="64"/>
        </top>
        <bottom style="medium">
          <color indexed="64"/>
        </bottom>
      </border>
    </dxf>
    <dxf>
      <font>
        <strike val="0"/>
        <outline val="0"/>
        <shadow val="0"/>
        <u val="none"/>
        <vertAlign val="baseline"/>
        <sz val="11"/>
        <name val="Calibri"/>
        <family val="2"/>
        <scheme val="minor"/>
      </font>
      <numFmt numFmtId="3" formatCode="#,##0"/>
    </dxf>
    <dxf>
      <font>
        <b val="0"/>
        <i val="0"/>
        <strike val="0"/>
        <condense val="0"/>
        <extend val="0"/>
        <outline val="0"/>
        <shadow val="0"/>
        <u val="none"/>
        <vertAlign val="baseline"/>
        <sz val="14"/>
        <color auto="1"/>
        <name val="Calibri"/>
        <family val="2"/>
        <scheme val="minor"/>
      </font>
      <numFmt numFmtId="3" formatCode="#,##0"/>
      <border diagonalUp="0" diagonalDown="0" outline="0">
        <left/>
        <right/>
        <top style="medium">
          <color indexed="64"/>
        </top>
        <bottom style="medium">
          <color indexed="64"/>
        </bottom>
      </border>
    </dxf>
    <dxf>
      <font>
        <strike val="0"/>
        <outline val="0"/>
        <shadow val="0"/>
        <u val="none"/>
        <vertAlign val="baseline"/>
        <sz val="11"/>
        <name val="Calibri"/>
        <family val="2"/>
        <scheme val="minor"/>
      </font>
      <numFmt numFmtId="3" formatCode="#,##0"/>
    </dxf>
    <dxf>
      <font>
        <b val="0"/>
        <i val="0"/>
        <strike val="0"/>
        <condense val="0"/>
        <extend val="0"/>
        <outline val="0"/>
        <shadow val="0"/>
        <u val="none"/>
        <vertAlign val="baseline"/>
        <sz val="14"/>
        <color auto="1"/>
        <name val="Calibri"/>
        <family val="2"/>
        <scheme val="minor"/>
      </font>
      <numFmt numFmtId="3" formatCode="#,##0"/>
      <border diagonalUp="0" diagonalDown="0" outline="0">
        <left/>
        <right/>
        <top style="medium">
          <color indexed="64"/>
        </top>
        <bottom style="medium">
          <color indexed="64"/>
        </bottom>
      </border>
    </dxf>
    <dxf>
      <font>
        <strike val="0"/>
        <outline val="0"/>
        <shadow val="0"/>
        <u val="none"/>
        <vertAlign val="baseline"/>
        <sz val="11"/>
        <name val="Calibri"/>
        <family val="2"/>
        <scheme val="minor"/>
      </font>
      <numFmt numFmtId="3" formatCode="#,##0"/>
    </dxf>
    <dxf>
      <font>
        <b val="0"/>
        <i val="0"/>
        <strike val="0"/>
        <condense val="0"/>
        <extend val="0"/>
        <outline val="0"/>
        <shadow val="0"/>
        <u val="none"/>
        <vertAlign val="baseline"/>
        <sz val="14"/>
        <color auto="1"/>
        <name val="Calibri"/>
        <family val="2"/>
        <scheme val="minor"/>
      </font>
      <numFmt numFmtId="3" formatCode="#,##0"/>
      <border diagonalUp="0" diagonalDown="0" outline="0">
        <left/>
        <right/>
        <top style="medium">
          <color indexed="64"/>
        </top>
        <bottom style="medium">
          <color indexed="64"/>
        </bottom>
      </border>
    </dxf>
    <dxf>
      <font>
        <strike val="0"/>
        <outline val="0"/>
        <shadow val="0"/>
        <u val="none"/>
        <vertAlign val="baseline"/>
        <sz val="11"/>
        <name val="Calibri"/>
        <family val="2"/>
        <scheme val="minor"/>
      </font>
      <numFmt numFmtId="3" formatCode="#,##0"/>
    </dxf>
    <dxf>
      <font>
        <b val="0"/>
        <i val="0"/>
        <strike val="0"/>
        <condense val="0"/>
        <extend val="0"/>
        <outline val="0"/>
        <shadow val="0"/>
        <u val="none"/>
        <vertAlign val="baseline"/>
        <sz val="14"/>
        <color auto="1"/>
        <name val="Calibri"/>
        <family val="2"/>
        <scheme val="minor"/>
      </font>
      <numFmt numFmtId="3" formatCode="#,##0"/>
      <border diagonalUp="0" diagonalDown="0" outline="0">
        <left/>
        <right/>
        <top style="medium">
          <color indexed="64"/>
        </top>
        <bottom style="medium">
          <color indexed="64"/>
        </bottom>
      </border>
    </dxf>
    <dxf>
      <font>
        <strike val="0"/>
        <outline val="0"/>
        <shadow val="0"/>
        <u val="none"/>
        <vertAlign val="baseline"/>
        <sz val="11"/>
        <name val="Calibri"/>
        <family val="2"/>
        <scheme val="minor"/>
      </font>
      <numFmt numFmtId="3" formatCode="#,##0"/>
    </dxf>
    <dxf>
      <font>
        <b/>
        <i val="0"/>
        <strike val="0"/>
        <condense val="0"/>
        <extend val="0"/>
        <outline val="0"/>
        <shadow val="0"/>
        <u val="none"/>
        <vertAlign val="baseline"/>
        <sz val="14"/>
        <color auto="1"/>
        <name val="Calibri"/>
        <family val="2"/>
        <scheme val="minor"/>
      </font>
      <numFmt numFmtId="19" formatCode="m/d/yyyy"/>
      <border diagonalUp="0" diagonalDown="0" outline="0">
        <left style="medium">
          <color indexed="64"/>
        </left>
        <right/>
        <top style="medium">
          <color indexed="64"/>
        </top>
        <bottom style="medium">
          <color indexed="64"/>
        </bottom>
      </border>
    </dxf>
    <dxf>
      <font>
        <strike val="0"/>
        <outline val="0"/>
        <shadow val="0"/>
        <u val="none"/>
        <vertAlign val="baseline"/>
        <sz val="11"/>
        <name val="Calibri"/>
        <family val="2"/>
        <scheme val="minor"/>
      </font>
      <numFmt numFmtId="19" formatCode="m/d/yyyy"/>
    </dxf>
    <dxf>
      <font>
        <b val="0"/>
        <i val="0"/>
        <strike val="0"/>
        <condense val="0"/>
        <extend val="0"/>
        <outline val="0"/>
        <shadow val="0"/>
        <u val="none"/>
        <vertAlign val="baseline"/>
        <sz val="14"/>
        <color auto="1"/>
        <name val="Calibri"/>
        <family val="2"/>
        <scheme val="minor"/>
      </font>
      <numFmt numFmtId="19" formatCode="m/d/yyyy"/>
      <border diagonalUp="0" diagonalDown="0" outline="0">
        <left/>
        <right/>
        <top/>
        <bottom/>
      </border>
    </dxf>
    <dxf>
      <font>
        <strike val="0"/>
        <outline val="0"/>
        <shadow val="0"/>
        <u val="none"/>
        <vertAlign val="baseline"/>
        <sz val="11"/>
        <name val="Calibri"/>
        <family val="2"/>
        <scheme val="minor"/>
      </font>
      <numFmt numFmtId="19" formatCode="m/d/yyyy"/>
    </dxf>
    <dxf>
      <font>
        <b val="0"/>
        <i val="0"/>
        <strike val="0"/>
        <condense val="0"/>
        <extend val="0"/>
        <outline val="0"/>
        <shadow val="0"/>
        <u val="none"/>
        <vertAlign val="baseline"/>
        <sz val="14"/>
        <color auto="1"/>
        <name val="Calibri"/>
        <family val="2"/>
        <scheme val="minor"/>
      </font>
      <alignment horizontal="left"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left" vertical="center" textRotation="0" wrapText="0" indent="0" justifyLastLine="0" shrinkToFit="0" readingOrder="0"/>
    </dxf>
    <dxf>
      <font>
        <b/>
        <i val="0"/>
        <strike val="0"/>
        <condense val="0"/>
        <extend val="0"/>
        <outline val="0"/>
        <shadow val="0"/>
        <u val="none"/>
        <vertAlign val="baseline"/>
        <sz val="14"/>
        <color auto="1"/>
        <name val="Calibri"/>
        <family val="2"/>
        <scheme val="minor"/>
      </font>
      <fill>
        <patternFill patternType="solid">
          <fgColor indexed="64"/>
          <bgColor rgb="FFEEEEEE"/>
        </patternFill>
      </fill>
      <alignment horizontal="right" vertical="bottom" textRotation="0" wrapText="0" indent="0" justifyLastLine="0" shrinkToFit="0" readingOrder="0"/>
      <border diagonalUp="0" diagonalDown="0" outline="0">
        <left style="medium">
          <color auto="1"/>
        </left>
        <right style="medium">
          <color auto="1"/>
        </right>
        <top style="medium">
          <color auto="1"/>
        </top>
        <bottom style="medium">
          <color auto="1"/>
        </bottom>
      </border>
    </dxf>
    <dxf>
      <font>
        <b/>
        <i val="0"/>
        <strike val="0"/>
        <condense val="0"/>
        <extend val="0"/>
        <outline val="0"/>
        <shadow val="0"/>
        <u val="none"/>
        <vertAlign val="baseline"/>
        <sz val="11"/>
        <color auto="1"/>
        <name val="Calibri"/>
        <family val="2"/>
        <scheme val="minor"/>
      </font>
      <fill>
        <patternFill patternType="solid">
          <fgColor indexed="64"/>
          <bgColor rgb="FFEEEEEE"/>
        </patternFill>
      </fill>
      <alignment horizontal="left" vertical="bottom" textRotation="0" wrapText="0" indent="0" justifyLastLine="0" shrinkToFit="0" readingOrder="0"/>
      <border diagonalUp="0" diagonalDown="0" outline="0">
        <left style="medium">
          <color auto="1"/>
        </left>
        <right style="medium">
          <color auto="1"/>
        </right>
        <top style="medium">
          <color auto="1"/>
        </top>
        <bottom style="medium">
          <color auto="1"/>
        </bottom>
      </border>
    </dxf>
    <dxf>
      <alignment horizontal="left"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left" vertical="center" textRotation="0" wrapText="0" indent="0" justifyLastLine="0" shrinkToFit="0" readingOrder="0"/>
    </dxf>
    <dxf>
      <border outline="0">
        <top style="medium">
          <color auto="1"/>
        </top>
      </border>
    </dxf>
    <dxf>
      <border outline="0">
        <bottom style="medium">
          <color auto="1"/>
        </bottom>
      </border>
    </dxf>
    <dxf>
      <font>
        <b/>
        <i val="0"/>
        <strike val="0"/>
        <condense val="0"/>
        <extend val="0"/>
        <outline val="0"/>
        <shadow val="0"/>
        <u val="none"/>
        <vertAlign val="baseline"/>
        <sz val="11"/>
        <color theme="1"/>
        <name val="Calibri"/>
        <family val="2"/>
        <scheme val="minor"/>
      </font>
      <fill>
        <patternFill patternType="solid">
          <fgColor indexed="64"/>
          <bgColor rgb="FFEEEEEE"/>
        </patternFill>
      </fill>
      <alignment horizontal="left" vertical="bottom" textRotation="0" wrapText="1" indent="0" justifyLastLine="0" shrinkToFit="0" readingOrder="0"/>
      <border diagonalUp="0" diagonalDown="0" outline="0">
        <left style="medium">
          <color auto="1"/>
        </left>
        <right style="medium">
          <color auto="1"/>
        </right>
        <top/>
        <bottom/>
      </border>
    </dxf>
    <dxf>
      <font>
        <b val="0"/>
        <i val="0"/>
        <strike val="0"/>
        <condense val="0"/>
        <extend val="0"/>
        <outline val="0"/>
        <shadow val="0"/>
        <u val="none"/>
        <vertAlign val="baseline"/>
        <sz val="10"/>
        <color auto="1"/>
        <name val="Arial"/>
        <family val="2"/>
        <scheme val="none"/>
      </font>
      <alignment horizontal="left" vertical="center" textRotation="0" wrapText="0" indent="0" justifyLastLine="0" shrinkToFit="0" readingOrder="0"/>
      <border diagonalUp="0" diagonalDown="0" outline="0">
        <left/>
        <right/>
        <top/>
        <bottom/>
      </border>
    </dxf>
    <dxf>
      <alignment horizontal="right"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left" vertical="center" textRotation="0" wrapText="0" indent="0" justifyLastLine="0" shrinkToFit="0" readingOrder="0"/>
      <border diagonalUp="0" diagonalDown="0" outline="0">
        <left/>
        <right/>
        <top/>
        <bottom/>
      </border>
    </dxf>
    <dxf>
      <alignment horizontal="right"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left" vertical="center" textRotation="0" wrapText="0" indent="0" justifyLastLine="0" shrinkToFit="0" readingOrder="0"/>
      <border diagonalUp="0" diagonalDown="0" outline="0">
        <left/>
        <right/>
        <top/>
        <bottom/>
      </border>
    </dxf>
    <dxf>
      <alignment horizontal="right"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left" vertical="center" textRotation="0" wrapText="0" indent="0" justifyLastLine="0" shrinkToFit="0" readingOrder="0"/>
      <border diagonalUp="0" diagonalDown="0" outline="0">
        <left/>
        <right/>
        <top/>
        <bottom/>
      </border>
    </dxf>
    <dxf>
      <alignment horizontal="right"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left" vertical="center" textRotation="0" wrapText="0" indent="0" justifyLastLine="0" shrinkToFit="0" readingOrder="0"/>
      <border diagonalUp="0" diagonalDown="0" outline="0">
        <left/>
        <right/>
        <top/>
        <bottom/>
      </border>
    </dxf>
    <dxf>
      <alignment horizontal="right"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border diagonalUp="0" diagonalDown="0" outline="0">
        <left/>
        <right/>
        <top/>
        <bottom/>
      </border>
    </dxf>
    <dxf>
      <alignment horizontal="right"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left" vertical="center" textRotation="0" wrapText="0" indent="0" justifyLastLine="0" shrinkToFit="0" readingOrder="0"/>
      <border diagonalUp="0" diagonalDown="0" outline="0">
        <left/>
        <right/>
        <top/>
        <bottom/>
      </border>
    </dxf>
    <dxf>
      <alignment horizontal="right"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border diagonalUp="0" diagonalDown="0" outline="0">
        <left/>
        <right/>
        <top/>
        <bottom/>
      </border>
    </dxf>
    <dxf>
      <alignment horizontal="right"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left" vertical="center" textRotation="0" wrapText="0" indent="0" justifyLastLine="0" shrinkToFit="0" readingOrder="0"/>
      <border diagonalUp="0" diagonalDown="0" outline="0">
        <left/>
        <right/>
        <top/>
        <bottom/>
      </border>
    </dxf>
    <dxf>
      <alignment horizontal="right"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left" vertical="center" textRotation="0" wrapText="0" indent="0" justifyLastLine="0" shrinkToFit="0" readingOrder="0"/>
      <border diagonalUp="0" diagonalDown="0" outline="0">
        <left/>
        <right/>
        <top/>
        <bottom/>
      </border>
    </dxf>
    <dxf>
      <alignment horizontal="right"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border diagonalUp="0" diagonalDown="0" outline="0">
        <left/>
        <right/>
        <top/>
        <bottom/>
      </border>
    </dxf>
    <dxf>
      <alignment horizontal="right"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border diagonalUp="0" diagonalDown="0" outline="0">
        <left/>
        <right/>
        <top/>
        <bottom/>
      </border>
    </dxf>
    <dxf>
      <alignment horizontal="right"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border diagonalUp="0" diagonalDown="0" outline="0">
        <left/>
        <right/>
        <top/>
        <bottom/>
      </border>
    </dxf>
    <dxf>
      <alignment horizontal="right"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border diagonalUp="0" diagonalDown="0" outline="0">
        <left/>
        <right/>
        <top/>
        <bottom/>
      </border>
    </dxf>
    <dxf>
      <alignment horizontal="right"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border diagonalUp="0" diagonalDown="0" outline="0">
        <left/>
        <right/>
        <top/>
        <bottom/>
      </border>
    </dxf>
    <dxf>
      <alignment horizontal="right"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border diagonalUp="0" diagonalDown="0" outline="0">
        <left/>
        <right/>
        <top/>
        <bottom/>
      </border>
    </dxf>
    <dxf>
      <alignment horizontal="right"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border diagonalUp="0" diagonalDown="0" outline="0">
        <left/>
        <right/>
        <top/>
        <bottom/>
      </border>
    </dxf>
    <dxf>
      <alignment horizontal="right"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border diagonalUp="0" diagonalDown="0" outline="0">
        <left/>
        <right/>
        <top/>
        <bottom/>
      </border>
    </dxf>
    <dxf>
      <alignment horizontal="right"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border diagonalUp="0" diagonalDown="0" outline="0">
        <left/>
        <right/>
        <top/>
        <bottom/>
      </border>
    </dxf>
    <dxf>
      <alignment horizontal="right"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border diagonalUp="0" diagonalDown="0" outline="0">
        <left/>
        <right/>
        <top/>
        <bottom/>
      </border>
    </dxf>
    <dxf>
      <alignment horizontal="right"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left" vertical="center" textRotation="0" wrapText="0" indent="0" justifyLastLine="0" shrinkToFit="0" readingOrder="0"/>
      <border diagonalUp="0" diagonalDown="0" outline="0">
        <left/>
        <right/>
        <top/>
        <bottom/>
      </border>
    </dxf>
    <dxf>
      <alignment horizontal="right"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left" vertical="center" textRotation="0" wrapText="0" indent="0" justifyLastLine="0" shrinkToFit="0" readingOrder="0"/>
      <border diagonalUp="0" diagonalDown="0" outline="0">
        <left/>
        <right/>
        <top/>
        <bottom/>
      </border>
    </dxf>
    <dxf>
      <alignment horizontal="right"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left" vertical="center" textRotation="0" wrapText="0" indent="0" justifyLastLine="0" shrinkToFit="0" readingOrder="0"/>
      <border diagonalUp="0" diagonalDown="0" outline="0">
        <left/>
        <right/>
        <top/>
        <bottom/>
      </border>
    </dxf>
    <dxf>
      <alignment horizontal="right"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border diagonalUp="0" diagonalDown="0" outline="0">
        <left/>
        <right/>
        <top/>
        <bottom/>
      </border>
    </dxf>
    <dxf>
      <alignment horizontal="right"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left" vertical="center" textRotation="0" wrapText="0" indent="0" justifyLastLine="0" shrinkToFit="0" readingOrder="0"/>
      <border diagonalUp="0" diagonalDown="0" outline="0">
        <left/>
        <right/>
        <top/>
        <bottom/>
      </border>
    </dxf>
    <dxf>
      <alignment horizontal="right"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left" vertical="center" textRotation="0" wrapText="0" indent="0" justifyLastLine="0" shrinkToFit="0" readingOrder="0"/>
      <border diagonalUp="0" diagonalDown="0" outline="0">
        <left/>
        <right/>
        <top/>
        <bottom/>
      </border>
    </dxf>
    <dxf>
      <alignment horizontal="right"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border diagonalUp="0" diagonalDown="0" outline="0">
        <left/>
        <right/>
        <top/>
        <bottom/>
      </border>
    </dxf>
    <dxf>
      <alignment horizontal="right"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left" vertical="center" textRotation="0" wrapText="0" indent="0" justifyLastLine="0" shrinkToFit="0" readingOrder="0"/>
      <border diagonalUp="0" diagonalDown="0" outline="0">
        <left/>
        <right/>
        <top/>
        <bottom/>
      </border>
    </dxf>
    <dxf>
      <alignment horizontal="right"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border diagonalUp="0" diagonalDown="0" outline="0">
        <left/>
        <right/>
        <top/>
        <bottom/>
      </border>
    </dxf>
    <dxf>
      <alignment horizontal="right"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left" vertical="center" textRotation="0" wrapText="0" indent="0" justifyLastLine="0" shrinkToFit="0" readingOrder="0"/>
      <border diagonalUp="0" diagonalDown="0" outline="0">
        <left/>
        <right/>
        <top/>
        <bottom/>
      </border>
    </dxf>
    <dxf>
      <alignment horizontal="right"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left" vertical="center" textRotation="0" wrapText="0" indent="0" justifyLastLine="0" shrinkToFit="0" readingOrder="0"/>
      <border diagonalUp="0" diagonalDown="0" outline="0">
        <left/>
        <right/>
        <top/>
        <bottom/>
      </border>
    </dxf>
    <dxf>
      <alignment horizontal="right"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left" vertical="center" textRotation="0" wrapText="0" indent="0" justifyLastLine="0" shrinkToFit="0" readingOrder="0"/>
      <border diagonalUp="0" diagonalDown="0" outline="0">
        <left/>
        <right/>
        <top/>
        <bottom/>
      </border>
    </dxf>
    <dxf>
      <font>
        <b/>
        <i val="0"/>
        <strike val="0"/>
        <condense val="0"/>
        <extend val="0"/>
        <outline val="0"/>
        <shadow val="0"/>
        <u val="none"/>
        <vertAlign val="baseline"/>
        <sz val="10"/>
        <color auto="1"/>
        <name val="Arial"/>
        <family val="2"/>
        <scheme val="none"/>
      </font>
      <fill>
        <patternFill patternType="solid">
          <fgColor indexed="64"/>
          <bgColor rgb="FFEEEEEE"/>
        </patternFill>
      </fill>
      <alignment horizontal="left" vertical="bottom" textRotation="0" wrapText="0" indent="0" justifyLastLine="0" shrinkToFit="0" readingOrder="0"/>
      <border diagonalUp="0" diagonalDown="0" outline="0">
        <left style="medium">
          <color auto="1"/>
        </left>
        <right style="medium">
          <color auto="1"/>
        </right>
        <top style="medium">
          <color auto="1"/>
        </top>
        <bottom/>
      </border>
    </dxf>
    <dxf>
      <font>
        <b/>
        <i val="0"/>
        <strike val="0"/>
        <condense val="0"/>
        <extend val="0"/>
        <outline val="0"/>
        <shadow val="0"/>
        <u val="none"/>
        <vertAlign val="baseline"/>
        <sz val="10"/>
        <color auto="1"/>
        <name val="Arial"/>
        <family val="2"/>
        <scheme val="none"/>
      </font>
      <fill>
        <patternFill patternType="solid">
          <fgColor indexed="64"/>
          <bgColor rgb="FFEEEEEE"/>
        </patternFill>
      </fill>
      <alignment horizontal="left" vertical="bottom" textRotation="0" wrapText="0" indent="0" justifyLastLine="0" shrinkToFit="0" readingOrder="0"/>
      <border diagonalUp="0" diagonalDown="0">
        <left style="medium">
          <color auto="1"/>
        </left>
        <right style="medium">
          <color auto="1"/>
        </right>
        <top style="medium">
          <color auto="1"/>
        </top>
        <bottom style="medium">
          <color auto="1"/>
        </bottom>
        <vertical/>
        <horizontal/>
      </border>
    </dxf>
    <dxf>
      <font>
        <b val="0"/>
        <i val="0"/>
        <strike val="0"/>
        <condense val="0"/>
        <extend val="0"/>
        <outline val="0"/>
        <shadow val="0"/>
        <u val="none"/>
        <vertAlign val="baseline"/>
        <sz val="10"/>
        <color auto="1"/>
        <name val="Arial"/>
        <family val="2"/>
        <scheme val="none"/>
      </font>
      <alignment horizontal="left" vertical="center" textRotation="0" wrapText="0" indent="0" justifyLastLine="0" shrinkToFit="0" readingOrder="0"/>
      <border diagonalUp="0" diagonalDown="0" outline="0">
        <left/>
        <right/>
        <top/>
        <bottom/>
      </border>
    </dxf>
    <dxf>
      <border outline="0">
        <top style="medium">
          <color auto="1"/>
        </top>
      </border>
    </dxf>
    <dxf>
      <border outline="0">
        <bottom style="medium">
          <color auto="1"/>
        </bottom>
      </border>
    </dxf>
    <dxf>
      <font>
        <b/>
        <i val="0"/>
        <strike val="0"/>
        <condense val="0"/>
        <extend val="0"/>
        <outline val="0"/>
        <shadow val="0"/>
        <u val="none"/>
        <vertAlign val="baseline"/>
        <sz val="10"/>
        <color theme="1"/>
        <name val="Arial"/>
        <scheme val="none"/>
      </font>
      <fill>
        <patternFill patternType="solid">
          <fgColor indexed="64"/>
          <bgColor rgb="FFEEEEEE"/>
        </patternFill>
      </fill>
      <alignment horizontal="left" vertical="bottom" textRotation="0" wrapText="1" indent="0" justifyLastLine="0" shrinkToFit="0" readingOrder="0"/>
      <border diagonalUp="0" diagonalDown="0" outline="0">
        <left style="medium">
          <color auto="1"/>
        </left>
        <right style="medium">
          <color auto="1"/>
        </right>
        <top/>
        <bottom/>
      </border>
    </dxf>
  </dxfs>
  <tableStyles count="0" defaultTableStyle="TableStyleMedium2" defaultPivotStyle="PivotStyleLight16"/>
  <colors>
    <mruColors>
      <color rgb="FF8CC6D4"/>
      <color rgb="FF5454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590550</xdr:colOff>
      <xdr:row>5</xdr:row>
      <xdr:rowOff>144780</xdr:rowOff>
    </xdr:to>
    <xdr:sp macro="" textlink="">
      <xdr:nvSpPr>
        <xdr:cNvPr id="2" name="TextBox 1">
          <a:extLst>
            <a:ext uri="{FF2B5EF4-FFF2-40B4-BE49-F238E27FC236}">
              <a16:creationId xmlns:a16="http://schemas.microsoft.com/office/drawing/2014/main" id="{E1358053-DE34-490C-91A0-4670ECFA148E}"/>
            </a:ext>
          </a:extLst>
        </xdr:cNvPr>
        <xdr:cNvSpPr txBox="1"/>
      </xdr:nvSpPr>
      <xdr:spPr>
        <a:xfrm>
          <a:off x="0" y="0"/>
          <a:ext cx="8086725" cy="1097280"/>
        </a:xfrm>
        <a:prstGeom prst="rect">
          <a:avLst/>
        </a:prstGeom>
        <a:solidFill>
          <a:srgbClr val="8CC6D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800"/>
            <a:t>Michigan Public</a:t>
          </a:r>
          <a:r>
            <a:rPr lang="en-US" sz="1800" baseline="0"/>
            <a:t> Library Statistics 2020</a:t>
          </a:r>
        </a:p>
        <a:p>
          <a:pPr algn="ctr"/>
          <a:endParaRPr lang="en-US" sz="1800" baseline="0"/>
        </a:p>
        <a:p>
          <a:pPr algn="ctr"/>
          <a:r>
            <a:rPr lang="en-US" sz="1800" baseline="0"/>
            <a:t>Table of Contents</a:t>
          </a:r>
          <a:endParaRPr lang="en-US" sz="18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114300</xdr:rowOff>
    </xdr:from>
    <xdr:to>
      <xdr:col>1</xdr:col>
      <xdr:colOff>6638925</xdr:colOff>
      <xdr:row>28</xdr:row>
      <xdr:rowOff>152400</xdr:rowOff>
    </xdr:to>
    <xdr:sp macro="" textlink="">
      <xdr:nvSpPr>
        <xdr:cNvPr id="2" name="TextBox 1">
          <a:extLst>
            <a:ext uri="{FF2B5EF4-FFF2-40B4-BE49-F238E27FC236}">
              <a16:creationId xmlns:a16="http://schemas.microsoft.com/office/drawing/2014/main" id="{7D793158-8FF7-4C8E-B612-C128299F8DFA}"/>
            </a:ext>
          </a:extLst>
        </xdr:cNvPr>
        <xdr:cNvSpPr txBox="1"/>
      </xdr:nvSpPr>
      <xdr:spPr>
        <a:xfrm>
          <a:off x="0" y="438150"/>
          <a:ext cx="12687300" cy="4248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An Introduction</a:t>
          </a:r>
          <a:r>
            <a:rPr lang="en-US" sz="1100" baseline="0">
              <a:solidFill>
                <a:schemeClr val="dk1"/>
              </a:solidFill>
              <a:effectLst/>
              <a:latin typeface="+mn-lt"/>
              <a:ea typeface="+mn-ea"/>
              <a:cs typeface="+mn-cs"/>
            </a:rPr>
            <a:t> to the FY2020-2021 Annual Report Statistics</a:t>
          </a:r>
          <a:endParaRPr lang="en-US">
            <a:effectLst/>
          </a:endParaRPr>
        </a:p>
        <a:p>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The 2020 Michigan Public Libraries Statistics comprises compiled data Excel spreadsheets. Data was collected as part of the 2020/2021 Annual Report/State Aid Application. Library systems were asked to report data that includes their main and branch libraries. </a:t>
          </a:r>
          <a:r>
            <a:rPr lang="en-US" sz="1100" b="1" u="sng">
              <a:solidFill>
                <a:schemeClr val="dk1"/>
              </a:solidFill>
              <a:effectLst/>
              <a:latin typeface="+mn-lt"/>
              <a:ea typeface="+mn-ea"/>
              <a:cs typeface="+mn-cs"/>
            </a:rPr>
            <a:t>The reporting year for the public libraries is the most recent fiscal year completed by each library prior to October 1, 2020</a:t>
          </a:r>
          <a:r>
            <a:rPr lang="en-US" sz="1100">
              <a:solidFill>
                <a:schemeClr val="dk1"/>
              </a:solidFill>
              <a:effectLst/>
              <a:latin typeface="+mn-lt"/>
              <a:ea typeface="+mn-ea"/>
              <a:cs typeface="+mn-cs"/>
            </a:rPr>
            <a:t>. The Report form was accessed by libraries via the Internet, at: </a:t>
          </a:r>
          <a:r>
            <a:rPr lang="en-US" sz="1100" b="0" i="0">
              <a:solidFill>
                <a:schemeClr val="dk1"/>
              </a:solidFill>
              <a:effectLst/>
              <a:latin typeface="+mn-lt"/>
              <a:ea typeface="+mn-ea"/>
              <a:cs typeface="+mn-cs"/>
            </a:rPr>
            <a:t>https://mi.countingopinions.com </a:t>
          </a:r>
          <a:r>
            <a:rPr lang="en-US" sz="1100">
              <a:solidFill>
                <a:schemeClr val="dk1"/>
              </a:solidFill>
              <a:effectLst/>
              <a:latin typeface="+mn-lt"/>
              <a:ea typeface="+mn-ea"/>
              <a:cs typeface="+mn-cs"/>
            </a:rPr>
            <a:t>and submitted electronically. The collection cycle commenced on October 1, 2020 and concluded on February 1, 2021. </a:t>
          </a:r>
          <a:endParaRPr lang="en-US">
            <a:effectLst/>
          </a:endParaRPr>
        </a:p>
        <a:p>
          <a:r>
            <a:rPr lang="en-US" sz="1100">
              <a:solidFill>
                <a:schemeClr val="dk1"/>
              </a:solidFill>
              <a:effectLst/>
              <a:latin typeface="+mn-lt"/>
              <a:ea typeface="+mn-ea"/>
              <a:cs typeface="+mn-cs"/>
            </a:rPr>
            <a:t>Definitions for public library data elements are based on the Public Library Survey Cooperative (PLSC) of the Institute of Museum and Library Services. By using this national system and its definitions of terms, Michigan’s data is comparable with that of the other 49 states and the District of Columbia. The </a:t>
          </a:r>
          <a:endParaRPr lang="en-US">
            <a:effectLst/>
          </a:endParaRPr>
        </a:p>
        <a:p>
          <a:r>
            <a:rPr lang="en-US" sz="1100">
              <a:solidFill>
                <a:schemeClr val="dk1"/>
              </a:solidFill>
              <a:effectLst/>
              <a:latin typeface="+mn-lt"/>
              <a:ea typeface="+mn-ea"/>
              <a:cs typeface="+mn-cs"/>
            </a:rPr>
            <a:t>national data for Fiscal Year 2019 is now available and can be downloaded from the Web at </a:t>
          </a:r>
          <a:r>
            <a:rPr lang="en-US" sz="1100" u="sng">
              <a:solidFill>
                <a:schemeClr val="dk1"/>
              </a:solidFill>
              <a:effectLst/>
              <a:latin typeface="+mn-lt"/>
              <a:ea typeface="+mn-ea"/>
              <a:cs typeface="+mn-cs"/>
            </a:rPr>
            <a:t>http://www.imls.gov</a:t>
          </a:r>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Public library data is presented by class size, which is determined by population. The calculated total for “Population of Library Service Area” exceeds the state’s total population because more than one public library may count the same population. For example, a district library may share part of another </a:t>
          </a:r>
          <a:endParaRPr lang="en-US">
            <a:effectLst/>
          </a:endParaRPr>
        </a:p>
        <a:p>
          <a:r>
            <a:rPr lang="en-US" sz="1100">
              <a:solidFill>
                <a:schemeClr val="dk1"/>
              </a:solidFill>
              <a:effectLst/>
              <a:latin typeface="+mn-lt"/>
              <a:ea typeface="+mn-ea"/>
              <a:cs typeface="+mn-cs"/>
            </a:rPr>
            <a:t>library’s service area by virtue of having a participating municipality, such as a school district, with geographic boundaries extending into the adjoining library’s service area. </a:t>
          </a:r>
          <a:endParaRPr lang="en-US">
            <a:effectLst/>
          </a:endParaRPr>
        </a:p>
        <a:p>
          <a:endParaRPr lang="en-US" sz="1100" b="0">
            <a:solidFill>
              <a:schemeClr val="dk1"/>
            </a:solidFill>
            <a:effectLst/>
            <a:latin typeface="+mn-lt"/>
            <a:ea typeface="+mn-ea"/>
            <a:cs typeface="+mn-cs"/>
          </a:endParaRPr>
        </a:p>
        <a:p>
          <a:r>
            <a:rPr lang="en-US" sz="1100" b="0">
              <a:solidFill>
                <a:schemeClr val="dk1"/>
              </a:solidFill>
              <a:effectLst/>
              <a:latin typeface="+mn-lt"/>
              <a:ea typeface="+mn-ea"/>
              <a:cs typeface="+mn-cs"/>
            </a:rPr>
            <a:t>The COVID related data collected and reported on this spreadsheet</a:t>
          </a:r>
          <a:r>
            <a:rPr lang="en-US" sz="1100" b="0" baseline="0">
              <a:solidFill>
                <a:schemeClr val="dk1"/>
              </a:solidFill>
              <a:effectLst/>
              <a:latin typeface="+mn-lt"/>
              <a:ea typeface="+mn-ea"/>
              <a:cs typeface="+mn-cs"/>
            </a:rPr>
            <a:t> measured activity that occured within Michigan's public libraries from March 2020 through September 30th 2020 regrdless of a libraries official fiscal year period.  </a:t>
          </a:r>
          <a:r>
            <a:rPr lang="en-US" sz="1100" b="0">
              <a:solidFill>
                <a:schemeClr val="dk1"/>
              </a:solidFill>
              <a:effectLst/>
              <a:latin typeface="+mn-lt"/>
              <a:ea typeface="+mn-ea"/>
              <a:cs typeface="+mn-cs"/>
            </a:rPr>
            <a:t>  </a:t>
          </a:r>
        </a:p>
        <a:p>
          <a:endParaRPr lang="en-US" sz="1100" b="0">
            <a:solidFill>
              <a:schemeClr val="dk1"/>
            </a:solidFill>
            <a:effectLst/>
            <a:latin typeface="+mn-lt"/>
            <a:ea typeface="+mn-ea"/>
            <a:cs typeface="+mn-cs"/>
          </a:endParaRPr>
        </a:p>
        <a:p>
          <a:r>
            <a:rPr lang="en-US" sz="1100" b="0">
              <a:solidFill>
                <a:schemeClr val="dk1"/>
              </a:solidFill>
              <a:effectLst/>
              <a:latin typeface="+mn-lt"/>
              <a:ea typeface="+mn-ea"/>
              <a:cs typeface="+mn-cs"/>
            </a:rPr>
            <a:t>389  of 396 Michigan</a:t>
          </a:r>
          <a:r>
            <a:rPr lang="en-US" sz="1100" b="0" baseline="0">
              <a:solidFill>
                <a:schemeClr val="dk1"/>
              </a:solidFill>
              <a:effectLst/>
              <a:latin typeface="+mn-lt"/>
              <a:ea typeface="+mn-ea"/>
              <a:cs typeface="+mn-cs"/>
            </a:rPr>
            <a:t> public libraries reported data for this period.  </a:t>
          </a:r>
          <a:r>
            <a:rPr lang="en-US" sz="1100" b="0">
              <a:solidFill>
                <a:schemeClr val="dk1"/>
              </a:solidFill>
              <a:effectLst/>
              <a:latin typeface="+mn-lt"/>
              <a:ea typeface="+mn-ea"/>
              <a:cs typeface="+mn-cs"/>
            </a:rPr>
            <a:t>Michigan</a:t>
          </a:r>
          <a:r>
            <a:rPr lang="en-US" sz="1100" b="0" baseline="0">
              <a:solidFill>
                <a:schemeClr val="dk1"/>
              </a:solidFill>
              <a:effectLst/>
              <a:latin typeface="+mn-lt"/>
              <a:ea typeface="+mn-ea"/>
              <a:cs typeface="+mn-cs"/>
            </a:rPr>
            <a:t> Public Libraries not included in this data set:  </a:t>
          </a:r>
          <a:r>
            <a:rPr lang="en-US" sz="1100" b="0" i="0">
              <a:solidFill>
                <a:schemeClr val="dk1"/>
              </a:solidFill>
              <a:effectLst/>
              <a:latin typeface="+mn-lt"/>
              <a:ea typeface="+mn-ea"/>
              <a:cs typeface="+mn-cs"/>
            </a:rPr>
            <a:t>Amasa Community Library, </a:t>
          </a:r>
          <a:r>
            <a:rPr lang="en-US" sz="1100" b="0" baseline="0">
              <a:solidFill>
                <a:schemeClr val="dk1"/>
              </a:solidFill>
              <a:effectLst/>
              <a:latin typeface="+mn-lt"/>
              <a:ea typeface="+mn-ea"/>
              <a:cs typeface="+mn-cs"/>
            </a:rPr>
            <a:t>Burlington Township Library, Falmouth Area Library, </a:t>
          </a:r>
          <a:r>
            <a:rPr lang="en-US" sz="1100" b="0" i="0">
              <a:solidFill>
                <a:schemeClr val="dk1"/>
              </a:solidFill>
              <a:effectLst/>
              <a:latin typeface="+mn-lt"/>
              <a:ea typeface="+mn-ea"/>
              <a:cs typeface="+mn-cs"/>
            </a:rPr>
            <a:t>Marinesco Township Library, Mcmillan Township Library, Royal</a:t>
          </a:r>
          <a:r>
            <a:rPr lang="en-US" sz="1100" b="0" i="0" baseline="0">
              <a:solidFill>
                <a:schemeClr val="dk1"/>
              </a:solidFill>
              <a:effectLst/>
              <a:latin typeface="+mn-lt"/>
              <a:ea typeface="+mn-ea"/>
              <a:cs typeface="+mn-cs"/>
            </a:rPr>
            <a:t> Oak Township Library, &amp; </a:t>
          </a:r>
          <a:r>
            <a:rPr lang="en-US" sz="1100" b="0" i="0">
              <a:solidFill>
                <a:schemeClr val="dk1"/>
              </a:solidFill>
              <a:effectLst/>
              <a:latin typeface="+mn-lt"/>
              <a:ea typeface="+mn-ea"/>
              <a:cs typeface="+mn-cs"/>
            </a:rPr>
            <a:t>Somerset Township Library. </a:t>
          </a:r>
          <a:endParaRPr lang="en-US">
            <a:effectLst/>
          </a:endParaRPr>
        </a:p>
        <a:p>
          <a:endParaRPr lang="en-US"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3FB17DF8-9046-47F8-8E29-CF6B512E145C}" name="Table14" displayName="Table14" ref="A3:AJ393" totalsRowCount="1" headerRowDxfId="508" headerRowBorderDxfId="507" tableBorderDxfId="506" dataCellStyle="sText">
  <autoFilter ref="A3:AJ392" xr:uid="{3FB17DF8-9046-47F8-8E29-CF6B512E145C}"/>
  <sortState xmlns:xlrd2="http://schemas.microsoft.com/office/spreadsheetml/2017/richdata2" ref="A4:AJ392">
    <sortCondition ref="D4:D392"/>
    <sortCondition ref="B4:B392"/>
  </sortState>
  <tableColumns count="36">
    <tableColumn id="1" xr3:uid="{9C18524A-E822-449C-AF9D-6451B962FCD6}" name="FSCS" totalsRowDxfId="505" dataCellStyle="sText"/>
    <tableColumn id="2" xr3:uid="{6F444A05-9A4A-4756-8CD5-080E8F79963F}" name="Location" dataDxfId="504" totalsRowDxfId="503"/>
    <tableColumn id="3" xr3:uid="{A25C7F9F-28D9-494A-976D-2F4F38021BF1}" name=" Cooperative" dataCellStyle="sText"/>
    <tableColumn id="4" xr3:uid="{3B34BD09-EFE3-4BF4-A7AA-F10F0D256CAD}" name=" Library Class" dataCellStyle="sText"/>
    <tableColumn id="5" xr3:uid="{D60A34A5-57D6-468C-B883-BA97F9CED53D}" name="Type" totalsRowDxfId="502" dataCellStyle="sText"/>
    <tableColumn id="6" xr3:uid="{258D2A09-7224-4DBB-865E-7C5D3B0F04B5}" name="Were any of the library's physical locations closed to the public for any period of time due to the Coronavirus (COVID-19) pandemic?" dataDxfId="501" totalsRowDxfId="500" dataCellStyle="sText"/>
    <tableColumn id="7" xr3:uid="{DEC988C3-FD35-481D-B4D2-7BB7BA771C2C}" name="Did any staff continue to provide services to the public during any portion of the period when the building was physically closed due to the Coronavirus (COVID-19) pandemic?" dataDxfId="499" totalsRowDxfId="498" dataCellStyle="sText"/>
    <tableColumn id="8" xr3:uid="{808294FB-53E1-4BF9-BFBD-73A780054ADB}" name="How many hours of alternate service were provided due to the Coronavirus (COVID-19) pandemic?" dataDxfId="497" totalsRowDxfId="496" dataCellStyle="sInteger"/>
    <tableColumn id="9" xr3:uid="{254AC4FA-298F-431F-80E5-DA93C0E3474D}" name="Did the library have any temporary staffing reductions due to the COVID-19 Pandemic" dataDxfId="495" totalsRowDxfId="494" dataCellStyle="sText"/>
    <tableColumn id="10" xr3:uid="{8B77B028-25DE-4B5C-A7D3-37357728DC67}" name="If your library reduced staffing hours Due to COVID-19 provide an approximate total of the hours reduced" dataDxfId="493" totalsRowDxfId="492" dataCellStyle="sInteger"/>
    <tableColumn id="11" xr3:uid="{A3C13A8D-893B-400F-BA4C-72022F0FB94F}" name="Were library staff re-assigned to assist other government agencies or nonprofit organizations with Coronavirus (COVID-19) pandemic -related efforts?" dataDxfId="491" totalsRowDxfId="490" dataCellStyle="sText"/>
    <tableColumn id="12" xr3:uid="{DD11DF5F-F9DB-4357-AE19-960D382AAB3E}" name="Did your library experience budget reductions due to the COVID-19 Pandemic" dataDxfId="489" totalsRowDxfId="488" dataCellStyle="sText"/>
    <tableColumn id="13" xr3:uid="{34C28764-A117-48F4-BB25-33068E65BA52}" name="If your budget was reduced due to COVID-19, please enter the approximate amount of the reduction" dataDxfId="487" totalsRowDxfId="486" dataCellStyle="sInteger"/>
    <tableColumn id="14" xr3:uid="{35227341-D24E-4455-96D3-AD18E4F0819C}" name="Did the library add or increase access to electronic collections or eMaterials due to the Coronavirus (COVID-19) pandemic?" dataDxfId="485" totalsRowDxfId="484" dataCellStyle="sText"/>
    <tableColumn id="15" xr3:uid="{0C1E4004-D966-4CAF-B5A4-CE3603B32046}" name="Did the library provide live, virtual programs via the Internet during the Coronavirus (COVID-19) pandemic?" dataDxfId="483" totalsRowDxfId="482" dataCellStyle="sText"/>
    <tableColumn id="16" xr3:uid="{7175C336-700C-45A8-A5A1-36A1D1370E30}" name="Did the library create and provide recordings of programs via the Internet during the Coronavirus (COVID-19) pandemic?" dataDxfId="481" totalsRowDxfId="480" dataCellStyle="sText"/>
    <tableColumn id="17" xr3:uid="{DC302A82-FE53-4CAD-82B1-B9521C30C14C}" name="(COVID-19) Children's Virtual Programs Offered (Live Events Only)" dataDxfId="479" totalsRowDxfId="478" dataCellStyle="sInteger"/>
    <tableColumn id="18" xr3:uid="{B3D6C3AF-E9F8-4FE2-AB51-A230C9DC582A}" name="(COVID-19) Children's Virtual Program Attendance (Live Events Only)" dataDxfId="477" totalsRowDxfId="476" dataCellStyle="sInteger"/>
    <tableColumn id="19" xr3:uid="{9D71EBFA-954B-4561-8E65-FD2F9BFA52B3}" name="(COVID-19) Teen Virtual Programs Offered (Live Events Only)" dataDxfId="475" totalsRowDxfId="474" dataCellStyle="sInteger"/>
    <tableColumn id="20" xr3:uid="{0700EDA2-4362-4C57-B48A-FFF59EE64807}" name="(COVID-19) Teen Virtual Program Attendance (Live Events Only)" dataDxfId="473" totalsRowDxfId="472" dataCellStyle="sInteger"/>
    <tableColumn id="21" xr3:uid="{7154ADA2-3EB5-42FF-8F48-8F8A18DEA6CF}" name="(COVID-19) Adult Virtual Programs Offered (Live Events Only)" dataDxfId="471" totalsRowDxfId="470" dataCellStyle="sInteger"/>
    <tableColumn id="22" xr3:uid="{52FB95CD-A533-4804-9E07-6491CF3ECDE9}" name="(COVID-19) Adult Virtual Program Attendance (Live Events Only)" dataDxfId="469" totalsRowDxfId="468" dataCellStyle="sInteger"/>
    <tableColumn id="23" xr3:uid="{1C13EEA9-B91D-4C8D-9C00-73B9EB91E81F}" name="(COVID-19) General Virtual Programs Offered (Live Events Only)" dataDxfId="467" totalsRowDxfId="466" dataCellStyle="sInteger"/>
    <tableColumn id="24" xr3:uid="{AEF66B9F-841E-49EF-A8FE-C096541AA706}" name="(COVID-19) General Virtual Programs Attendance (Live Events Only)" dataDxfId="465" totalsRowDxfId="464" dataCellStyle="sInteger"/>
    <tableColumn id="25" xr3:uid="{9A16D92E-C6DC-4314-8227-1A5FB12B89C6}" name="(COVID-19) The number of Library Created Virtual Recorded Program Content Offered due to the COVID-19 Pandemic" dataDxfId="463" totalsRowDxfId="462" dataCellStyle="sInteger"/>
    <tableColumn id="26" xr3:uid="{74964CE3-44C0-4B74-9952-4FDA5A0886F3}" name="(COVID-19) Total Library Created Virtual Program Recorded Views" dataDxfId="461" totalsRowDxfId="460" dataCellStyle="sInteger"/>
    <tableColumn id="27" xr3:uid="{00822870-8D2F-4B29-B90F-F9ED774E07A5}" name="Did the library provide ‘outside’ services for circulation of physical materials at any outlets during the Coronavirus (COVID-19) pandemic" dataDxfId="459" totalsRowDxfId="458" dataCellStyle="sText"/>
    <tableColumn id="28" xr3:uid="{74B3429A-785F-46DB-B9CC-9008FCC54F95}" name="Due to the COVID-19 Pandemic, did your library circulate electronic devices capable of providing remote internet access (Hoptspots, laptops with mobile broadband, etc)" dataDxfId="457" totalsRowDxfId="456" dataCellStyle="sText"/>
    <tableColumn id="29" xr3:uid="{8704DF6C-7C19-43F7-A874-7ABC66603D8D}" name="(COVID-19) Circulation of Internet Devices" dataDxfId="455" totalsRowDxfId="454" dataCellStyle="sInteger"/>
    <tableColumn id="30" xr3:uid="{CD1A3D5D-221D-4922-926B-8A252C564AD0}" name="Did the library provide reference service via the Internet or telephone during the Coronavirus (COVID-19) pandemic?" dataDxfId="453" totalsRowDxfId="452" dataCellStyle="sText"/>
    <tableColumn id="31" xr3:uid="{10B193B2-16F3-4A79-AF17-429E887A5880}" name="8. Reference Transactions" dataDxfId="451" totalsRowDxfId="450" dataCellStyle="sInteger"/>
    <tableColumn id="32" xr3:uid="{0A3213A2-E522-4081-B7E9-F82EB4E3DA72}" name="Are Reference transactions Counted or Estimated?" dataDxfId="449" totalsRowDxfId="448" dataCellStyle="sText"/>
    <tableColumn id="33" xr3:uid="{3C66D56C-BCB5-4E56-B4C7-FD269F3F86D0}" name="Did the library provide WiFi Internet access to users outside the building, at any outlet, before the Coronavirus (COVID-19) pandemic?”" dataDxfId="447" totalsRowDxfId="446" dataCellStyle="sText"/>
    <tableColumn id="34" xr3:uid="{C00039B8-4834-448C-A0C5-240720A02E5D}" name="Did the library provide or increase access to WiFi Internet access to users outside the building, at any outlet, during the Coronavirus (COVID-19) pandemic?" dataDxfId="445" totalsRowDxfId="444" dataCellStyle="sText"/>
    <tableColumn id="35" xr3:uid="{15AC0DB0-AE4B-409D-B611-9E9BAE5F4FA1}" name="Did the library issue library cards electronically before the Coronavirus (COVID-19) pandemic?" dataDxfId="443" totalsRowDxfId="442" dataCellStyle="sText"/>
    <tableColumn id="36" xr3:uid="{D933CEED-02CA-453E-8E0D-AD691274AD5A}" name="Did the library issue library cards electronically during the Coronavirus (COVID-19) pandemic?" dataDxfId="441" totalsRowDxfId="440" dataCellStyle="sText"/>
  </tableColumns>
  <tableStyleInfo name="TableStyleMedium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3:M393" totalsRowCount="1" headerRowDxfId="439" headerRowBorderDxfId="438" tableBorderDxfId="437" dataCellStyle="sInteger">
  <autoFilter ref="A3:M392" xr:uid="{00000000-0009-0000-0100-000001000000}"/>
  <sortState xmlns:xlrd2="http://schemas.microsoft.com/office/spreadsheetml/2017/richdata2" ref="A4:M392">
    <sortCondition ref="C4:C392"/>
    <sortCondition ref="B4:B392"/>
  </sortState>
  <tableColumns count="13">
    <tableColumn id="1" xr3:uid="{00000000-0010-0000-0000-000001000000}" name="FSCS" dataDxfId="436" totalsRowDxfId="435" dataCellStyle="sText"/>
    <tableColumn id="2" xr3:uid="{00000000-0010-0000-0000-000002000000}" name="Location" totalsRowLabel="Total Libraries Reporting (N)" dataDxfId="434" totalsRowDxfId="433"/>
    <tableColumn id="3" xr3:uid="{00000000-0010-0000-0000-000003000000}" name="Library Class" totalsRowFunction="count" dataDxfId="432" totalsRowDxfId="431" dataCellStyle="sText"/>
    <tableColumn id="4" xr3:uid="{00000000-0010-0000-0000-000004000000}" name="Report Start Period" dataDxfId="430" totalsRowDxfId="429" dataCellStyle="sShortDate"/>
    <tableColumn id="5" xr3:uid="{00000000-0010-0000-0000-000005000000}" name="Report End Period" totalsRowLabel="TOTAL" dataDxfId="428" totalsRowDxfId="427" dataCellStyle="sShortDate"/>
    <tableColumn id="6" xr3:uid="{00000000-0010-0000-0000-000006000000}" name="Number of Central Libraries" totalsRowFunction="sum" dataDxfId="426" totalsRowDxfId="425" dataCellStyle="sInteger"/>
    <tableColumn id="7" xr3:uid="{00000000-0010-0000-0000-000007000000}" name="Number of Branch Libraries" totalsRowFunction="sum" dataDxfId="424" totalsRowDxfId="423" dataCellStyle="sInteger"/>
    <tableColumn id="8" xr3:uid="{00000000-0010-0000-0000-000008000000}" name="Number of Bookmobiles" totalsRowFunction="sum" dataDxfId="422" totalsRowDxfId="421" dataCellStyle="sInteger"/>
    <tableColumn id="9" xr3:uid="{00000000-0010-0000-0000-000009000000}" name="Total Number of Outlets" totalsRowFunction="sum" dataDxfId="420" totalsRowDxfId="419" dataCellStyle="sInteger"/>
    <tableColumn id="10" xr3:uid="{00000000-0010-0000-0000-00000A000000}" name="Central Library(ies) Square Feet" totalsRowFunction="sum" dataDxfId="418" totalsRowDxfId="417" dataCellStyle="sInteger"/>
    <tableColumn id="11" xr3:uid="{00000000-0010-0000-0000-00000B000000}" name="Branch(es) Square Feet" totalsRowFunction="sum" dataDxfId="416" totalsRowDxfId="415" dataCellStyle="sInteger"/>
    <tableColumn id="12" xr3:uid="{00000000-0010-0000-0000-00000C000000}" name="Total Square Feet" totalsRowFunction="sum" dataDxfId="414" totalsRowDxfId="413" dataCellStyle="sInteger"/>
    <tableColumn id="13" xr3:uid="{00000000-0010-0000-0000-00000D000000}" name="Total Annual Public Service Hours" totalsRowFunction="sum" dataDxfId="412" totalsRowDxfId="411" dataCellStyle="sInteger"/>
  </tableColumns>
  <tableStyleInfo name="TableStyleLight1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A55383F-C758-4F0A-A254-C53DE16419C7}" name="Table2" displayName="Table2" ref="A3:Q395" totalsRowCount="1" headerRowDxfId="410" headerRowBorderDxfId="409" tableBorderDxfId="408">
  <autoFilter ref="A3:Q394" xr:uid="{DA55383F-C758-4F0A-A254-C53DE16419C7}">
    <filterColumn colId="2">
      <filters>
        <filter val="Class 1: Serve 3,999 or less"/>
        <filter val="Class 2: Serve 4,000-6,999"/>
        <filter val="Class 3: Serve 7,000-11,999"/>
        <filter val="Class 4: Serve 12,000-25,999"/>
        <filter val="Class 5: Serve 26,000-49,999"/>
        <filter val="Class 6: Serve 50,000+"/>
      </filters>
    </filterColumn>
  </autoFilter>
  <sortState xmlns:xlrd2="http://schemas.microsoft.com/office/spreadsheetml/2017/richdata2" ref="A4:Q392">
    <sortCondition ref="C3:C394"/>
  </sortState>
  <tableColumns count="17">
    <tableColumn id="1" xr3:uid="{D5CEDF09-15BA-48F2-9F08-369F24F170D0}" name="FSCS" totalsRowDxfId="407" dataCellStyle="sText"/>
    <tableColumn id="2" xr3:uid="{D2D462C9-74EF-4CEA-B215-006FD82F0287}" name="Location" totalsRowLabel="Total Libraries Reporting (N)" dataDxfId="406" totalsRowDxfId="405"/>
    <tableColumn id="3" xr3:uid="{E1664C2E-4651-423E-8549-CA376093FB09}" name="Library Class" totalsRowFunction="count" totalsRowDxfId="404" dataCellStyle="sText"/>
    <tableColumn id="4" xr3:uid="{FD02BD6A-4830-4152-8A87-A9AF8B40BBEF}" name="Total Population Served" dataCellStyle="sInteger"/>
    <tableColumn id="5" xr3:uid="{2428768B-2531-45C6-BEA3-FA6C3C5EA5DA}" name="Number of Print Materials" dataCellStyle="sInteger"/>
    <tableColumn id="6" xr3:uid="{1FA51453-D82B-43AF-8155-E2BC55EA86C3}" name="Audio (Physical Units)" dataCellStyle="sInteger"/>
    <tableColumn id="7" xr3:uid="{F24ED7A7-214C-4BDE-8692-02143D1975FB}" name="Video (Physical Units)" dataCellStyle="sInteger"/>
    <tableColumn id="8" xr3:uid="{0B37702E-B35E-4B99-9D6D-40E16BC99A72}" name="Subscriptions (Non-electronic)" dataCellStyle="sInteger"/>
    <tableColumn id="9" xr3:uid="{5540F541-8143-45CF-8284-F1B669594451}" name="Total Electronic Collections" dataCellStyle="sInteger"/>
    <tableColumn id="10" xr3:uid="{FF5061D4-74E0-4681-9523-CB3753B68288}" name="Electronic Books (E-Books)" dataCellStyle="sInteger"/>
    <tableColumn id="11" xr3:uid="{CC440452-D7CC-4DF5-9C17-1D562CB34B4C}" name="Audio (Downloadable Units)" dataCellStyle="sInteger"/>
    <tableColumn id="12" xr3:uid="{53D935E7-44BB-40C5-A374-9DD5756792E8}" name="Video (Downloadable Units)" dataCellStyle="sInteger"/>
    <tableColumn id="13" xr3:uid="{C56C0D4B-DF9E-48E7-994A-CF9C7C5DFE1D}" name="Total eContent" dataCellStyle="sInteger"/>
    <tableColumn id="14" xr3:uid="{C88B3FC6-D55E-431F-A411-F0BC3A579CC1}" name="Total Collection (Physical / Electronic Units)" dataCellStyle="sInteger"/>
    <tableColumn id="15" xr3:uid="{28AED4BC-E387-427B-B4D1-F5D2AA3B1941}" name="eMaterials Per Capita" dataDxfId="403"/>
    <tableColumn id="16" xr3:uid="{A3A21A76-3B54-4444-A404-3B92A78DC567}" name="Physical Materials Per Capita (subcriptions not included)" dataDxfId="402"/>
    <tableColumn id="17" xr3:uid="{E67AB7E7-AF1E-4CC8-A476-B5B09D900487}" name="Total Materials Per Capita" dataDxfId="401"/>
  </tableColumns>
  <tableStyleInfo name="TableStyleLight1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5975C9B-AD34-4B9E-90FE-A2DD441EF926}" name="Table3" displayName="Table3" ref="B3:AF393" totalsRowCount="1" headerRowDxfId="400" dataDxfId="399" totalsRowDxfId="397" tableBorderDxfId="398" dataCellStyle="sInteger">
  <autoFilter ref="B3:AF392" xr:uid="{85975C9B-AD34-4B9E-90FE-A2DD441EF926}"/>
  <sortState xmlns:xlrd2="http://schemas.microsoft.com/office/spreadsheetml/2017/richdata2" ref="B4:AF392">
    <sortCondition ref="C3:C392"/>
  </sortState>
  <tableColumns count="31">
    <tableColumn id="2" xr3:uid="{A86511E3-83DB-4B62-9E94-477AB1EF8CA1}" name="Location" totalsRowLabel="Total Libraries Reporting (N)" dataDxfId="396" totalsRowDxfId="395"/>
    <tableColumn id="3" xr3:uid="{FAE08603-C4E6-435F-AFA9-CFA5A4A2EE62}" name="Library Class" totalsRowFunction="count" dataDxfId="394" totalsRowDxfId="393" dataCellStyle="sText"/>
    <tableColumn id="4" xr3:uid="{E28DD2C2-9366-4084-A190-75B1E5A93673}" name="Total Population Served" dataDxfId="392" totalsRowDxfId="391" dataCellStyle="sInteger"/>
    <tableColumn id="5" xr3:uid="{0FDCA88B-D32A-4DE6-8A9B-5EB281700C88}" name="Number of active registered borrowers" dataDxfId="390" totalsRowDxfId="389" dataCellStyle="sInteger"/>
    <tableColumn id="6" xr3:uid="{A1DD1DBC-F01D-4D1D-9D81-D564648F3D43}" name="Library Visits" dataDxfId="388" totalsRowDxfId="387" dataCellStyle="sInteger"/>
    <tableColumn id="7" xr3:uid="{C66E5DB8-9036-4CC5-BF16-3F9E0A14156F}" name="Virtual Visits to the Library's Website" dataDxfId="386" totalsRowDxfId="385" dataCellStyle="sInteger"/>
    <tableColumn id="8" xr3:uid="{A94BBF13-E828-4479-87EF-472DC46FD6A2}" name="Circulation of Children's Materials" dataDxfId="384" totalsRowDxfId="383" dataCellStyle="sInteger"/>
    <tableColumn id="9" xr3:uid="{1913231E-6BA3-4BAE-8633-B2FDA758FF70}" name="Circulation of Non-Children's Materials" dataDxfId="382" totalsRowDxfId="381" dataCellStyle="sInteger"/>
    <tableColumn id="10" xr3:uid="{D3FD4252-BA2E-4678-887F-7FD84E55268D}" name="Circulation of Electronic Materials" dataDxfId="380" totalsRowDxfId="379" dataCellStyle="sInteger"/>
    <tableColumn id="11" xr3:uid="{E47AB436-B5E9-467B-B284-D85E7895524E}" name="Total Circulation" dataDxfId="378" totalsRowDxfId="377" dataCellStyle="sInteger"/>
    <tableColumn id="12" xr3:uid="{2C3AD2AD-C0A3-46E8-B669-E95E756BC190}" name="Electronic Collection (Dbase) Use" dataDxfId="376" totalsRowDxfId="375" dataCellStyle="sInteger"/>
    <tableColumn id="13" xr3:uid="{0C2CBD3D-D8E5-478B-9ECE-D57DAE820414}" name="Total Physical Circulation" dataDxfId="374" totalsRowDxfId="373" dataCellStyle="sInteger"/>
    <tableColumn id="14" xr3:uid="{7506486A-F603-42A9-BE42-17FF62A9A723}" name="Total Electronic Content Use (eMaterials + Dbase Use)" dataDxfId="372" totalsRowDxfId="371" dataCellStyle="sInteger"/>
    <tableColumn id="15" xr3:uid="{05C6E0D7-6A58-47ED-A898-F858F2EBF23A}" name="Total Collection Use (Physical + all eFormats)" dataDxfId="370" totalsRowDxfId="369" dataCellStyle="sInteger"/>
    <tableColumn id="16" xr3:uid="{5C65FE8F-0617-4046-911D-2892E4CB49B2}" name="Total Collection Use Per Capita" dataDxfId="368" totalsRowDxfId="367" dataCellStyle="sInteger">
      <calculatedColumnFormula>O4/D4</calculatedColumnFormula>
    </tableColumn>
    <tableColumn id="17" xr3:uid="{0771C768-7F24-47C5-A9B8-07EC9096DBE4}" name="Children's Circ Per Capita" dataDxfId="366" totalsRowDxfId="365" dataCellStyle="sInteger">
      <calculatedColumnFormula>H4/D4</calculatedColumnFormula>
    </tableColumn>
    <tableColumn id="18" xr3:uid="{CE5040C4-5923-4A2F-AF08-DC20F5952656}" name="Non-Children's Circ Per Capita" dataDxfId="364" totalsRowDxfId="363" dataCellStyle="sInteger">
      <calculatedColumnFormula>I4/D4</calculatedColumnFormula>
    </tableColumn>
    <tableColumn id="19" xr3:uid="{4C2E4834-4CAB-475C-81D7-CC52B9C6BFDB}" name="eMaterials Circ Per Capita" dataDxfId="362" totalsRowDxfId="361" dataCellStyle="sInteger">
      <calculatedColumnFormula>J4/D4</calculatedColumnFormula>
    </tableColumn>
    <tableColumn id="20" xr3:uid="{2923CAB3-CC7A-45D2-AC2A-A540478F0BF6}" name="Total Circulation Per Capita" dataDxfId="360" totalsRowDxfId="359" dataCellStyle="sInteger">
      <calculatedColumnFormula>K4/D4</calculatedColumnFormula>
    </tableColumn>
    <tableColumn id="21" xr3:uid="{3997DD8E-B8AA-4B66-88FF-B66291A7A475}" name="Circulation Per Cardholder" dataDxfId="358" totalsRowDxfId="357" dataCellStyle="sInteger">
      <calculatedColumnFormula>K4/E4</calculatedColumnFormula>
    </tableColumn>
    <tableColumn id="22" xr3:uid="{F15D8398-F758-4223-A4BE-B2C31F57C07F}" name="Reference Transactions" dataDxfId="356" totalsRowDxfId="355" dataCellStyle="sInteger"/>
    <tableColumn id="23" xr3:uid="{C187A903-2F73-4EBC-8295-2504292EA7FA}" name="Did the library provide reference service via the Internet or telephone during the Coronavirus (COVID-19) pandemic?" dataDxfId="354" totalsRowDxfId="353" dataCellStyle="sText"/>
    <tableColumn id="24" xr3:uid="{FE427EFC-1304-4587-9F07-26E8876677FD}" name="Are Reference transactions Counted or Estimated?" dataDxfId="352" totalsRowDxfId="351" dataCellStyle="sText"/>
    <tableColumn id="25" xr3:uid="{FFC0CB28-3206-46BD-9C43-28540E8C8E7A}" name="Number of items loaned to other libraries" dataDxfId="350" totalsRowDxfId="349" dataCellStyle="sInteger"/>
    <tableColumn id="26" xr3:uid="{8BF1B4A1-A5D6-47EA-ADA1-7F89F07E07B3}" name="Number of items borrowed from other libraries" dataDxfId="348" totalsRowDxfId="347" dataCellStyle="sInteger"/>
    <tableColumn id="27" xr3:uid="{A4A97A10-B821-4341-A80A-52C115E7962A}" name="Uses (Sessions) of Public Internet Computers Per Year" dataDxfId="346" totalsRowDxfId="345" dataCellStyle="sInteger"/>
    <tableColumn id="28" xr3:uid="{0C400E91-8949-4A75-AA90-1E8373CDC619}" name="Do you provide Wireless Internet Access to Patrons?" dataDxfId="344" totalsRowDxfId="343" dataCellStyle="sText"/>
    <tableColumn id="29" xr3:uid="{1BAA6704-C907-474D-83D4-B46BC4CC984A}" name="Uses of Wireless Logins Per Year" dataDxfId="342" totalsRowDxfId="341" dataCellStyle="sInteger"/>
    <tableColumn id="30" xr3:uid="{559E2F49-DDFA-4884-9D55-E468FE78F73E}" name="Did the library provide ‘outside’ services for circulation of physical materials at any outlets during the Coronavirus (COVID-19) pandemic" dataDxfId="340" totalsRowDxfId="339" dataCellStyle="sText"/>
    <tableColumn id="31" xr3:uid="{C25004E2-2657-4320-AFDE-BF6B9BE93542}" name="Due to the COVID-19 Pandemic, did your library circulate electronic devices capable of providing remote internet access (Hoptspots, laptops with mobile broadband, etc)" dataDxfId="338" totalsRowDxfId="337" dataCellStyle="sText"/>
    <tableColumn id="32" xr3:uid="{690E1A69-A793-4B2D-8D7E-538102B6BB0A}" name="(COVID-19) Circulation of Internet Devices" dataDxfId="336" totalsRowDxfId="335" dataCellStyle="sInteger"/>
  </tableColumns>
  <tableStyleInfo name="TableStyleLight1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DFC5A4C-7667-4066-9873-95C2F565A511}" name="Table4" displayName="Table4" ref="A3:AT393" totalsRowCount="1" headerRowDxfId="334" headerRowBorderDxfId="333" tableBorderDxfId="332" dataCellStyle="sInteger">
  <autoFilter ref="A3:AT392" xr:uid="{EDFC5A4C-7667-4066-9873-95C2F565A511}"/>
  <sortState xmlns:xlrd2="http://schemas.microsoft.com/office/spreadsheetml/2017/richdata2" ref="A4:AT392">
    <sortCondition ref="C3:C392"/>
  </sortState>
  <tableColumns count="46">
    <tableColumn id="1" xr3:uid="{E00384A3-2E91-4A0B-AD72-86FF06F8487A}" name="FSCS" totalsRowDxfId="331" dataCellStyle="sText"/>
    <tableColumn id="2" xr3:uid="{0BE500C3-43A7-4E69-A747-8CC9C2611F21}" name="Location" totalsRowLabel="Total Libraries Reporting (N)" dataDxfId="330" totalsRowDxfId="329"/>
    <tableColumn id="3" xr3:uid="{121374BC-46A9-48C0-AC46-F66568D7DD5F}" name="Library Class" totalsRowFunction="count" totalsRowDxfId="328" dataCellStyle="sText"/>
    <tableColumn id="4" xr3:uid="{D396145B-958A-4E41-8BCC-7B8038BECC2E}" name="Provided live, virtual programs via the Internet during the Coronavirus (COVID-19) pandemic?" dataCellStyle="sText"/>
    <tableColumn id="5" xr3:uid="{8B919BB7-5942-44F1-B885-03126CB47096}" name="Created and provided recordings of programs via the Internet during the Coronavirus (COVID-19) pandemic?" dataCellStyle="sText"/>
    <tableColumn id="6" xr3:uid="{BADB6675-33E3-4C89-819D-08A5FAE2C114}" name="Children's Events (Non Summer Reading)" dataDxfId="327" dataCellStyle="sInteger"/>
    <tableColumn id="7" xr3:uid="{59454323-AEEA-49D2-9CEA-F738065F45A9}" name="Children's Events Attendance (Non Summer Reading)" dataDxfId="326" dataCellStyle="sInteger"/>
    <tableColumn id="8" xr3:uid="{5BDB0A57-1F87-4F0F-BCA9-FCB0BB9B387B}" name="Teen Events (Non Summer Reading)" dataDxfId="325" dataCellStyle="sInteger"/>
    <tableColumn id="9" xr3:uid="{EF7B42CE-508B-40A7-B546-E51EDF667D7A}" name="Teen  Events Attendance(Non Summer Reading)" dataDxfId="324" dataCellStyle="sInteger"/>
    <tableColumn id="10" xr3:uid="{4D0F50FB-87D5-46FF-A01C-F69CDE3BE08A}" name="Summer Reading Events Children Programs" dataDxfId="323" dataCellStyle="sInteger"/>
    <tableColumn id="11" xr3:uid="{A98818FC-6D85-4520-A24B-FE3D7C2347EF}" name="Summer Reading Events Children Attendance" dataDxfId="322" dataCellStyle="sInteger"/>
    <tableColumn id="12" xr3:uid="{AE6F88C4-F126-4332-ADBB-025087931EFA}" name="Summer Reading Events Teens Programs" dataDxfId="321" dataCellStyle="sInteger"/>
    <tableColumn id="13" xr3:uid="{BF7831EE-EFCA-4DF5-837A-97AB528D9A31}" name="Summer Reading Events Teens Attendance" dataDxfId="320" dataCellStyle="sInteger"/>
    <tableColumn id="14" xr3:uid="{2BCCEB6A-B67D-437B-85A0-4F3D5F944C26}" name="How Many Children Signed Up For The Summer Reading Program" dataDxfId="319" dataCellStyle="sInteger"/>
    <tableColumn id="15" xr3:uid="{A274E589-1005-4CAC-BF6D-DA10212275EA}" name="How Many Teens Signed Up For The Summer Reading Program?" dataDxfId="318" dataCellStyle="sInteger"/>
    <tableColumn id="16" xr3:uid="{F6B6D04F-52CC-4841-BDD3-DC18846A1338}" name="Total Summer Reading Program Participation" dataDxfId="317" dataCellStyle="sInteger"/>
    <tableColumn id="17" xr3:uid="{7EE0147D-6C06-43C2-8FA0-638C187EC062}" name="(COVID-19) Children's Virtual Programs Offered (Live Virtual Events Only)" dataDxfId="316" dataCellStyle="sInteger"/>
    <tableColumn id="18" xr3:uid="{132621B4-16AA-49A8-ACB7-DAD7B34D77FB}" name="(COVID-19) Children's Virtual Program Attendance (Live Virtual Events Only)" dataDxfId="315" dataCellStyle="sInteger"/>
    <tableColumn id="19" xr3:uid="{21567408-1CF1-4ABB-B1A1-4B0956D525BC}" name="Total Children's Programs" dataDxfId="314" dataCellStyle="sInteger"/>
    <tableColumn id="20" xr3:uid="{8FB4310D-EF7D-48FC-8804-058A84D226EA}" name="Total Children's Program Attendance" dataDxfId="313" dataCellStyle="sInteger"/>
    <tableColumn id="21" xr3:uid="{6D82EDD8-E6B1-4F9F-AFEC-E69CC03045E3}" name="Do any of your programs focus on early literacy for ages 0-5?" dataDxfId="312" dataCellStyle="sText"/>
    <tableColumn id="22" xr3:uid="{71DF1E09-359D-4CCE-8EAF-05F13B2E5486}" name=" Early Literacy Programs (Subset of Children's programming)" dataDxfId="311" dataCellStyle="sInteger"/>
    <tableColumn id="23" xr3:uid="{37D07D95-3546-470E-B52D-859612F5EF36}" name=" Early Literacy Program Attendance (Subset of Children's programming)" dataDxfId="310" dataCellStyle="sInteger"/>
    <tableColumn id="24" xr3:uid="{A9F126AB-A661-4705-A6BC-C69B62036ADC}" name="(COVID-19) Teen Virtual Programs Offered (Virtual Live Events Only)" dataDxfId="309" dataCellStyle="sInteger"/>
    <tableColumn id="25" xr3:uid="{ED72C69F-3CAC-4CFA-8AE0-777A6EA41CEE}" name="(COVID-19) Teen Virtual Program Attendance (Virtual Live Events Only)" dataDxfId="308" dataCellStyle="sInteger"/>
    <tableColumn id="26" xr3:uid="{159CA0DE-616A-4A03-9F73-79379C3073BD}" name="Total Teen Programs" dataDxfId="307" dataCellStyle="sInteger"/>
    <tableColumn id="27" xr3:uid="{05602FBE-7ED8-4A86-AEEA-FB1B1332BC16}" name="Total Teen Program Attendance" dataDxfId="306" dataCellStyle="sInteger"/>
    <tableColumn id="28" xr3:uid="{DFE5CB24-D515-472C-B3DE-56E819E80C3C}" name="(COVID-19) Adult Virtual Programs Offered (Virtual Live Events Only)" dataDxfId="305" dataCellStyle="sInteger"/>
    <tableColumn id="29" xr3:uid="{6AD4EDBC-78EA-45E7-9473-E25649164586}" name="(COVID-19) Adult Virtual Program Attendance (Virtual Live Events Only)" dataDxfId="304" dataCellStyle="sInteger"/>
    <tableColumn id="30" xr3:uid="{73A8C488-85AE-4E36-805D-E9A081763B47}" name="Adult Programs" dataDxfId="303" dataCellStyle="sInteger"/>
    <tableColumn id="31" xr3:uid="{27A565DA-5771-436B-9B93-95CA7CE410BF}" name="Adult Program Attendance" dataDxfId="302" dataCellStyle="sInteger"/>
    <tableColumn id="32" xr3:uid="{E52C7066-5315-4446-B72C-39E25A580604}" name="(COVID-19) General Virtual Programs Offered (Virtual Live Events Only)" dataDxfId="301" dataCellStyle="sInteger"/>
    <tableColumn id="33" xr3:uid="{37D89EF2-DF7A-4570-BD5C-47719BFDC905}" name="(COVID-19) General Virtual Programs Attendance (Virtual Live Events Only)" dataDxfId="300" dataCellStyle="sInteger"/>
    <tableColumn id="34" xr3:uid="{3F34193E-8041-46BB-9D36-01AAE97BCC57}" name="General Programs" dataDxfId="299" dataCellStyle="sInteger"/>
    <tableColumn id="35" xr3:uid="{C7722AC0-E0CE-4BB0-BC96-769F12C33F30}" name="General Program Attendance" dataDxfId="298" dataCellStyle="sInteger"/>
    <tableColumn id="36" xr3:uid="{7D3AC10B-EC29-4DF2-9862-1C07FFC03FC0}" name="(COVID-19) Total Virtual Programs Offered (Live Virtual Events Only)" dataDxfId="297" dataCellStyle="sInteger"/>
    <tableColumn id="37" xr3:uid="{5550DFAD-9F2C-4044-A44B-A5F0FEE2E5C4}" name="(COVID-19) Total Virtual Programs Attendance (Live Virtual Events Only)" dataDxfId="296" dataCellStyle="sInteger"/>
    <tableColumn id="38" xr3:uid="{69A65485-FC92-41C9-9235-685B830D08ED}" name="Total Physical in Person Programs " dataDxfId="295" dataCellStyle="sInteger"/>
    <tableColumn id="39" xr3:uid="{AB7FCF91-3525-4A6B-945A-F338750BA47B}" name="Total Physical in Person Program Attendance" dataDxfId="294" dataCellStyle="sInteger"/>
    <tableColumn id="40" xr3:uid="{DCEEFE3F-6561-46ED-B7CC-AD4D07B10A41}" name="Total Programs (Virtual + Physical)" dataDxfId="293" dataCellStyle="sInteger">
      <calculatedColumnFormula>AL4+AJ4</calculatedColumnFormula>
    </tableColumn>
    <tableColumn id="41" xr3:uid="{7818EC9C-266F-41C4-BB84-98CFF915A667}" name="Total Programs Attendance (Virtual + Physical)" dataDxfId="292" dataCellStyle="sInteger">
      <calculatedColumnFormula>AM4+AK4</calculatedColumnFormula>
    </tableColumn>
    <tableColumn id="42" xr3:uid="{1AC1869B-8F40-416A-BDFA-F43ABCF06D74}" name="Attend Per Program" dataDxfId="291" dataCellStyle="sInteger">
      <calculatedColumnFormula>AO4/AN4</calculatedColumnFormula>
    </tableColumn>
    <tableColumn id="43" xr3:uid="{AC587091-4CB1-4119-8ACA-197AC18982D7}" name="Attend Per Capita" dataDxfId="290" dataCellStyle="sInteger">
      <calculatedColumnFormula>AO4/AT4</calculatedColumnFormula>
    </tableColumn>
    <tableColumn id="44" xr3:uid="{D41EFA2F-8362-4BEF-8560-5C8F65093C49}" name="(COVID-19) The number of Library Created Virtual Recorded Program Content Offered due to the COVID-19 Pandemic" dataDxfId="289" dataCellStyle="sInteger"/>
    <tableColumn id="45" xr3:uid="{CB60F959-34EB-4305-9369-37351329FFB2}" name="(COVID-19) Total Library Created Virtual Program Content Recorded Views" dataDxfId="288" dataCellStyle="sInteger"/>
    <tableColumn id="46" xr3:uid="{A164A218-FECA-4DF6-BD03-BAEF5B4808BC}" name="Total Population Served" dataDxfId="287" dataCellStyle="sInteger"/>
  </tableColumns>
  <tableStyleInfo name="TableStyleLight1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B7EBFFE-B395-412E-A64F-2D9C968DFCF1}" name="Table6" displayName="Table6" ref="A3:Q393" totalsRowCount="1" headerRowDxfId="286" tableBorderDxfId="285" dataCellStyle="sText">
  <autoFilter ref="A3:Q392" xr:uid="{BB7EBFFE-B395-412E-A64F-2D9C968DFCF1}"/>
  <sortState xmlns:xlrd2="http://schemas.microsoft.com/office/spreadsheetml/2017/richdata2" ref="A4:Q392">
    <sortCondition ref="C3:C392"/>
  </sortState>
  <tableColumns count="17">
    <tableColumn id="1" xr3:uid="{83E8028C-9E23-479F-A505-C68FC548CD55}" name="FSCS" dataDxfId="284" totalsRowDxfId="283" dataCellStyle="sText"/>
    <tableColumn id="2" xr3:uid="{D0E3BBBB-B5D2-4ACE-8C45-FD7168F50F90}" name="Location" totalsRowLabel="Total Libraries Reporting (N)" dataDxfId="282" totalsRowDxfId="281"/>
    <tableColumn id="3" xr3:uid="{FD9FD94D-46B9-4A4D-A59F-0F4F0D3F88F4}" name="Library Class" totalsRowFunction="custom" dataDxfId="280" totalsRowDxfId="279" dataCellStyle="sText">
      <totalsRowFormula>SUBTOTAL(3,Table6[Library Class])</totalsRowFormula>
    </tableColumn>
    <tableColumn id="4" xr3:uid="{B21E2A0D-2EB8-477C-85A8-7596D84DD8EF}" name="Total number of computers that the library provides for use by staff only" dataDxfId="278" dataCellStyle="sInteger"/>
    <tableColumn id="5" xr3:uid="{79C7EE23-E486-4DF4-A9AB-1E68B2DF26A9}" name="Total number of computers that the library provides for public use" dataDxfId="277" dataCellStyle="sInteger"/>
    <tableColumn id="6" xr3:uid="{1EE43B06-10D0-46E0-8379-878E5CE05F67}" name="Is your library circulation system automated?" dataDxfId="276" dataCellStyle="sText"/>
    <tableColumn id="7" xr3:uid="{B233AC1C-FB39-4A3C-A1D5-5626B8AEE733}" name="Total income budgeted for the library's Integrated Library System" dataDxfId="275" totalsRowDxfId="274"/>
    <tableColumn id="8" xr3:uid="{3B3A58B3-4254-4506-84EA-F7AE0BBD6C65}" name="Circulation System Vendor Name" dataDxfId="273" totalsRowDxfId="272" dataCellStyle="sText"/>
    <tableColumn id="9" xr3:uid="{B0A06C52-987F-401B-B0CF-3C1DAC278CE0}" name="Is your card catalog automated?" dataDxfId="271" totalsRowDxfId="270" dataCellStyle="sText"/>
    <tableColumn id="10" xr3:uid="{61FFEE0D-5BC4-43CC-A609-4D3D79C02FA8}" name="Card Catalog Vendor Name" dataDxfId="269" totalsRowDxfId="268" dataCellStyle="sText"/>
    <tableColumn id="11" xr3:uid="{076F71A6-BCC4-4DC2-A64D-0C0AE3E82301}" name="Patron Initiated ILL" dataDxfId="267" totalsRowDxfId="266" dataCellStyle="sText"/>
    <tableColumn id="12" xr3:uid="{A51973E3-5BE0-4111-BB01-34064DAF8BDC}" name="Do you offer a Remote Catalog?" dataDxfId="265" totalsRowDxfId="264" dataCellStyle="sText"/>
    <tableColumn id="13" xr3:uid="{11B93382-8976-4EFE-B9E7-2B829B0B0B89}" name="Do you provide Self Checkout?" dataDxfId="263" totalsRowDxfId="262" dataCellStyle="sText"/>
    <tableColumn id="14" xr3:uid="{EC773338-B945-4FDE-89F3-91E93F65EFA4}" name="Is your Circulation System Shared?" dataDxfId="261" totalsRowDxfId="260" dataCellStyle="sText"/>
    <tableColumn id="15" xr3:uid="{E0B2D90A-2C99-430D-B14E-BFDA04C4DE81}" name="Do you normally provide Wireless Internet Access to Patrons?" dataDxfId="259" totalsRowDxfId="258" dataCellStyle="sText"/>
    <tableColumn id="16" xr3:uid="{0A9D2EDB-81DC-42AF-8BA3-C72C33A5E2D9}" name="Did the library provide WiFi Internet access to users outside the building, at any outlet, before the Coronavirus (COVID-19) pandemic?”" dataDxfId="257" totalsRowDxfId="256" dataCellStyle="sText"/>
    <tableColumn id="17" xr3:uid="{E4980EE7-D67C-4082-ABF4-936E447AC7DC}" name="Did the library provide or increase access to WiFi Internet access to users outside the building, at any outlet, during the Coronavirus (COVID-19) pandemic?" dataDxfId="255" totalsRowDxfId="254" dataCellStyle="sText"/>
  </tableColumns>
  <tableStyleInfo name="TableStyleLight1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E964BF8-6CCF-4535-B8D7-06B1EACA8CDD}" name="Table5" displayName="Table5" ref="A3:X392" totalsRowShown="0" headerRowDxfId="253" dataDxfId="252" tableBorderDxfId="251" dataCellStyle="sText">
  <autoFilter ref="A3:X392" xr:uid="{3E964BF8-6CCF-4535-B8D7-06B1EACA8CDD}"/>
  <tableColumns count="24">
    <tableColumn id="1" xr3:uid="{17F2E202-1942-48E5-BE7C-71E4CF506403}" name="FSCS" dataDxfId="250" dataCellStyle="sText"/>
    <tableColumn id="2" xr3:uid="{EA27C7F7-E1B5-4669-AE0E-275B2B5AED3A}" name="Location" dataDxfId="249"/>
    <tableColumn id="3" xr3:uid="{96176E81-7328-42F4-A5CF-D072436CF6CA}" name="Library Class" dataDxfId="248" dataCellStyle="sText"/>
    <tableColumn id="4" xr3:uid="{D793B53A-9FDB-40EF-AA0D-6F034B6A6CC4}" name="County" dataDxfId="247" dataCellStyle="sText"/>
    <tableColumn id="5" xr3:uid="{A0D45E53-A402-4461-B6B4-2852678A368C}" name="Township" dataDxfId="246" dataCellStyle="sText"/>
    <tableColumn id="6" xr3:uid="{786B9DC4-9A19-4B86-AB5C-754AAB573C3D}" name="Type" dataDxfId="245" dataCellStyle="sText"/>
    <tableColumn id="7" xr3:uid="{DF6B9BE5-776C-4B78-A1D8-6A37A3EDC094}" name="Millage Rate" dataDxfId="244"/>
    <tableColumn id="8" xr3:uid="{7310B063-537B-43E6-B0D6-30C66EAB8B35}" name="Millage Authorization Date" dataDxfId="243" dataCellStyle="sShortDate"/>
    <tableColumn id="9" xr3:uid="{713F02BD-33A0-4790-8B5E-53C474B9B91F}" name="Millage Rate Levied" dataDxfId="242"/>
    <tableColumn id="10" xr3:uid="{8245048B-69A1-4526-A8F6-13B2BD723A6B}" name="Millage Expiration Date" dataDxfId="241" dataCellStyle="sShortDate"/>
    <tableColumn id="11" xr3:uid="{1CF31F90-7D16-4C9E-B4F1-912F0A89478B}" name="Millage Voted in Perpetuity" dataDxfId="240" dataCellStyle="sText"/>
    <tableColumn id="12" xr3:uid="{9DDFF23D-4383-4801-BD5F-DB8667CA6C9F}" name="Millage is for Operating, Debt, or Both?" dataDxfId="239" dataCellStyle="sText"/>
    <tableColumn id="13" xr3:uid="{4E6BE95B-9FF6-4F12-A7DC-DC33D31CE48C}" name="Millage Rate (2)" dataDxfId="238"/>
    <tableColumn id="14" xr3:uid="{965C9462-3741-4D4A-A968-6F5346014465}" name="Millage Authorization Date (2)" dataDxfId="237" dataCellStyle="sShortDate"/>
    <tableColumn id="15" xr3:uid="{D5B8F636-706D-4A73-90CC-477D8FF6B9F5}" name="Millage Rate Levied (2)" dataDxfId="236"/>
    <tableColumn id="16" xr3:uid="{F791EEF1-F442-40CA-8A58-583C0904A476}" name="Millage Expiration Date (2)" dataDxfId="235" dataCellStyle="sShortDate"/>
    <tableColumn id="17" xr3:uid="{6190A24F-7503-48A2-A443-BA8450C191AD}" name="Millage Voted in Perpetuity (2)" dataDxfId="234" dataCellStyle="sText"/>
    <tableColumn id="18" xr3:uid="{F8C52206-2DBD-4B00-ADC2-AA7BB0A92C4A}" name="Millage is for Operating, Debt, or Both? (2)" dataDxfId="233" dataCellStyle="sText"/>
    <tableColumn id="19" xr3:uid="{0022A322-18F6-44AC-8E4A-31672EBD6D92}" name="Millage Rate (3)" dataDxfId="232"/>
    <tableColumn id="20" xr3:uid="{553FFB67-ABFE-435C-9B7E-2E3F73E1CF55}" name="Millage Authorization Date (3)" dataDxfId="231" dataCellStyle="sText"/>
    <tableColumn id="21" xr3:uid="{1D221762-B4EB-4ED2-A09B-0A27333E131A}" name="Millage Rate Levied (3)" dataDxfId="230"/>
    <tableColumn id="22" xr3:uid="{24CAF33D-7F03-4A93-86D5-B75D574C9481}" name="Millage Expiration Date (3)" dataDxfId="229" dataCellStyle="sText"/>
    <tableColumn id="23" xr3:uid="{4A950634-ADFF-441F-89BD-683DD46E1445}" name="Millage Voted in Perpetuity (3)" dataDxfId="228" dataCellStyle="sText"/>
    <tableColumn id="24" xr3:uid="{21A3493C-6039-46B3-8883-4C8282B2A68B}" name="Millage is for Operating, Debt, or Both? (3)" dataDxfId="227" dataCellStyle="sText"/>
  </tableColumns>
  <tableStyleInfo name="TableStyleLight1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5DBFA67-6239-4AE2-ACD5-7AC8CC272B46}" name="Table7" displayName="Table7" ref="A3:AD393" totalsRowCount="1" headerRowDxfId="226" tableBorderDxfId="225">
  <autoFilter ref="A3:AD392" xr:uid="{E5DBFA67-6239-4AE2-ACD5-7AC8CC272B46}"/>
  <tableColumns count="30">
    <tableColumn id="1" xr3:uid="{2A7FF016-98EB-4488-916D-7F1D1F78851A}" name="FSCS" totalsRowDxfId="224" dataCellStyle="sText"/>
    <tableColumn id="2" xr3:uid="{441253D9-D8E3-46C6-9053-9FEA59C7FFE4}" name="Location" dataDxfId="223"/>
    <tableColumn id="3" xr3:uid="{71EA4727-23B0-4FDF-870F-1724B9DDAC9F}" name="Library Class" dataCellStyle="sText"/>
    <tableColumn id="4" xr3:uid="{30F44A8D-8490-4AA2-99E2-14F2904ADC58}" name="County" totalsRowDxfId="222" dataCellStyle="sText"/>
    <tableColumn id="5" xr3:uid="{67717A10-350A-4E79-91AD-12879592840E}" name="Report Start Period" totalsRowDxfId="221" dataCellStyle="sShortDate"/>
    <tableColumn id="6" xr3:uid="{5E8640A1-C376-4976-A74B-991CE31A8F25}" name="Report End Period" totalsRowDxfId="220" dataCellStyle="sShortDate"/>
    <tableColumn id="7" xr3:uid="{B30F5AB6-E352-471A-AE25-0D6EC7EA73FA}" name="Total Population Served" dataDxfId="219" totalsRowDxfId="218" dataCellStyle="sInteger"/>
    <tableColumn id="8" xr3:uid="{4FCDFDE9-8781-4F8F-9536-AA344C14830A}" name="Did your library experience budget reductions due to the COVID-19 Pandemic" dataDxfId="217" totalsRowDxfId="216" dataCellStyle="sText"/>
    <tableColumn id="9" xr3:uid="{0E903307-89CA-4532-8894-5987EE89354B}" name="If your budget was reduced due to COVID-19, please enter the approximate amount of the reduction" dataDxfId="215" totalsRowDxfId="214" dataCellStyle="sInteger"/>
    <tableColumn id="10" xr3:uid="{A48D5EF9-4E3B-4690-B730-7161BDA9B8D7}" name="Subtotal Legal Service Area Population Served" dataDxfId="213" totalsRowDxfId="212" dataCellStyle="sInteger"/>
    <tableColumn id="11" xr3:uid="{522AC470-8EA2-4237-B184-44CE4DDB6BE5}" name="Subtotal Local Penal Fine Revenues" dataDxfId="211" totalsRowDxfId="210"/>
    <tableColumn id="12" xr3:uid="{0D6F3661-79B7-4501-B6A0-42DA5E065FFD}" name="Subtotal Income From Voted Millage" dataDxfId="209" totalsRowDxfId="208"/>
    <tableColumn id="13" xr3:uid="{C4C75543-70FC-4AB0-82CC-AF840A747D21}" name="Subtotal Appropriated Tax Income" dataDxfId="207" totalsRowDxfId="206"/>
    <tableColumn id="14" xr3:uid="{258356C9-A090-413F-B263-8D23BF6F0513}" name="Subtotal Other Local Government Income" dataDxfId="205" totalsRowDxfId="204"/>
    <tableColumn id="15" xr3:uid="{915A4DA4-B824-401E-A351-E7DA30E872EA}" name="Subtotal Total Local Government Income" dataDxfId="203" totalsRowDxfId="202"/>
    <tableColumn id="16" xr3:uid="{59C7EDA6-6185-4AB0-8426-4944A1AB537B}" name="Subtotal Other Local Operating Income" dataDxfId="201" totalsRowDxfId="200"/>
    <tableColumn id="17" xr3:uid="{E5019EE6-0F0E-44A1-8649-4895096AB002}" name="Contracted Municipality Population Served" dataDxfId="199" totalsRowDxfId="198" dataCellStyle="sText"/>
    <tableColumn id="18" xr3:uid="{38B25111-4B9A-4088-AA64-6508B238CC7C}" name="CM Penal Fine Revenues" dataDxfId="197" totalsRowDxfId="196" dataCellStyle="sText"/>
    <tableColumn id="19" xr3:uid="{9C578CBE-21A4-45FB-A216-60DEE3C26BB3}" name="CM Income From Voted Millage" dataDxfId="195" totalsRowDxfId="194" dataCellStyle="sText"/>
    <tableColumn id="20" xr3:uid="{F3BD0A49-0A4F-42FF-BC93-6E76BC5BAE11}" name="CM Appropriated Tax Income" dataDxfId="193" totalsRowDxfId="192" dataCellStyle="sText"/>
    <tableColumn id="21" xr3:uid="{D434D1BA-9194-40AC-B52A-184FA3934567}" name="Contract Fee Income" dataDxfId="191" totalsRowDxfId="190" dataCellStyle="sText"/>
    <tableColumn id="22" xr3:uid="{6D2194CF-3EE4-4462-9F92-631DE421CC24}" name="CM Total Local Government Income" dataDxfId="189" totalsRowDxfId="188" dataCellStyle="sText"/>
    <tableColumn id="23" xr3:uid="{A9750101-9F5C-40ED-AD97-48D525583D37}" name="CM Other Local Operating Income" dataDxfId="187" totalsRowDxfId="186" dataCellStyle="sText"/>
    <tableColumn id="24" xr3:uid="{00BD2137-EE27-4BEB-890F-04B722E4908E}" name="Total Local Government Income" dataDxfId="185" totalsRowDxfId="184"/>
    <tableColumn id="25" xr3:uid="{6DB5ADD1-D24B-4B63-953A-8A67FE70E22E}" name="Total Other Local Operating Income" dataDxfId="183" totalsRowDxfId="182"/>
    <tableColumn id="26" xr3:uid="{71CFF21E-9FB8-4CFC-95EA-2461F4554D4E}" name="Total Local Operating Income" dataDxfId="181" totalsRowDxfId="180"/>
    <tableColumn id="27" xr3:uid="{25925AAC-C248-4DF6-BEEF-42238ECDBE40}" name="State Government Operating Income" dataDxfId="179" totalsRowDxfId="178"/>
    <tableColumn id="28" xr3:uid="{9AFE2C0C-2A2D-4317-8ECA-A2BDA014D87B}" name="Federal Government Operating Income" dataDxfId="177" totalsRowDxfId="176"/>
    <tableColumn id="29" xr3:uid="{D744D2AB-C3AC-4C35-AD60-F565F2792587}" name="Total Operating Income" dataDxfId="175" totalsRowDxfId="174"/>
    <tableColumn id="30" xr3:uid="{5C6F8684-8FD5-467B-BE9B-BF2DD718DD51}" name="Total Operating Income Per Capita" dataDxfId="173" totalsRowDxfId="172"/>
  </tableColumns>
  <tableStyleInfo name="TableStyleLight1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4131E5D-8032-4504-B735-819D8416B974}" name="Table9" displayName="Table9" ref="A3:N393" totalsRowCount="1" headerRowDxfId="171" headerRowBorderDxfId="170" tableBorderDxfId="169">
  <autoFilter ref="A3:N392" xr:uid="{54131E5D-8032-4504-B735-819D8416B974}"/>
  <tableColumns count="14">
    <tableColumn id="1" xr3:uid="{DE7CFE8C-352B-4C1E-990B-3D2C482C6896}" name="FSCS" totalsRowDxfId="168" dataCellStyle="sText"/>
    <tableColumn id="2" xr3:uid="{EB3A5934-D3F5-4109-AE0E-5C1AA14A2E71}" name="Location" totalsRowLabel="Total Libraries Reporting (N)" dataDxfId="167" totalsRowDxfId="166"/>
    <tableColumn id="3" xr3:uid="{902B9283-C20E-4F06-9BD3-92F4764CFD1E}" name="Library Class" totalsRowFunction="count" totalsRowDxfId="165" dataCellStyle="sText"/>
    <tableColumn id="4" xr3:uid="{BE5F9520-1162-4AFD-9A7A-FF76D41791E7}" name="Total Population Served" dataCellStyle="sInteger"/>
    <tableColumn id="5" xr3:uid="{97890EB4-E4E9-402B-8CB9-89962302A48D}" name="Print Materials Expenditure" dataDxfId="164"/>
    <tableColumn id="6" xr3:uid="{99EB3682-1E5F-4114-9A71-033B0A430241}" name="Other Materials Expenditure" dataDxfId="163"/>
    <tableColumn id="7" xr3:uid="{319F7FF6-3FB7-4021-9BA2-301A909FF672}" name="Electronic Materials Expenditure" dataDxfId="162"/>
    <tableColumn id="8" xr3:uid="{5A942B1E-0371-4EEE-BE93-BBC5C96E8871}" name="Total Collection Expenditures" dataDxfId="161"/>
    <tableColumn id="9" xr3:uid="{E6EC3DD8-DDB0-4F4B-AA80-6CF5000D2257}" name="Salaries and Wages" dataDxfId="160"/>
    <tableColumn id="10" xr3:uid="{7924E4B0-9E20-4866-B4CB-6DAC237CEECB}" name="Employee Benefits" dataDxfId="159"/>
    <tableColumn id="11" xr3:uid="{7BEE9863-CB4B-4FA1-B4BC-A213EEFA956F}" name="Total Staff Expenditures" dataDxfId="158"/>
    <tableColumn id="12" xr3:uid="{CCEF43FE-D034-45D9-96B8-2E54179A5D62}" name="Other Operating Expenditures" dataDxfId="157"/>
    <tableColumn id="13" xr3:uid="{8949F8D9-B500-45DC-BDAD-F5DB3167390E}" name="Total Operating Expenditures" dataDxfId="156"/>
    <tableColumn id="14" xr3:uid="{091A158A-1356-4413-9709-5E603BA231A2}" name="Total Operating Expenditures Per Capita" dataDxfId="155">
      <calculatedColumnFormula>M4/D4</calculatedColumnFormula>
    </tableColumn>
  </tableColumns>
  <tableStyleInfo name="TableStyleLight1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20EF26C-CD61-4760-907B-C6A692763B7C}" name="Table10" displayName="Table10" ref="A3:N393" totalsRowCount="1" headerRowDxfId="154" headerRowBorderDxfId="153" tableBorderDxfId="152">
  <autoFilter ref="A3:N392" xr:uid="{D20EF26C-CD61-4760-907B-C6A692763B7C}"/>
  <sortState xmlns:xlrd2="http://schemas.microsoft.com/office/spreadsheetml/2017/richdata2" ref="A4:N392">
    <sortCondition ref="C3:C392"/>
  </sortState>
  <tableColumns count="14">
    <tableColumn id="1" xr3:uid="{1536DF89-715E-4F51-9D8D-7949C5AD44A0}" name="FSCS" totalsRowDxfId="151" dataCellStyle="sText"/>
    <tableColumn id="2" xr3:uid="{8D596D6C-FF51-4B34-B2EE-E063F2165490}" name="Location" dataDxfId="150"/>
    <tableColumn id="3" xr3:uid="{5195A759-57D5-4516-9CCC-41A4AA2E4690}" name="Library Class" dataCellStyle="sText"/>
    <tableColumn id="15" xr3:uid="{C8688A64-A109-4412-BAEB-817235B064CB}" name="Total Population Served" dataCellStyle="sInteger"/>
    <tableColumn id="4" xr3:uid="{F3844B89-2D31-44E6-A438-A8B4CDAA4208}" name="Federal Capital Income" dataDxfId="149"/>
    <tableColumn id="5" xr3:uid="{E67B291E-FF58-42C6-88D0-674AAC82E4A7}" name="State Capital Income" dataDxfId="148"/>
    <tableColumn id="6" xr3:uid="{9D090C19-1E29-4DD9-BFAF-361407E8C6DA}" name="Local Capital Icome" dataDxfId="147"/>
    <tableColumn id="7" xr3:uid="{5A781A20-3ACE-4787-A15A-15E19DAAAF13}" name="Private Capital Income" dataDxfId="146"/>
    <tableColumn id="8" xr3:uid="{8D2C1280-27C6-4B40-9CA0-7A54877F964C}" name="Total Capital Income" dataDxfId="145"/>
    <tableColumn id="10" xr3:uid="{E788F6E3-83B6-4DEB-950F-8492F1FEFD14}" name="Capital Expenditures for Electronic Access" dataDxfId="144"/>
    <tableColumn id="11" xr3:uid="{435CE04F-B4D3-4B13-A3A3-B49016DED5B8}" name="Furnishings and Equipment Expenditures" dataDxfId="143"/>
    <tableColumn id="12" xr3:uid="{D27172B5-C375-471D-B655-05CFE61A860E}" name="Building Expenditures" dataDxfId="142"/>
    <tableColumn id="13" xr3:uid="{528158F7-4D58-4D1F-801E-40A033D73F34}" name="Other Capital Expenditures" dataDxfId="141"/>
    <tableColumn id="14" xr3:uid="{3270A5E6-618E-4748-9659-A92A22179211}" name="Total Capital Expenditures" dataDxfId="140"/>
  </tableColumns>
  <tableStyleInfo name="TableStyleLight1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BC7F85D7-1C98-4F79-B07D-08E8EE0C3AE3}" name="Table11" displayName="Table11" ref="A3:K393" totalsRowCount="1" headerRowDxfId="139" headerRowBorderDxfId="138" tableBorderDxfId="137" dataCellStyle="sText">
  <autoFilter ref="A3:K392" xr:uid="{BC7F85D7-1C98-4F79-B07D-08E8EE0C3AE3}"/>
  <tableColumns count="11">
    <tableColumn id="1" xr3:uid="{46677CAC-7CB9-4E59-B498-89E4745A6E82}" name="FSCS" totalsRowDxfId="136" dataCellStyle="sText"/>
    <tableColumn id="2" xr3:uid="{F05C7FED-96B9-49C9-BA82-BA70E1932D72}" name="Location" dataDxfId="135"/>
    <tableColumn id="3" xr3:uid="{BC72168D-54B0-4920-B47E-921A980409A9}" name="Library Class" dataCellStyle="sText"/>
    <tableColumn id="4" xr3:uid="{6D456C50-FB2F-430E-9261-07DA1C4D2D2D}" name="Total Population Served" totalsRowDxfId="134" dataCellStyle="sInteger"/>
    <tableColumn id="5" xr3:uid="{92D48989-3CDA-45C0-A9B9-EDDC7A309B67}" name="City" totalsRowDxfId="133" dataCellStyle="sText"/>
    <tableColumn id="6" xr3:uid="{5261CC35-65D6-4734-9E89-6AE2FA396852}" name="County" totalsRowDxfId="132" dataCellStyle="sText"/>
    <tableColumn id="7" xr3:uid="{A6189DF3-F275-414A-A21B-3E17E3300AB4}" name="Cooperative" totalsRowDxfId="131" dataCellStyle="sText"/>
    <tableColumn id="8" xr3:uid="{DDCDDFC7-B7D3-4F4F-BE78-E1FDC9B5649E}" name="Non-Resident Fee" totalsRowDxfId="130" dataCellStyle="sText"/>
    <tableColumn id="9" xr3:uid="{DC3E4E54-2630-482B-BB25-79C24ED3002E}" name="NR Fee Annual or One Time" totalsRowDxfId="129" dataCellStyle="sText"/>
    <tableColumn id="10" xr3:uid="{642FEF85-7FAF-4115-BEFC-7E2C40A37843}" name="Fee schedule or non-resident rate (Example: $35/family;$25/individual)" dataDxfId="128" totalsRowDxfId="127" dataCellStyle="sText"/>
    <tableColumn id="11" xr3:uid="{C2F685B2-871B-4F7A-BA69-BA4797D44321}" name="Full Library Service for Contracted Municipalities" dataDxfId="126" totalsRowDxfId="125" dataCellStyle="sText"/>
  </tableColumns>
  <tableStyleInfo name="TableStyleLight1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B43D66B1-C741-4718-B1CA-A88337EF9652}" name="Table12" displayName="Table12" ref="B3:V393" totalsRowCount="1" headerRowDxfId="124" headerRowBorderDxfId="123" tableBorderDxfId="122">
  <autoFilter ref="B3:V392" xr:uid="{B43D66B1-C741-4718-B1CA-A88337EF9652}"/>
  <tableColumns count="21">
    <tableColumn id="1" xr3:uid="{80AC8572-35B2-4BE8-8E0A-838DA7C4F5D0}" name="Location" dataDxfId="121"/>
    <tableColumn id="2" xr3:uid="{CE2218B5-C65F-4B54-AEB8-D6DC6B0CCCAC}" name="Library Class" dataDxfId="120" totalsRowDxfId="119" dataCellStyle="sText"/>
    <tableColumn id="3" xr3:uid="{ACBAEB84-66A6-44E6-ACD0-0391A032B9F3}" name="Total Population Served" totalsRowFunction="average" dataDxfId="118" totalsRowDxfId="117" dataCellStyle="sInteger"/>
    <tableColumn id="4" xr3:uid="{08110B8B-3948-4FA1-9A14-7CD4BB1CBCA2}" name="Number of ALA-MLS Librarians" dataDxfId="116" dataCellStyle="sInteger"/>
    <tableColumn id="5" xr3:uid="{4A744037-472D-45E4-A7AD-341F36FAF9CB}" name="Total Hours per Week worked by ALA-MLS Librarians" dataDxfId="115"/>
    <tableColumn id="6" xr3:uid="{3F026307-4A5F-4EA2-8904-5C69BD43FAFC}" name="ALA-MLS FTE (40 Hours/wk)" dataDxfId="114"/>
    <tableColumn id="7" xr3:uid="{B6BA25D1-11D8-4141-AF3F-3B8EC7C8B0B6}" name="Number of Other Librarians" dataDxfId="113" dataCellStyle="sInteger"/>
    <tableColumn id="8" xr3:uid="{2F33198E-E0B9-4130-97B6-11BDE56B8E9F}" name="Total Hours per Week worked by Other Librarians" dataDxfId="112"/>
    <tableColumn id="9" xr3:uid="{6BCB4B0D-F061-47F7-B2A5-E44D4F98AD64}" name="Other Librarians FTE (40 Hours/wk)" dataDxfId="111"/>
    <tableColumn id="10" xr3:uid="{B11E94DC-1C1D-4115-8AFD-CCA9C82C96BA}" name="Number of Total Librarians" dataDxfId="110" dataCellStyle="sInteger"/>
    <tableColumn id="11" xr3:uid="{A5EA9FC2-F707-4B83-90E1-C994955741F2}" name="Total Hours per Week worked by Total Librarians" dataDxfId="109"/>
    <tableColumn id="12" xr3:uid="{D6753E9D-3547-45F7-80BE-426EBF58985F}" name="Total Librarians FTE (40 Hours/wk)" dataDxfId="108"/>
    <tableColumn id="13" xr3:uid="{F1185C74-D767-4612-AF6B-7F598A337C8A}" name="Number of All Other Paid Staff" dataDxfId="107" dataCellStyle="sInteger"/>
    <tableColumn id="14" xr3:uid="{82A3D8C7-DF7A-4713-A29E-C432840DBFB7}" name="Total Hours per Week worked by All Other Paid Staff" dataDxfId="106"/>
    <tableColumn id="15" xr3:uid="{D29C9FFE-07CC-453C-A0DD-D0C0171BDEA8}" name="All Other Paid Staff FTE (40 Hours/wk)" dataDxfId="105"/>
    <tableColumn id="16" xr3:uid="{7BC935A4-4059-4843-91FB-7E4DB22990F9}" name="Number of Total Paid Employees" dataDxfId="104" dataCellStyle="sInteger"/>
    <tableColumn id="17" xr3:uid="{4F3CA94F-1939-4EE4-A2C5-F5DD62E38216}" name="Total Hours per Week worked by Total Paid Employees" dataDxfId="103"/>
    <tableColumn id="18" xr3:uid="{047B5672-1463-4D87-AB20-989491FBD6EF}" name="Total Paid Employees FTE (40 Hours/wk)" dataDxfId="102"/>
    <tableColumn id="19" xr3:uid="{3859D0C9-1D02-4560-908A-8A0BFCBC3D2F}" name="Did the library have any temporary staffing reductions due to the COVID-19 Pandemic" dataDxfId="101" dataCellStyle="sText"/>
    <tableColumn id="20" xr3:uid="{982FB33A-5B57-4A92-B2BE-6202CA490FFF}" name="If your library reduced staffing hours Due to COVID-19 provide an approximate total of the hours reduced" dataDxfId="100" dataCellStyle="sInteger"/>
    <tableColumn id="21" xr3:uid="{D8F4A012-C6DA-403B-9CF0-DE69BAC29123}" name="Were library staff re-assigned to assist other government agencies or nonprofit organizations with Coronavirus (COVID-19) pandemic-related efforts?" dataDxfId="99" totalsRowDxfId="98" dataCellStyle="sText"/>
  </tableColumns>
  <tableStyleInfo name="TableStyleLight1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C5CC235F-C2A4-4443-AC7C-1D6C291E724B}" name="Table13" displayName="Table13" ref="A3:T393" totalsRowCount="1" headerRowDxfId="97" headerRowBorderDxfId="96" tableBorderDxfId="95" dataCellStyle="sText">
  <autoFilter ref="A3:T392" xr:uid="{C5CC235F-C2A4-4443-AC7C-1D6C291E724B}"/>
  <tableColumns count="20">
    <tableColumn id="1" xr3:uid="{D377BD71-D93D-42BF-851B-A2DC54AD2DA5}" name="FSCS" totalsRowDxfId="94" dataCellStyle="sText"/>
    <tableColumn id="2" xr3:uid="{1B69F7E0-8CEA-46C3-A535-E8AF4752278C}" name="Location" dataDxfId="93"/>
    <tableColumn id="3" xr3:uid="{394E0C67-2791-4A9A-806B-A835B743FF86}" name="Library Class" dataCellStyle="sText"/>
    <tableColumn id="4" xr3:uid="{8FEE0097-3C1A-4161-8B75-0E6595BE7663}" name="Director's Certification Level (I, II, III, or IV)" dataDxfId="92" totalsRowDxfId="91" dataCellStyle="sText"/>
    <tableColumn id="5" xr3:uid="{1E3AB7EB-2452-464C-8E7E-181DA25771D0}" name="Director Minimum Salary" dataDxfId="90"/>
    <tableColumn id="6" xr3:uid="{BA150CB1-7DA0-4FDE-8D3F-7D7D74D15F76}" name="Director Maximum Salary" dataDxfId="89"/>
    <tableColumn id="7" xr3:uid="{13308D21-4F7E-4A14-9074-8873B8F05096}" name="Director Average Hrs/Wk" dataDxfId="88" totalsRowDxfId="87" dataCellStyle="sInteger"/>
    <tableColumn id="8" xr3:uid="{0065D6C9-1E19-4DE9-AD4C-CE32FF35791F}" name="Health Insurance" totalsRowDxfId="86" dataCellStyle="sText"/>
    <tableColumn id="9" xr3:uid="{205B06C1-925A-4876-835B-A7CF73A4F496}" name="Dental Insurance" totalsRowDxfId="85" dataCellStyle="sText"/>
    <tableColumn id="10" xr3:uid="{ABEC51A1-22B3-4F25-9D05-570DC736DBD5}" name="Vision Insurance" totalsRowDxfId="84" dataCellStyle="sText"/>
    <tableColumn id="11" xr3:uid="{E1CEB68C-D360-4653-9485-8981627A14E9}" name="Life Insurance" totalsRowDxfId="83" dataCellStyle="sText"/>
    <tableColumn id="12" xr3:uid="{467BD919-2D75-4555-B964-AFBB7F76F214}" name="Pension" totalsRowDxfId="82" dataCellStyle="sText"/>
    <tableColumn id="13" xr3:uid="{56091D40-789A-413E-938B-52AA77FDDFA0}" name="Paid Sick Leave" totalsRowDxfId="81" dataCellStyle="sText"/>
    <tableColumn id="14" xr3:uid="{2EA02D28-246F-44C1-8E34-59F941F31587}" name="Paid Vacation" totalsRowDxfId="80" dataCellStyle="sText"/>
    <tableColumn id="15" xr3:uid="{F1DFAC9E-4A8D-474C-9B89-1CA21D6FAA3A}" name="Paid Personal Days" totalsRowDxfId="79" dataCellStyle="sText"/>
    <tableColumn id="16" xr3:uid="{31B27BC2-9CFD-48CF-BCE6-3C63DA0F0067}" name="Paid Holidays" totalsRowDxfId="78" dataCellStyle="sText"/>
    <tableColumn id="17" xr3:uid="{D9FF214D-9A5D-43F2-826A-CB3164586BD6}" name="Deferred Compensation" totalsRowDxfId="77" dataCellStyle="sText"/>
    <tableColumn id="18" xr3:uid="{6EB8B0A7-86FC-4D25-BBFE-F4979E848EE8}" name="Disability" totalsRowDxfId="76" dataCellStyle="sText"/>
    <tableColumn id="19" xr3:uid="{D0AD93B5-0695-4D78-94F4-1669FD22E284}" name="Longevity" totalsRowDxfId="75" dataCellStyle="sText"/>
    <tableColumn id="20" xr3:uid="{915F7F31-6A44-4428-93B3-615506D05835}" name="Other Benefits" totalsRowDxfId="74" dataCellStyle="sText"/>
  </tableColumns>
  <tableStyleInfo name="TableStyleLight1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FCCD808-67A9-4529-AA1F-7A14717DBBB7}" name="Table19" displayName="Table19" ref="A3:AU393" totalsRowCount="1" headerRowDxfId="73" dataDxfId="72" dataCellStyle="sText">
  <autoFilter ref="A3:AU392" xr:uid="{0FCCD808-67A9-4529-AA1F-7A14717DBBB7}"/>
  <tableColumns count="47">
    <tableColumn id="1" xr3:uid="{EE5ACC17-37D6-4529-BB1F-B83CFC4A236D}" name="FSCS" dataDxfId="71" totalsRowDxfId="70" dataCellStyle="sText"/>
    <tableColumn id="2" xr3:uid="{66A2B448-0865-45BF-B4D0-389BF01CF677}" name="Location" dataDxfId="69"/>
    <tableColumn id="3" xr3:uid="{17926606-04D3-4C66-A074-B2AF3ACE161A}" name="Library Class" dataDxfId="68" dataCellStyle="sText"/>
    <tableColumn id="4" xr3:uid="{B0FB052C-D010-4DDD-B817-88509B70D823}" name="Assistant Director Average Hrs/Wk"/>
    <tableColumn id="5" xr3:uid="{37EDAE36-17CA-4DBE-A958-3BB17EB32550}" name="Assistant Director Minimum Salary"/>
    <tableColumn id="6" xr3:uid="{50B98FEF-1FFC-4BFC-94B3-F37920FBFD14}" name="Assistant Director Maximum Salary" dataDxfId="67" dataCellStyle="sText"/>
    <tableColumn id="7" xr3:uid="{D27B6E92-4C3A-4C19-885C-5B2B1B7568AE}" name="Department/Branch Head Average Hrs/Wk" dataDxfId="66" dataCellStyle="sInteger"/>
    <tableColumn id="8" xr3:uid="{3590E3C5-6D31-4981-950E-2E59EDB3E3BA}" name="Department/Branch Head Minimum Salary" dataDxfId="65"/>
    <tableColumn id="9" xr3:uid="{42DB8E05-D805-480F-BA3F-0EF037F26AF0}" name="Department/Branch Head Maximum Salary" dataDxfId="64"/>
    <tableColumn id="10" xr3:uid="{EA8F0D42-2257-45FC-833B-5ED8EA5CC9A1}" name="Senior Level Librarian Average Hrs/Wk" dataDxfId="63" dataCellStyle="sInteger"/>
    <tableColumn id="11" xr3:uid="{ECA7559C-94E6-4F55-B5BC-12B60B8E84BD}" name="Senior Level Librarian Minimum Salary" dataDxfId="62"/>
    <tableColumn id="12" xr3:uid="{D784DDB8-1F8D-4A1C-BEF8-745B21333D9C}" name="Senior Level Librarian Maximum Salary" dataDxfId="61"/>
    <tableColumn id="13" xr3:uid="{49CE2C32-9DD0-47BF-A339-24B68D2F7544}" name="Entry Level Librarian Average Hrs/Wk" dataDxfId="60" dataCellStyle="sInteger"/>
    <tableColumn id="14" xr3:uid="{D9622436-2FE6-46B9-8BAA-63222D7266E6}" name="Entry Level Librarian Minimum Salary" dataDxfId="59"/>
    <tableColumn id="15" xr3:uid="{1710CCF3-A6E3-4EF8-A6CD-1586C9A2A67A}" name="Entry Level Librarian Maximum Salary" dataDxfId="58"/>
    <tableColumn id="16" xr3:uid="{34056D94-FBDD-468A-B7D6-1190F003CFF8}" name="Computer/Technology Specialist Average Hrs/Wk" dataDxfId="57" dataCellStyle="sInteger"/>
    <tableColumn id="17" xr3:uid="{C76913F0-A874-4657-830F-68DFF6979BF3}" name="Computer/Technology Specialist Minimum Salary" dataDxfId="56"/>
    <tableColumn id="18" xr3:uid="{A38DB9AD-2CDD-4206-8E77-27DA08A94AF2}" name="Computer/Technology Specialist Maximum Salary" dataDxfId="55"/>
    <tableColumn id="19" xr3:uid="{3E62292C-923C-4FED-8E2E-0DAC483066BD}" name="Library Clerk Average Hrs/Wk" dataDxfId="54" dataCellStyle="sInteger"/>
    <tableColumn id="20" xr3:uid="{A76EF027-ABF6-4405-A90A-909CD62865BD}" name="Library Clerk Minimum Salary" dataDxfId="53"/>
    <tableColumn id="21" xr3:uid="{3FA793A9-5ED1-4054-B56A-830CB0C5DCA5}" name="Library Clerk Maximum Salary" dataDxfId="52"/>
    <tableColumn id="22" xr3:uid="{64CD7A33-F863-4A3E-BD7E-892D4F7813D1}" name="Full Time Health Insurance" dataDxfId="51" totalsRowDxfId="50" dataCellStyle="sText"/>
    <tableColumn id="23" xr3:uid="{38CD7969-3410-43AF-86B0-3ECEDF2A58DB}" name="Full Time Dental Insurance" dataDxfId="49" totalsRowDxfId="48" dataCellStyle="sText"/>
    <tableColumn id="24" xr3:uid="{089787D9-C544-4474-93F9-2A1B0AD74D10}" name="Full Time Life Insurance" dataDxfId="47" totalsRowDxfId="46" dataCellStyle="sText"/>
    <tableColumn id="25" xr3:uid="{25E294F1-DDFB-4477-B7F5-776A0D0EF25A}" name="Full Time Pension" dataDxfId="45" totalsRowDxfId="44" dataCellStyle="sText"/>
    <tableColumn id="26" xr3:uid="{0ADF2240-CB95-4ED4-AAE3-CCCED680E00A}" name="Full Time Vision Insurance" dataDxfId="43" totalsRowDxfId="42" dataCellStyle="sText"/>
    <tableColumn id="27" xr3:uid="{B1BE57B1-033B-46C6-B446-9F8A8D709FD1}" name="Full Time Paid Sick Leave" dataDxfId="41" totalsRowDxfId="40" dataCellStyle="sText"/>
    <tableColumn id="28" xr3:uid="{B7BBE141-9D0A-45FF-9056-B1DDF2472B07}" name="Full Time Paid Vacation" dataDxfId="39" totalsRowDxfId="38" dataCellStyle="sText"/>
    <tableColumn id="29" xr3:uid="{823ABDDF-BF98-41F4-BE20-7829ADBB48B6}" name="Full Time Paid Holidays" dataDxfId="37" totalsRowDxfId="36" dataCellStyle="sText"/>
    <tableColumn id="30" xr3:uid="{18461C98-54BD-4EA5-B450-2E895C55590D}" name="Full Time Deferred Compensation" dataDxfId="35" totalsRowDxfId="34" dataCellStyle="sText"/>
    <tableColumn id="31" xr3:uid="{62DDBB4E-0BCA-413B-BE4F-64CA2AAB4FFE}" name="Full Time Disability" dataDxfId="33" totalsRowDxfId="32" dataCellStyle="sText"/>
    <tableColumn id="32" xr3:uid="{E7CCBC1D-1ADC-4FA9-8176-AA316C7C4389}" name="Full Time Paid Personal Days" dataDxfId="31" totalsRowDxfId="30" dataCellStyle="sText"/>
    <tableColumn id="33" xr3:uid="{F8A44A1E-984C-4221-BC9D-80F76F7B90CB}" name="Full Time Longevity" dataDxfId="29" totalsRowDxfId="28" dataCellStyle="sText"/>
    <tableColumn id="34" xr3:uid="{7F457D90-8D95-4D7D-BD7A-696A6A3C643A}" name="Full Time Other Benefits" dataDxfId="27" totalsRowDxfId="26" dataCellStyle="sText"/>
    <tableColumn id="35" xr3:uid="{281F1675-8597-47E4-BFB4-31CE98EA203B}" name="Part Time Health Insurance" dataDxfId="25" totalsRowDxfId="24" dataCellStyle="sText"/>
    <tableColumn id="36" xr3:uid="{98203AE0-2A21-4674-A48A-31F99B48EF9B}" name="Part Time Dental Insurance" dataDxfId="23" totalsRowDxfId="22" dataCellStyle="sText"/>
    <tableColumn id="37" xr3:uid="{83475B20-2341-4B4C-BE55-084B9CD8292D}" name="Part Time Life Insurance" dataDxfId="21" totalsRowDxfId="20" dataCellStyle="sText"/>
    <tableColumn id="38" xr3:uid="{4BE972F7-1F83-4F03-9409-6581009B8716}" name="Part Time Pension" dataDxfId="19" totalsRowDxfId="18" dataCellStyle="sText"/>
    <tableColumn id="39" xr3:uid="{2AAA2B4B-FB3E-46B5-A84F-CD20DBD65E4B}" name="Part Time Vision Insurance" dataDxfId="17" totalsRowDxfId="16" dataCellStyle="sText"/>
    <tableColumn id="40" xr3:uid="{8A167DE0-A1F9-4411-827C-8942EF38D6AB}" name="Part Time Paid Sick Leave" dataDxfId="15" totalsRowDxfId="14" dataCellStyle="sText"/>
    <tableColumn id="41" xr3:uid="{0D13BC82-52A5-4F02-86D4-53B5EFB6E8A4}" name="Part Time Paid Vacation" dataDxfId="13" totalsRowDxfId="12" dataCellStyle="sText"/>
    <tableColumn id="42" xr3:uid="{EBC3CDDD-25A9-46EF-B4F8-B1AC5E57B523}" name="Part Time Paid Holidays" dataDxfId="11" totalsRowDxfId="10" dataCellStyle="sText"/>
    <tableColumn id="43" xr3:uid="{B13941FA-66D9-4226-8060-A74F9CC74F33}" name="Part Time Deferred Compensation" dataDxfId="9" totalsRowDxfId="8" dataCellStyle="sText"/>
    <tableColumn id="44" xr3:uid="{F13AD136-1035-4744-9D0F-8E11F84AC15A}" name="Part Time Disability" dataDxfId="7" totalsRowDxfId="6" dataCellStyle="sText"/>
    <tableColumn id="45" xr3:uid="{135F6137-4696-4AF6-8458-5A37EE9D648D}" name="Part Time Paid Personal Days" dataDxfId="5" totalsRowDxfId="4" dataCellStyle="sText"/>
    <tableColumn id="46" xr3:uid="{845B24A3-E958-46FC-A2C5-AEB76792821E}" name="Part Time Longevity" dataDxfId="3" totalsRowDxfId="2" dataCellStyle="sText"/>
    <tableColumn id="47" xr3:uid="{3ED5059E-F494-4BF7-957C-35E937218188}" name="Part Time Other Benefits" dataDxfId="1" totalsRowDxfId="0" dataCellStyle="sText"/>
  </tableColumns>
  <tableStyleInfo name="TableStyleLight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CC6D4"/>
  </sheetPr>
  <dimension ref="A9:D30"/>
  <sheetViews>
    <sheetView tabSelected="1" workbookViewId="0">
      <selection activeCell="E10" sqref="E10"/>
    </sheetView>
  </sheetViews>
  <sheetFormatPr defaultRowHeight="12.75" x14ac:dyDescent="0.2"/>
  <cols>
    <col min="2" max="2" width="47.42578125" customWidth="1"/>
  </cols>
  <sheetData>
    <row r="9" spans="2:4" ht="18" x14ac:dyDescent="0.25">
      <c r="B9" s="366" t="s">
        <v>1585</v>
      </c>
    </row>
    <row r="10" spans="2:4" ht="18" x14ac:dyDescent="0.25">
      <c r="B10" s="367" t="s">
        <v>3728</v>
      </c>
    </row>
    <row r="11" spans="2:4" ht="18" x14ac:dyDescent="0.25">
      <c r="B11" s="367" t="s">
        <v>1586</v>
      </c>
      <c r="C11" s="29"/>
      <c r="D11" s="29"/>
    </row>
    <row r="12" spans="2:4" ht="18" x14ac:dyDescent="0.25">
      <c r="B12" s="367" t="s">
        <v>1587</v>
      </c>
      <c r="C12" s="29"/>
      <c r="D12" s="29"/>
    </row>
    <row r="13" spans="2:4" ht="18" x14ac:dyDescent="0.25">
      <c r="B13" s="367" t="s">
        <v>1588</v>
      </c>
      <c r="C13" s="29"/>
      <c r="D13" s="29"/>
    </row>
    <row r="14" spans="2:4" ht="18" x14ac:dyDescent="0.25">
      <c r="B14" s="367" t="s">
        <v>1589</v>
      </c>
      <c r="C14" s="29"/>
      <c r="D14" s="29"/>
    </row>
    <row r="15" spans="2:4" ht="18" x14ac:dyDescent="0.25">
      <c r="B15" s="367" t="s">
        <v>1590</v>
      </c>
      <c r="C15" s="29"/>
      <c r="D15" s="29"/>
    </row>
    <row r="16" spans="2:4" ht="18" x14ac:dyDescent="0.25">
      <c r="B16" s="367" t="s">
        <v>1591</v>
      </c>
      <c r="C16" s="29"/>
      <c r="D16" s="29"/>
    </row>
    <row r="17" spans="1:4" ht="18" x14ac:dyDescent="0.25">
      <c r="B17" s="367" t="s">
        <v>1592</v>
      </c>
      <c r="C17" s="29"/>
      <c r="D17" s="29"/>
    </row>
    <row r="18" spans="1:4" ht="18" x14ac:dyDescent="0.25">
      <c r="B18" s="367" t="s">
        <v>1593</v>
      </c>
      <c r="C18" s="29"/>
      <c r="D18" s="29"/>
    </row>
    <row r="19" spans="1:4" ht="18" x14ac:dyDescent="0.25">
      <c r="B19" s="367" t="s">
        <v>1594</v>
      </c>
      <c r="C19" s="29"/>
      <c r="D19" s="29"/>
    </row>
    <row r="20" spans="1:4" ht="18" x14ac:dyDescent="0.25">
      <c r="B20" s="367" t="s">
        <v>1595</v>
      </c>
      <c r="C20" s="29"/>
      <c r="D20" s="29"/>
    </row>
    <row r="21" spans="1:4" ht="18" x14ac:dyDescent="0.25">
      <c r="B21" s="367" t="s">
        <v>1596</v>
      </c>
      <c r="C21" s="29"/>
      <c r="D21" s="29"/>
    </row>
    <row r="22" spans="1:4" ht="18" x14ac:dyDescent="0.25">
      <c r="B22" s="367" t="s">
        <v>1597</v>
      </c>
      <c r="C22" s="30"/>
      <c r="D22" s="29"/>
    </row>
    <row r="23" spans="1:4" ht="18" x14ac:dyDescent="0.25">
      <c r="B23" s="367" t="s">
        <v>1598</v>
      </c>
      <c r="C23" s="29"/>
      <c r="D23" s="29"/>
    </row>
    <row r="25" spans="1:4" x14ac:dyDescent="0.2">
      <c r="B25" s="31"/>
    </row>
    <row r="30" spans="1:4" ht="15" x14ac:dyDescent="0.25">
      <c r="A30" s="369" t="s">
        <v>3736</v>
      </c>
    </row>
  </sheetData>
  <hyperlinks>
    <hyperlink ref="B13" location="Services!A1" display="Services" xr:uid="{00000000-0004-0000-0000-000000000000}"/>
    <hyperlink ref="B14" location="Programs!A1" display="Programs" xr:uid="{00000000-0004-0000-0000-000001000000}"/>
    <hyperlink ref="B16" location="Millages!A1" display="Millages" xr:uid="{00000000-0004-0000-0000-000002000000}"/>
    <hyperlink ref="B21" location="Staffing!A1" display="Staffing" xr:uid="{00000000-0004-0000-0000-000003000000}"/>
    <hyperlink ref="B23" location="'Other Employees Salaries'!A1" display="Other Employee Salary &amp; Benefits" xr:uid="{00000000-0004-0000-0000-000004000000}"/>
    <hyperlink ref="B22" location="'Director''s Salary'!A1" display="Directors Salary &amp; Benefits" xr:uid="{00000000-0004-0000-0000-000005000000}"/>
    <hyperlink ref="B20" location="'Nonresident Fees'!A1" display="Nonresident Fees" xr:uid="{00000000-0004-0000-0000-000006000000}"/>
    <hyperlink ref="B19" location="'Capital Income &amp; Expenditure'!A1" display="Capital Income and Expenditure" xr:uid="{00000000-0004-0000-0000-000007000000}"/>
    <hyperlink ref="B18" location="'Operating Expenditure'!A1" display="Operating Expenditures" xr:uid="{00000000-0004-0000-0000-000008000000}"/>
    <hyperlink ref="B17" location="'Operating Income'!A1" display="Operating Income" xr:uid="{00000000-0004-0000-0000-000009000000}"/>
    <hyperlink ref="B15" location="Technology!A1" display="Technology" xr:uid="{00000000-0004-0000-0000-00000A000000}"/>
    <hyperlink ref="B12" location="Collections!A1" display="Collections" xr:uid="{00000000-0004-0000-0000-00000B000000}"/>
    <hyperlink ref="B11" location="'Outlets, Hours and SqFt'!A1" display="Outlets, Hours, SqFt" xr:uid="{00000000-0004-0000-0000-00000C000000}"/>
    <hyperlink ref="B22:C22" location="'Director''s Salary'!A1" display="Directors Salary" xr:uid="{00000000-0004-0000-0000-00000D000000}"/>
    <hyperlink ref="B9" location="'Summary and Definitions'!A1" display="Summary and Definitions" xr:uid="{00000000-0004-0000-0000-00000E000000}"/>
    <hyperlink ref="B10" location="'COVID Statistics (ALL) '!A1" display="COVID Statistics (ALL)" xr:uid="{09BD2DFA-6B7F-48DE-A2D7-81183E062FC3}"/>
  </hyperlink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CC6D4"/>
  </sheetPr>
  <dimension ref="A1:C921"/>
  <sheetViews>
    <sheetView workbookViewId="0">
      <selection activeCell="B1" sqref="B1"/>
    </sheetView>
  </sheetViews>
  <sheetFormatPr defaultRowHeight="12.75" x14ac:dyDescent="0.2"/>
  <cols>
    <col min="1" max="1" width="90.7109375" customWidth="1"/>
    <col min="2" max="2" width="100.140625" style="49" customWidth="1"/>
  </cols>
  <sheetData>
    <row r="1" spans="1:3" s="363" customFormat="1" ht="18" x14ac:dyDescent="0.25">
      <c r="A1" s="362" t="s">
        <v>3729</v>
      </c>
      <c r="B1" s="361" t="s">
        <v>1585</v>
      </c>
      <c r="C1" s="368" t="s">
        <v>3727</v>
      </c>
    </row>
    <row r="29" spans="1:2" ht="13.5" thickBot="1" x14ac:dyDescent="0.25"/>
    <row r="30" spans="1:2" ht="15.75" thickBot="1" x14ac:dyDescent="0.25">
      <c r="A30" s="24" t="s">
        <v>817</v>
      </c>
      <c r="B30" s="1"/>
    </row>
    <row r="31" spans="1:2" ht="15.75" thickBot="1" x14ac:dyDescent="0.25">
      <c r="A31" s="25" t="s">
        <v>818</v>
      </c>
      <c r="B31" s="2"/>
    </row>
    <row r="32" spans="1:2" x14ac:dyDescent="0.2">
      <c r="A32" s="6" t="s">
        <v>819</v>
      </c>
      <c r="B32" s="3"/>
    </row>
    <row r="33" spans="1:2" ht="51.75" thickBot="1" x14ac:dyDescent="0.25">
      <c r="A33" s="4"/>
      <c r="B33" s="4" t="s">
        <v>820</v>
      </c>
    </row>
    <row r="34" spans="1:2" x14ac:dyDescent="0.2">
      <c r="A34" s="6" t="s">
        <v>821</v>
      </c>
      <c r="B34" s="3"/>
    </row>
    <row r="35" spans="1:2" ht="51.75" thickBot="1" x14ac:dyDescent="0.25">
      <c r="A35" s="4"/>
      <c r="B35" s="4" t="s">
        <v>820</v>
      </c>
    </row>
    <row r="36" spans="1:2" ht="13.5" thickBot="1" x14ac:dyDescent="0.25">
      <c r="A36" s="5" t="s">
        <v>822</v>
      </c>
      <c r="B36" s="5"/>
    </row>
    <row r="37" spans="1:2" ht="13.5" thickBot="1" x14ac:dyDescent="0.25">
      <c r="A37" s="5" t="s">
        <v>823</v>
      </c>
      <c r="B37" s="5" t="s">
        <v>824</v>
      </c>
    </row>
    <row r="38" spans="1:2" x14ac:dyDescent="0.2">
      <c r="A38" s="6" t="s">
        <v>825</v>
      </c>
      <c r="B38" s="6"/>
    </row>
    <row r="39" spans="1:2" ht="13.5" thickBot="1" x14ac:dyDescent="0.25">
      <c r="A39" s="4"/>
      <c r="B39" s="4"/>
    </row>
    <row r="40" spans="1:2" ht="25.5" x14ac:dyDescent="0.2">
      <c r="A40" s="6" t="s">
        <v>826</v>
      </c>
      <c r="B40" s="6" t="s">
        <v>827</v>
      </c>
    </row>
    <row r="41" spans="1:2" ht="13.5" thickBot="1" x14ac:dyDescent="0.25">
      <c r="A41" s="4"/>
      <c r="B41" s="4"/>
    </row>
    <row r="42" spans="1:2" x14ac:dyDescent="0.2">
      <c r="A42" s="6" t="s">
        <v>828</v>
      </c>
      <c r="B42" s="6" t="s">
        <v>829</v>
      </c>
    </row>
    <row r="43" spans="1:2" ht="13.5" thickBot="1" x14ac:dyDescent="0.25">
      <c r="A43" s="4"/>
      <c r="B43" s="4"/>
    </row>
    <row r="44" spans="1:2" x14ac:dyDescent="0.2">
      <c r="A44" s="6" t="s">
        <v>830</v>
      </c>
      <c r="B44" s="6" t="s">
        <v>831</v>
      </c>
    </row>
    <row r="45" spans="1:2" ht="13.5" thickBot="1" x14ac:dyDescent="0.25">
      <c r="A45" s="4"/>
      <c r="B45" s="4"/>
    </row>
    <row r="46" spans="1:2" ht="25.5" x14ac:dyDescent="0.2">
      <c r="A46" s="6" t="s">
        <v>832</v>
      </c>
      <c r="B46" s="6" t="s">
        <v>833</v>
      </c>
    </row>
    <row r="47" spans="1:2" ht="13.5" thickBot="1" x14ac:dyDescent="0.25">
      <c r="A47" s="4"/>
      <c r="B47" s="4"/>
    </row>
    <row r="48" spans="1:2" x14ac:dyDescent="0.2">
      <c r="A48" s="6" t="s">
        <v>834</v>
      </c>
      <c r="B48" s="6" t="s">
        <v>835</v>
      </c>
    </row>
    <row r="49" spans="1:2" ht="13.5" thickBot="1" x14ac:dyDescent="0.25">
      <c r="A49" s="4"/>
      <c r="B49" s="4"/>
    </row>
    <row r="50" spans="1:2" x14ac:dyDescent="0.2">
      <c r="A50" s="6" t="s">
        <v>836</v>
      </c>
      <c r="B50" s="6" t="s">
        <v>837</v>
      </c>
    </row>
    <row r="51" spans="1:2" ht="13.5" thickBot="1" x14ac:dyDescent="0.25">
      <c r="A51" s="4"/>
      <c r="B51" s="4"/>
    </row>
    <row r="52" spans="1:2" x14ac:dyDescent="0.2">
      <c r="A52" s="6" t="s">
        <v>838</v>
      </c>
      <c r="B52" s="6" t="s">
        <v>839</v>
      </c>
    </row>
    <row r="53" spans="1:2" ht="13.5" thickBot="1" x14ac:dyDescent="0.25">
      <c r="A53" s="4"/>
      <c r="B53" s="4"/>
    </row>
    <row r="54" spans="1:2" x14ac:dyDescent="0.2">
      <c r="A54" s="6" t="s">
        <v>840</v>
      </c>
      <c r="B54" s="6" t="s">
        <v>841</v>
      </c>
    </row>
    <row r="55" spans="1:2" ht="13.5" thickBot="1" x14ac:dyDescent="0.25">
      <c r="A55" s="4"/>
      <c r="B55" s="4"/>
    </row>
    <row r="56" spans="1:2" ht="25.5" x14ac:dyDescent="0.2">
      <c r="A56" s="6" t="s">
        <v>842</v>
      </c>
      <c r="B56" s="6" t="s">
        <v>843</v>
      </c>
    </row>
    <row r="57" spans="1:2" ht="13.5" thickBot="1" x14ac:dyDescent="0.25">
      <c r="A57" s="4"/>
      <c r="B57" s="4"/>
    </row>
    <row r="58" spans="1:2" x14ac:dyDescent="0.2">
      <c r="A58" s="6" t="s">
        <v>844</v>
      </c>
      <c r="B58" s="6" t="s">
        <v>845</v>
      </c>
    </row>
    <row r="59" spans="1:2" ht="13.5" thickBot="1" x14ac:dyDescent="0.25">
      <c r="A59" s="4"/>
      <c r="B59" s="4"/>
    </row>
    <row r="60" spans="1:2" x14ac:dyDescent="0.2">
      <c r="A60" s="6" t="s">
        <v>846</v>
      </c>
      <c r="B60" s="6" t="s">
        <v>847</v>
      </c>
    </row>
    <row r="61" spans="1:2" ht="13.5" thickBot="1" x14ac:dyDescent="0.25">
      <c r="A61" s="4"/>
      <c r="B61" s="4"/>
    </row>
    <row r="62" spans="1:2" ht="25.5" x14ac:dyDescent="0.2">
      <c r="A62" s="6" t="s">
        <v>848</v>
      </c>
      <c r="B62" s="6" t="s">
        <v>849</v>
      </c>
    </row>
    <row r="63" spans="1:2" ht="13.5" thickBot="1" x14ac:dyDescent="0.25">
      <c r="A63" s="4"/>
      <c r="B63" s="4"/>
    </row>
    <row r="64" spans="1:2" x14ac:dyDescent="0.2">
      <c r="A64" s="6" t="s">
        <v>850</v>
      </c>
      <c r="B64" s="6" t="s">
        <v>851</v>
      </c>
    </row>
    <row r="65" spans="1:2" ht="13.5" thickBot="1" x14ac:dyDescent="0.25">
      <c r="A65" s="4"/>
      <c r="B65" s="4"/>
    </row>
    <row r="66" spans="1:2" x14ac:dyDescent="0.2">
      <c r="A66" s="6" t="s">
        <v>852</v>
      </c>
      <c r="B66" s="3" t="s">
        <v>853</v>
      </c>
    </row>
    <row r="67" spans="1:2" ht="13.5" thickBot="1" x14ac:dyDescent="0.25">
      <c r="A67" s="4"/>
      <c r="B67" s="4" t="s">
        <v>854</v>
      </c>
    </row>
    <row r="68" spans="1:2" ht="25.5" x14ac:dyDescent="0.2">
      <c r="A68" s="6" t="s">
        <v>855</v>
      </c>
      <c r="B68" s="6" t="s">
        <v>856</v>
      </c>
    </row>
    <row r="69" spans="1:2" ht="13.5" thickBot="1" x14ac:dyDescent="0.25">
      <c r="A69" s="4"/>
      <c r="B69" s="4"/>
    </row>
    <row r="70" spans="1:2" x14ac:dyDescent="0.2">
      <c r="A70" s="6" t="s">
        <v>857</v>
      </c>
      <c r="B70" s="3" t="s">
        <v>858</v>
      </c>
    </row>
    <row r="71" spans="1:2" ht="13.5" thickBot="1" x14ac:dyDescent="0.25">
      <c r="A71" s="4"/>
      <c r="B71" s="4" t="s">
        <v>859</v>
      </c>
    </row>
    <row r="72" spans="1:2" x14ac:dyDescent="0.2">
      <c r="A72" s="6" t="s">
        <v>860</v>
      </c>
      <c r="B72" s="6"/>
    </row>
    <row r="73" spans="1:2" ht="13.5" thickBot="1" x14ac:dyDescent="0.25">
      <c r="A73" s="4"/>
      <c r="B73" s="4"/>
    </row>
    <row r="74" spans="1:2" ht="128.25" thickBot="1" x14ac:dyDescent="0.25">
      <c r="A74" s="5" t="s">
        <v>861</v>
      </c>
      <c r="B74" s="5" t="s">
        <v>862</v>
      </c>
    </row>
    <row r="75" spans="1:2" x14ac:dyDescent="0.2">
      <c r="A75" s="6" t="s">
        <v>863</v>
      </c>
      <c r="B75" s="6" t="s">
        <v>864</v>
      </c>
    </row>
    <row r="76" spans="1:2" ht="13.5" thickBot="1" x14ac:dyDescent="0.25">
      <c r="A76" s="4"/>
      <c r="B76" s="4"/>
    </row>
    <row r="77" spans="1:2" x14ac:dyDescent="0.2">
      <c r="A77" s="6" t="s">
        <v>865</v>
      </c>
      <c r="B77" s="6" t="s">
        <v>866</v>
      </c>
    </row>
    <row r="78" spans="1:2" ht="13.5" thickBot="1" x14ac:dyDescent="0.25">
      <c r="A78" s="4"/>
      <c r="B78" s="4"/>
    </row>
    <row r="79" spans="1:2" ht="13.5" thickBot="1" x14ac:dyDescent="0.25">
      <c r="A79" s="5" t="s">
        <v>867</v>
      </c>
      <c r="B79" s="5"/>
    </row>
    <row r="80" spans="1:2" ht="25.5" x14ac:dyDescent="0.2">
      <c r="A80" s="6" t="s">
        <v>868</v>
      </c>
      <c r="B80" s="6" t="s">
        <v>869</v>
      </c>
    </row>
    <row r="81" spans="1:2" ht="13.5" thickBot="1" x14ac:dyDescent="0.25">
      <c r="A81" s="4"/>
      <c r="B81" s="4"/>
    </row>
    <row r="82" spans="1:2" ht="16.5" thickBot="1" x14ac:dyDescent="0.25">
      <c r="A82" s="26" t="s">
        <v>870</v>
      </c>
      <c r="B82" s="7"/>
    </row>
    <row r="83" spans="1:2" ht="66.75" thickBot="1" x14ac:dyDescent="0.25">
      <c r="A83" s="27" t="s">
        <v>871</v>
      </c>
      <c r="B83" s="8"/>
    </row>
    <row r="84" spans="1:2" ht="13.5" thickBot="1" x14ac:dyDescent="0.25">
      <c r="A84" s="5" t="s">
        <v>872</v>
      </c>
      <c r="B84" s="5"/>
    </row>
    <row r="85" spans="1:2" ht="13.5" thickBot="1" x14ac:dyDescent="0.25">
      <c r="A85" s="5" t="s">
        <v>873</v>
      </c>
      <c r="B85" s="5"/>
    </row>
    <row r="86" spans="1:2" ht="13.5" thickBot="1" x14ac:dyDescent="0.25">
      <c r="A86" s="5" t="s">
        <v>874</v>
      </c>
      <c r="B86" s="5"/>
    </row>
    <row r="87" spans="1:2" ht="13.5" thickBot="1" x14ac:dyDescent="0.25">
      <c r="A87" s="5" t="s">
        <v>875</v>
      </c>
      <c r="B87" s="5"/>
    </row>
    <row r="88" spans="1:2" ht="13.5" thickBot="1" x14ac:dyDescent="0.25">
      <c r="A88" s="5" t="s">
        <v>876</v>
      </c>
      <c r="B88" s="5"/>
    </row>
    <row r="89" spans="1:2" ht="13.5" thickBot="1" x14ac:dyDescent="0.25">
      <c r="A89" s="5" t="s">
        <v>877</v>
      </c>
      <c r="B89" s="5"/>
    </row>
    <row r="90" spans="1:2" ht="25.5" x14ac:dyDescent="0.2">
      <c r="A90" s="6" t="s">
        <v>878</v>
      </c>
      <c r="B90" s="6" t="s">
        <v>879</v>
      </c>
    </row>
    <row r="91" spans="1:2" x14ac:dyDescent="0.2">
      <c r="A91" s="10"/>
      <c r="B91" s="9"/>
    </row>
    <row r="92" spans="1:2" ht="63.75" x14ac:dyDescent="0.2">
      <c r="A92" s="10"/>
      <c r="B92" s="10" t="s">
        <v>880</v>
      </c>
    </row>
    <row r="93" spans="1:2" ht="13.5" thickBot="1" x14ac:dyDescent="0.25">
      <c r="A93" s="4"/>
      <c r="B93" s="11"/>
    </row>
    <row r="94" spans="1:2" ht="15.75" thickBot="1" x14ac:dyDescent="0.25">
      <c r="A94" s="28" t="s">
        <v>881</v>
      </c>
      <c r="B94" s="12"/>
    </row>
    <row r="95" spans="1:2" ht="16.5" thickBot="1" x14ac:dyDescent="0.25">
      <c r="A95" s="26" t="s">
        <v>882</v>
      </c>
      <c r="B95" s="7"/>
    </row>
    <row r="96" spans="1:2" ht="13.5" thickBot="1" x14ac:dyDescent="0.25">
      <c r="A96" s="5" t="s">
        <v>883</v>
      </c>
      <c r="B96" s="13" t="s">
        <v>884</v>
      </c>
    </row>
    <row r="97" spans="1:2" ht="13.5" thickBot="1" x14ac:dyDescent="0.25">
      <c r="A97" s="5" t="s">
        <v>885</v>
      </c>
      <c r="B97" s="5"/>
    </row>
    <row r="98" spans="1:2" ht="13.5" thickBot="1" x14ac:dyDescent="0.25">
      <c r="A98" s="5" t="s">
        <v>886</v>
      </c>
      <c r="B98" s="5"/>
    </row>
    <row r="99" spans="1:2" ht="16.5" thickBot="1" x14ac:dyDescent="0.25">
      <c r="A99" s="26" t="s">
        <v>887</v>
      </c>
      <c r="B99" s="7"/>
    </row>
    <row r="100" spans="1:2" ht="26.25" thickBot="1" x14ac:dyDescent="0.25">
      <c r="A100" s="5" t="s">
        <v>888</v>
      </c>
      <c r="B100" s="5" t="s">
        <v>889</v>
      </c>
    </row>
    <row r="101" spans="1:2" ht="13.5" thickBot="1" x14ac:dyDescent="0.25">
      <c r="A101" s="5" t="s">
        <v>890</v>
      </c>
      <c r="B101" s="5" t="s">
        <v>891</v>
      </c>
    </row>
    <row r="102" spans="1:2" ht="13.5" thickBot="1" x14ac:dyDescent="0.25">
      <c r="A102" s="5" t="s">
        <v>892</v>
      </c>
      <c r="B102" s="5" t="s">
        <v>893</v>
      </c>
    </row>
    <row r="103" spans="1:2" ht="13.5" thickBot="1" x14ac:dyDescent="0.25">
      <c r="A103" s="5" t="s">
        <v>894</v>
      </c>
      <c r="B103" s="5" t="s">
        <v>895</v>
      </c>
    </row>
    <row r="104" spans="1:2" ht="16.5" thickBot="1" x14ac:dyDescent="0.25">
      <c r="A104" s="26" t="s">
        <v>896</v>
      </c>
      <c r="B104" s="7"/>
    </row>
    <row r="105" spans="1:2" ht="13.5" thickBot="1" x14ac:dyDescent="0.25">
      <c r="A105" s="5" t="s">
        <v>897</v>
      </c>
      <c r="B105" s="5"/>
    </row>
    <row r="106" spans="1:2" ht="13.5" thickBot="1" x14ac:dyDescent="0.25">
      <c r="A106" s="5" t="s">
        <v>898</v>
      </c>
      <c r="B106" s="5"/>
    </row>
    <row r="107" spans="1:2" ht="13.5" thickBot="1" x14ac:dyDescent="0.25">
      <c r="A107" s="5" t="s">
        <v>899</v>
      </c>
      <c r="B107" s="5"/>
    </row>
    <row r="108" spans="1:2" ht="16.5" thickBot="1" x14ac:dyDescent="0.25">
      <c r="A108" s="26" t="s">
        <v>900</v>
      </c>
      <c r="B108" s="7"/>
    </row>
    <row r="109" spans="1:2" ht="13.5" thickBot="1" x14ac:dyDescent="0.25">
      <c r="A109" s="5" t="s">
        <v>901</v>
      </c>
      <c r="B109" s="5"/>
    </row>
    <row r="110" spans="1:2" ht="13.5" thickBot="1" x14ac:dyDescent="0.25">
      <c r="A110" s="5" t="s">
        <v>7</v>
      </c>
      <c r="B110" s="5"/>
    </row>
    <row r="111" spans="1:2" ht="64.5" thickBot="1" x14ac:dyDescent="0.25">
      <c r="A111" s="5" t="s">
        <v>902</v>
      </c>
      <c r="B111" s="5" t="s">
        <v>903</v>
      </c>
    </row>
    <row r="112" spans="1:2" ht="115.5" thickBot="1" x14ac:dyDescent="0.25">
      <c r="A112" s="5" t="s">
        <v>904</v>
      </c>
      <c r="B112" s="5" t="s">
        <v>905</v>
      </c>
    </row>
    <row r="113" spans="1:2" ht="16.5" thickBot="1" x14ac:dyDescent="0.25">
      <c r="A113" s="26" t="s">
        <v>906</v>
      </c>
      <c r="B113" s="7"/>
    </row>
    <row r="114" spans="1:2" ht="16.5" thickBot="1" x14ac:dyDescent="0.25">
      <c r="A114" s="26" t="s">
        <v>906</v>
      </c>
      <c r="B114" s="7"/>
    </row>
    <row r="115" spans="1:2" ht="13.5" thickBot="1" x14ac:dyDescent="0.25">
      <c r="A115" s="5" t="s">
        <v>907</v>
      </c>
      <c r="B115" s="13" t="s">
        <v>908</v>
      </c>
    </row>
    <row r="116" spans="1:2" x14ac:dyDescent="0.2">
      <c r="A116" s="6" t="s">
        <v>909</v>
      </c>
      <c r="B116" s="3" t="s">
        <v>908</v>
      </c>
    </row>
    <row r="117" spans="1:2" ht="13.5" thickBot="1" x14ac:dyDescent="0.25">
      <c r="A117" s="4"/>
      <c r="B117" s="4" t="s">
        <v>910</v>
      </c>
    </row>
    <row r="118" spans="1:2" x14ac:dyDescent="0.2">
      <c r="A118" s="6" t="s">
        <v>911</v>
      </c>
      <c r="B118" s="3" t="s">
        <v>908</v>
      </c>
    </row>
    <row r="119" spans="1:2" ht="26.25" thickBot="1" x14ac:dyDescent="0.25">
      <c r="A119" s="4"/>
      <c r="B119" s="4" t="s">
        <v>912</v>
      </c>
    </row>
    <row r="120" spans="1:2" ht="16.5" thickBot="1" x14ac:dyDescent="0.25">
      <c r="A120" s="26" t="s">
        <v>913</v>
      </c>
      <c r="B120" s="7"/>
    </row>
    <row r="121" spans="1:2" x14ac:dyDescent="0.2">
      <c r="A121" s="6" t="s">
        <v>914</v>
      </c>
      <c r="B121" s="3" t="s">
        <v>908</v>
      </c>
    </row>
    <row r="122" spans="1:2" ht="26.25" thickBot="1" x14ac:dyDescent="0.25">
      <c r="A122" s="4"/>
      <c r="B122" s="4" t="s">
        <v>915</v>
      </c>
    </row>
    <row r="123" spans="1:2" ht="13.5" thickBot="1" x14ac:dyDescent="0.25">
      <c r="A123" s="5" t="s">
        <v>916</v>
      </c>
      <c r="B123" s="13" t="s">
        <v>908</v>
      </c>
    </row>
    <row r="124" spans="1:2" ht="16.5" thickBot="1" x14ac:dyDescent="0.25">
      <c r="A124" s="26" t="s">
        <v>917</v>
      </c>
      <c r="B124" s="7"/>
    </row>
    <row r="125" spans="1:2" ht="13.5" thickBot="1" x14ac:dyDescent="0.25">
      <c r="A125" s="5" t="s">
        <v>918</v>
      </c>
      <c r="B125" s="5"/>
    </row>
    <row r="126" spans="1:2" ht="13.5" thickBot="1" x14ac:dyDescent="0.25">
      <c r="A126" s="5" t="s">
        <v>919</v>
      </c>
      <c r="B126" s="5"/>
    </row>
    <row r="127" spans="1:2" ht="13.5" thickBot="1" x14ac:dyDescent="0.25">
      <c r="A127" s="5" t="s">
        <v>920</v>
      </c>
      <c r="B127" s="5"/>
    </row>
    <row r="128" spans="1:2" ht="13.5" thickBot="1" x14ac:dyDescent="0.25">
      <c r="A128" s="5" t="s">
        <v>921</v>
      </c>
      <c r="B128" s="5"/>
    </row>
    <row r="129" spans="1:2" ht="13.5" thickBot="1" x14ac:dyDescent="0.25">
      <c r="A129" s="5" t="s">
        <v>922</v>
      </c>
      <c r="B129" s="5"/>
    </row>
    <row r="130" spans="1:2" ht="13.5" thickBot="1" x14ac:dyDescent="0.25">
      <c r="A130" s="5" t="s">
        <v>923</v>
      </c>
      <c r="B130" s="5"/>
    </row>
    <row r="131" spans="1:2" ht="13.5" thickBot="1" x14ac:dyDescent="0.25">
      <c r="A131" s="5" t="s">
        <v>924</v>
      </c>
      <c r="B131" s="5"/>
    </row>
    <row r="132" spans="1:2" ht="13.5" thickBot="1" x14ac:dyDescent="0.25">
      <c r="A132" s="5" t="s">
        <v>925</v>
      </c>
      <c r="B132" s="5"/>
    </row>
    <row r="133" spans="1:2" ht="13.5" thickBot="1" x14ac:dyDescent="0.25">
      <c r="A133" s="5" t="s">
        <v>926</v>
      </c>
      <c r="B133" s="5"/>
    </row>
    <row r="134" spans="1:2" ht="13.5" thickBot="1" x14ac:dyDescent="0.25">
      <c r="A134" s="5" t="s">
        <v>927</v>
      </c>
      <c r="B134" s="5"/>
    </row>
    <row r="135" spans="1:2" ht="13.5" thickBot="1" x14ac:dyDescent="0.25">
      <c r="A135" s="5" t="s">
        <v>928</v>
      </c>
      <c r="B135" s="5"/>
    </row>
    <row r="136" spans="1:2" ht="13.5" thickBot="1" x14ac:dyDescent="0.25">
      <c r="A136" s="5" t="s">
        <v>929</v>
      </c>
      <c r="B136" s="5"/>
    </row>
    <row r="137" spans="1:2" ht="13.5" thickBot="1" x14ac:dyDescent="0.25">
      <c r="A137" s="5" t="s">
        <v>930</v>
      </c>
      <c r="B137" s="5"/>
    </row>
    <row r="138" spans="1:2" ht="13.5" thickBot="1" x14ac:dyDescent="0.25">
      <c r="A138" s="5" t="s">
        <v>931</v>
      </c>
      <c r="B138" s="5"/>
    </row>
    <row r="139" spans="1:2" ht="16.5" thickBot="1" x14ac:dyDescent="0.25">
      <c r="A139" s="26" t="s">
        <v>932</v>
      </c>
      <c r="B139" s="7"/>
    </row>
    <row r="140" spans="1:2" ht="13.5" thickBot="1" x14ac:dyDescent="0.25">
      <c r="A140" s="5" t="s">
        <v>933</v>
      </c>
      <c r="B140" s="13" t="s">
        <v>908</v>
      </c>
    </row>
    <row r="141" spans="1:2" ht="13.5" thickBot="1" x14ac:dyDescent="0.25">
      <c r="A141" s="5" t="s">
        <v>934</v>
      </c>
      <c r="B141" s="13" t="s">
        <v>908</v>
      </c>
    </row>
    <row r="142" spans="1:2" ht="16.5" thickBot="1" x14ac:dyDescent="0.25">
      <c r="A142" s="26" t="s">
        <v>935</v>
      </c>
      <c r="B142" s="7"/>
    </row>
    <row r="143" spans="1:2" ht="13.5" thickBot="1" x14ac:dyDescent="0.25">
      <c r="A143" s="5" t="s">
        <v>936</v>
      </c>
      <c r="B143" s="5"/>
    </row>
    <row r="144" spans="1:2" ht="13.5" thickBot="1" x14ac:dyDescent="0.25">
      <c r="A144" s="5" t="s">
        <v>937</v>
      </c>
      <c r="B144" s="5"/>
    </row>
    <row r="145" spans="1:2" ht="13.5" thickBot="1" x14ac:dyDescent="0.25">
      <c r="A145" s="5" t="s">
        <v>938</v>
      </c>
      <c r="B145" s="5"/>
    </row>
    <row r="146" spans="1:2" ht="13.5" thickBot="1" x14ac:dyDescent="0.25">
      <c r="A146" s="5" t="s">
        <v>939</v>
      </c>
      <c r="B146" s="5"/>
    </row>
    <row r="147" spans="1:2" ht="13.5" thickBot="1" x14ac:dyDescent="0.25">
      <c r="A147" s="5" t="s">
        <v>940</v>
      </c>
      <c r="B147" s="5"/>
    </row>
    <row r="148" spans="1:2" ht="13.5" thickBot="1" x14ac:dyDescent="0.25">
      <c r="A148" s="5" t="s">
        <v>941</v>
      </c>
      <c r="B148" s="5"/>
    </row>
    <row r="149" spans="1:2" ht="13.5" thickBot="1" x14ac:dyDescent="0.25">
      <c r="A149" s="5" t="s">
        <v>942</v>
      </c>
      <c r="B149" s="5"/>
    </row>
    <row r="150" spans="1:2" ht="13.5" thickBot="1" x14ac:dyDescent="0.25">
      <c r="A150" s="5" t="s">
        <v>943</v>
      </c>
      <c r="B150" s="5"/>
    </row>
    <row r="151" spans="1:2" ht="13.5" thickBot="1" x14ac:dyDescent="0.25">
      <c r="A151" s="5" t="s">
        <v>944</v>
      </c>
      <c r="B151" s="5"/>
    </row>
    <row r="152" spans="1:2" ht="13.5" thickBot="1" x14ac:dyDescent="0.25">
      <c r="A152" s="5" t="s">
        <v>945</v>
      </c>
      <c r="B152" s="5"/>
    </row>
    <row r="153" spans="1:2" ht="13.5" thickBot="1" x14ac:dyDescent="0.25">
      <c r="A153" s="5" t="s">
        <v>946</v>
      </c>
      <c r="B153" s="5"/>
    </row>
    <row r="154" spans="1:2" ht="13.5" thickBot="1" x14ac:dyDescent="0.25">
      <c r="A154" s="5" t="s">
        <v>947</v>
      </c>
      <c r="B154" s="5"/>
    </row>
    <row r="155" spans="1:2" ht="13.5" thickBot="1" x14ac:dyDescent="0.25">
      <c r="A155" s="5" t="s">
        <v>948</v>
      </c>
      <c r="B155" s="5"/>
    </row>
    <row r="156" spans="1:2" ht="13.5" thickBot="1" x14ac:dyDescent="0.25">
      <c r="A156" s="5" t="s">
        <v>949</v>
      </c>
      <c r="B156" s="5"/>
    </row>
    <row r="157" spans="1:2" ht="15.75" thickBot="1" x14ac:dyDescent="0.25">
      <c r="A157" s="28" t="s">
        <v>950</v>
      </c>
      <c r="B157" s="12"/>
    </row>
    <row r="158" spans="1:2" ht="50.25" thickBot="1" x14ac:dyDescent="0.25">
      <c r="A158" s="27" t="s">
        <v>951</v>
      </c>
      <c r="B158" s="8"/>
    </row>
    <row r="159" spans="1:2" ht="63.75" x14ac:dyDescent="0.2">
      <c r="A159" s="6" t="s">
        <v>952</v>
      </c>
      <c r="B159" s="6" t="s">
        <v>953</v>
      </c>
    </row>
    <row r="160" spans="1:2" ht="13.5" thickBot="1" x14ac:dyDescent="0.25">
      <c r="A160" s="4"/>
      <c r="B160" s="4"/>
    </row>
    <row r="161" spans="1:2" ht="77.25" thickBot="1" x14ac:dyDescent="0.25">
      <c r="A161" s="5" t="s">
        <v>954</v>
      </c>
      <c r="B161" s="5" t="s">
        <v>955</v>
      </c>
    </row>
    <row r="162" spans="1:2" x14ac:dyDescent="0.2">
      <c r="A162" s="6" t="s">
        <v>956</v>
      </c>
      <c r="B162" s="3" t="s">
        <v>957</v>
      </c>
    </row>
    <row r="163" spans="1:2" ht="13.5" thickBot="1" x14ac:dyDescent="0.25">
      <c r="A163" s="10"/>
      <c r="B163" s="10" t="s">
        <v>958</v>
      </c>
    </row>
    <row r="164" spans="1:2" ht="51.75" thickBot="1" x14ac:dyDescent="0.25">
      <c r="A164" s="6" t="s">
        <v>959</v>
      </c>
      <c r="B164" s="6" t="s">
        <v>960</v>
      </c>
    </row>
    <row r="165" spans="1:2" ht="102.75" thickBot="1" x14ac:dyDescent="0.25">
      <c r="A165" s="5" t="s">
        <v>961</v>
      </c>
      <c r="B165" s="5" t="s">
        <v>962</v>
      </c>
    </row>
    <row r="166" spans="1:2" ht="51.75" thickBot="1" x14ac:dyDescent="0.25">
      <c r="A166" s="5" t="s">
        <v>963</v>
      </c>
      <c r="B166" s="5" t="s">
        <v>964</v>
      </c>
    </row>
    <row r="167" spans="1:2" ht="25.5" x14ac:dyDescent="0.2">
      <c r="A167" s="6" t="s">
        <v>965</v>
      </c>
      <c r="B167" s="6" t="s">
        <v>966</v>
      </c>
    </row>
    <row r="168" spans="1:2" x14ac:dyDescent="0.2">
      <c r="A168" s="10"/>
      <c r="B168" s="10" t="s">
        <v>967</v>
      </c>
    </row>
    <row r="169" spans="1:2" ht="25.5" x14ac:dyDescent="0.2">
      <c r="A169" s="10"/>
      <c r="B169" s="10" t="s">
        <v>968</v>
      </c>
    </row>
    <row r="170" spans="1:2" ht="25.5" x14ac:dyDescent="0.2">
      <c r="A170" s="10"/>
      <c r="B170" s="10" t="s">
        <v>969</v>
      </c>
    </row>
    <row r="171" spans="1:2" x14ac:dyDescent="0.2">
      <c r="A171" s="10"/>
      <c r="B171" s="10" t="s">
        <v>970</v>
      </c>
    </row>
    <row r="172" spans="1:2" x14ac:dyDescent="0.2">
      <c r="A172" s="10"/>
      <c r="B172" s="10" t="s">
        <v>971</v>
      </c>
    </row>
    <row r="173" spans="1:2" x14ac:dyDescent="0.2">
      <c r="A173" s="10"/>
      <c r="B173" s="10"/>
    </row>
    <row r="174" spans="1:2" ht="13.5" thickBot="1" x14ac:dyDescent="0.25">
      <c r="A174" s="4"/>
      <c r="B174" s="4"/>
    </row>
    <row r="175" spans="1:2" x14ac:dyDescent="0.2">
      <c r="A175" s="6" t="s">
        <v>972</v>
      </c>
      <c r="B175" s="3" t="s">
        <v>973</v>
      </c>
    </row>
    <row r="176" spans="1:2" ht="13.5" thickBot="1" x14ac:dyDescent="0.25">
      <c r="A176" s="4"/>
      <c r="B176" s="4" t="s">
        <v>958</v>
      </c>
    </row>
    <row r="177" spans="1:2" ht="39" thickBot="1" x14ac:dyDescent="0.25">
      <c r="A177" s="5" t="s">
        <v>974</v>
      </c>
      <c r="B177" s="5" t="s">
        <v>975</v>
      </c>
    </row>
    <row r="178" spans="1:2" ht="39" thickBot="1" x14ac:dyDescent="0.25">
      <c r="A178" s="5" t="s">
        <v>976</v>
      </c>
      <c r="B178" s="5" t="s">
        <v>975</v>
      </c>
    </row>
    <row r="179" spans="1:2" ht="64.5" thickBot="1" x14ac:dyDescent="0.25">
      <c r="A179" s="5" t="s">
        <v>977</v>
      </c>
      <c r="B179" s="5" t="s">
        <v>978</v>
      </c>
    </row>
    <row r="180" spans="1:2" x14ac:dyDescent="0.2">
      <c r="A180" s="6" t="s">
        <v>979</v>
      </c>
      <c r="B180" s="3" t="s">
        <v>980</v>
      </c>
    </row>
    <row r="181" spans="1:2" ht="13.5" thickBot="1" x14ac:dyDescent="0.25">
      <c r="A181" s="4"/>
      <c r="B181" s="4" t="s">
        <v>958</v>
      </c>
    </row>
    <row r="182" spans="1:2" ht="64.5" thickBot="1" x14ac:dyDescent="0.25">
      <c r="A182" s="5" t="s">
        <v>981</v>
      </c>
      <c r="B182" s="5" t="s">
        <v>982</v>
      </c>
    </row>
    <row r="183" spans="1:2" ht="115.5" thickBot="1" x14ac:dyDescent="0.25">
      <c r="A183" s="5" t="s">
        <v>983</v>
      </c>
      <c r="B183" s="5" t="s">
        <v>984</v>
      </c>
    </row>
    <row r="184" spans="1:2" x14ac:dyDescent="0.2">
      <c r="A184" s="14" t="s">
        <v>985</v>
      </c>
      <c r="B184" s="14"/>
    </row>
    <row r="185" spans="1:2" ht="13.5" thickBot="1" x14ac:dyDescent="0.25">
      <c r="A185" s="15"/>
      <c r="B185" s="15"/>
    </row>
    <row r="186" spans="1:2" ht="13.5" thickBot="1" x14ac:dyDescent="0.25">
      <c r="A186" s="5" t="s">
        <v>986</v>
      </c>
      <c r="B186" s="5"/>
    </row>
    <row r="187" spans="1:2" x14ac:dyDescent="0.2">
      <c r="A187" s="6" t="s">
        <v>987</v>
      </c>
      <c r="B187" s="3" t="s">
        <v>988</v>
      </c>
    </row>
    <row r="188" spans="1:2" ht="13.5" thickBot="1" x14ac:dyDescent="0.25">
      <c r="A188" s="10"/>
      <c r="B188" s="10" t="s">
        <v>958</v>
      </c>
    </row>
    <row r="189" spans="1:2" ht="25.5" x14ac:dyDescent="0.2">
      <c r="A189" s="14" t="s">
        <v>989</v>
      </c>
      <c r="B189" s="14" t="s">
        <v>990</v>
      </c>
    </row>
    <row r="190" spans="1:2" ht="13.5" thickBot="1" x14ac:dyDescent="0.25">
      <c r="A190" s="15"/>
      <c r="B190" s="15"/>
    </row>
    <row r="191" spans="1:2" ht="26.25" thickBot="1" x14ac:dyDescent="0.25">
      <c r="A191" s="14" t="s">
        <v>991</v>
      </c>
      <c r="B191" s="14" t="s">
        <v>992</v>
      </c>
    </row>
    <row r="192" spans="1:2" ht="13.5" thickBot="1" x14ac:dyDescent="0.25">
      <c r="A192" s="6" t="s">
        <v>993</v>
      </c>
      <c r="B192" s="6"/>
    </row>
    <row r="193" spans="1:2" ht="13.5" thickBot="1" x14ac:dyDescent="0.25">
      <c r="A193" s="5" t="s">
        <v>994</v>
      </c>
      <c r="B193" s="5"/>
    </row>
    <row r="194" spans="1:2" ht="13.5" thickBot="1" x14ac:dyDescent="0.25">
      <c r="A194" s="16" t="s">
        <v>995</v>
      </c>
      <c r="B194" s="16" t="s">
        <v>996</v>
      </c>
    </row>
    <row r="195" spans="1:2" ht="16.5" thickBot="1" x14ac:dyDescent="0.25">
      <c r="A195" s="26" t="s">
        <v>997</v>
      </c>
      <c r="B195" s="7"/>
    </row>
    <row r="196" spans="1:2" ht="13.5" thickBot="1" x14ac:dyDescent="0.25">
      <c r="A196" s="5" t="s">
        <v>998</v>
      </c>
      <c r="B196" s="5"/>
    </row>
    <row r="197" spans="1:2" ht="13.5" thickBot="1" x14ac:dyDescent="0.25">
      <c r="A197" s="5" t="s">
        <v>999</v>
      </c>
      <c r="B197" s="5"/>
    </row>
    <row r="198" spans="1:2" ht="13.5" thickBot="1" x14ac:dyDescent="0.25">
      <c r="A198" s="5" t="s">
        <v>1000</v>
      </c>
      <c r="B198" s="5"/>
    </row>
    <row r="199" spans="1:2" ht="13.5" thickBot="1" x14ac:dyDescent="0.25">
      <c r="A199" s="5" t="s">
        <v>1001</v>
      </c>
      <c r="B199" s="5"/>
    </row>
    <row r="200" spans="1:2" ht="13.5" thickBot="1" x14ac:dyDescent="0.25">
      <c r="A200" s="5" t="s">
        <v>1002</v>
      </c>
      <c r="B200" s="5"/>
    </row>
    <row r="201" spans="1:2" ht="13.5" thickBot="1" x14ac:dyDescent="0.25">
      <c r="A201" s="5" t="s">
        <v>1003</v>
      </c>
      <c r="B201" s="5"/>
    </row>
    <row r="202" spans="1:2" ht="15.75" thickBot="1" x14ac:dyDescent="0.25">
      <c r="A202" s="28" t="s">
        <v>1004</v>
      </c>
      <c r="B202" s="12"/>
    </row>
    <row r="203" spans="1:2" ht="165.75" thickBot="1" x14ac:dyDescent="0.25">
      <c r="A203" s="27" t="s">
        <v>1005</v>
      </c>
      <c r="B203" s="8"/>
    </row>
    <row r="204" spans="1:2" ht="26.25" thickBot="1" x14ac:dyDescent="0.25">
      <c r="A204" s="6" t="s">
        <v>1006</v>
      </c>
      <c r="B204" s="6" t="s">
        <v>1007</v>
      </c>
    </row>
    <row r="205" spans="1:2" ht="13.5" thickBot="1" x14ac:dyDescent="0.25">
      <c r="A205" s="6" t="s">
        <v>1008</v>
      </c>
      <c r="B205" s="6"/>
    </row>
    <row r="206" spans="1:2" ht="13.5" thickBot="1" x14ac:dyDescent="0.25">
      <c r="A206" s="16" t="s">
        <v>1009</v>
      </c>
      <c r="B206" s="16"/>
    </row>
    <row r="207" spans="1:2" ht="39" thickBot="1" x14ac:dyDescent="0.25">
      <c r="A207" s="6" t="s">
        <v>1010</v>
      </c>
      <c r="B207" s="6" t="s">
        <v>1011</v>
      </c>
    </row>
    <row r="208" spans="1:2" ht="13.5" thickBot="1" x14ac:dyDescent="0.25">
      <c r="A208" s="5" t="s">
        <v>1012</v>
      </c>
      <c r="B208" s="5"/>
    </row>
    <row r="209" spans="1:2" ht="13.5" thickBot="1" x14ac:dyDescent="0.25">
      <c r="A209" s="16" t="s">
        <v>1013</v>
      </c>
      <c r="B209" s="16"/>
    </row>
    <row r="210" spans="1:2" ht="13.5" thickBot="1" x14ac:dyDescent="0.25">
      <c r="A210" s="6" t="s">
        <v>1014</v>
      </c>
      <c r="B210" s="6" t="s">
        <v>1015</v>
      </c>
    </row>
    <row r="211" spans="1:2" x14ac:dyDescent="0.2">
      <c r="A211" s="6" t="s">
        <v>1016</v>
      </c>
      <c r="B211" s="6"/>
    </row>
    <row r="212" spans="1:2" ht="13.5" thickBot="1" x14ac:dyDescent="0.25">
      <c r="A212" s="4"/>
      <c r="B212" s="4"/>
    </row>
    <row r="213" spans="1:2" x14ac:dyDescent="0.2">
      <c r="A213" s="14" t="s">
        <v>1017</v>
      </c>
      <c r="B213" s="14"/>
    </row>
    <row r="214" spans="1:2" ht="13.5" thickBot="1" x14ac:dyDescent="0.25">
      <c r="A214" s="15"/>
      <c r="B214" s="15"/>
    </row>
    <row r="215" spans="1:2" ht="26.25" thickBot="1" x14ac:dyDescent="0.25">
      <c r="A215" s="6" t="s">
        <v>1018</v>
      </c>
      <c r="B215" s="6" t="s">
        <v>1019</v>
      </c>
    </row>
    <row r="216" spans="1:2" ht="13.5" thickBot="1" x14ac:dyDescent="0.25">
      <c r="A216" s="6" t="s">
        <v>1020</v>
      </c>
      <c r="B216" s="6"/>
    </row>
    <row r="217" spans="1:2" ht="13.5" thickBot="1" x14ac:dyDescent="0.25">
      <c r="A217" s="16" t="s">
        <v>1021</v>
      </c>
      <c r="B217" s="16"/>
    </row>
    <row r="218" spans="1:2" ht="13.5" thickBot="1" x14ac:dyDescent="0.25">
      <c r="A218" s="6" t="s">
        <v>1022</v>
      </c>
      <c r="B218" s="6"/>
    </row>
    <row r="219" spans="1:2" x14ac:dyDescent="0.2">
      <c r="A219" s="14" t="s">
        <v>1023</v>
      </c>
      <c r="B219" s="14"/>
    </row>
    <row r="220" spans="1:2" ht="13.5" thickBot="1" x14ac:dyDescent="0.25">
      <c r="A220" s="15"/>
      <c r="B220" s="15"/>
    </row>
    <row r="221" spans="1:2" x14ac:dyDescent="0.2">
      <c r="A221" s="14" t="s">
        <v>1024</v>
      </c>
      <c r="B221" s="14"/>
    </row>
    <row r="222" spans="1:2" ht="13.5" thickBot="1" x14ac:dyDescent="0.25">
      <c r="A222" s="15"/>
      <c r="B222" s="15"/>
    </row>
    <row r="223" spans="1:2" ht="15.75" thickBot="1" x14ac:dyDescent="0.25">
      <c r="A223" s="28" t="s">
        <v>1025</v>
      </c>
      <c r="B223" s="12"/>
    </row>
    <row r="224" spans="1:2" ht="396.75" thickBot="1" x14ac:dyDescent="0.25">
      <c r="A224" s="27" t="s">
        <v>1026</v>
      </c>
      <c r="B224" s="8"/>
    </row>
    <row r="225" spans="1:2" ht="16.5" thickBot="1" x14ac:dyDescent="0.25">
      <c r="A225" s="26" t="s">
        <v>1027</v>
      </c>
      <c r="B225" s="7"/>
    </row>
    <row r="226" spans="1:2" ht="26.25" thickBot="1" x14ac:dyDescent="0.25">
      <c r="A226" s="5" t="s">
        <v>1028</v>
      </c>
      <c r="B226" s="5" t="s">
        <v>1029</v>
      </c>
    </row>
    <row r="227" spans="1:2" x14ac:dyDescent="0.2">
      <c r="A227" s="6" t="s">
        <v>1030</v>
      </c>
      <c r="B227" s="3" t="s">
        <v>1031</v>
      </c>
    </row>
    <row r="228" spans="1:2" ht="77.25" thickBot="1" x14ac:dyDescent="0.25">
      <c r="A228" s="10"/>
      <c r="B228" s="10" t="s">
        <v>1032</v>
      </c>
    </row>
    <row r="229" spans="1:2" x14ac:dyDescent="0.2">
      <c r="A229" s="6" t="s">
        <v>1033</v>
      </c>
      <c r="B229" s="3" t="s">
        <v>1034</v>
      </c>
    </row>
    <row r="230" spans="1:2" ht="39" thickBot="1" x14ac:dyDescent="0.25">
      <c r="A230" s="10"/>
      <c r="B230" s="10" t="s">
        <v>1035</v>
      </c>
    </row>
    <row r="231" spans="1:2" x14ac:dyDescent="0.2">
      <c r="A231" s="6" t="s">
        <v>1036</v>
      </c>
      <c r="B231" s="3" t="s">
        <v>1037</v>
      </c>
    </row>
    <row r="232" spans="1:2" ht="26.25" thickBot="1" x14ac:dyDescent="0.25">
      <c r="A232" s="10"/>
      <c r="B232" s="10" t="s">
        <v>1038</v>
      </c>
    </row>
    <row r="233" spans="1:2" x14ac:dyDescent="0.2">
      <c r="A233" s="6" t="s">
        <v>1039</v>
      </c>
      <c r="B233" s="3" t="s">
        <v>1040</v>
      </c>
    </row>
    <row r="234" spans="1:2" ht="39" thickBot="1" x14ac:dyDescent="0.25">
      <c r="A234" s="10"/>
      <c r="B234" s="10" t="s">
        <v>1041</v>
      </c>
    </row>
    <row r="235" spans="1:2" x14ac:dyDescent="0.2">
      <c r="A235" s="6" t="s">
        <v>1042</v>
      </c>
      <c r="B235" s="3" t="s">
        <v>1043</v>
      </c>
    </row>
    <row r="236" spans="1:2" ht="77.25" thickBot="1" x14ac:dyDescent="0.25">
      <c r="A236" s="10"/>
      <c r="B236" s="10" t="s">
        <v>1044</v>
      </c>
    </row>
    <row r="237" spans="1:2" x14ac:dyDescent="0.2">
      <c r="A237" s="6" t="s">
        <v>1045</v>
      </c>
      <c r="B237" s="3" t="s">
        <v>1046</v>
      </c>
    </row>
    <row r="238" spans="1:2" ht="90" thickBot="1" x14ac:dyDescent="0.25">
      <c r="A238" s="10"/>
      <c r="B238" s="10" t="s">
        <v>1047</v>
      </c>
    </row>
    <row r="239" spans="1:2" ht="13.5" thickBot="1" x14ac:dyDescent="0.25">
      <c r="A239" s="6" t="s">
        <v>1048</v>
      </c>
      <c r="B239" s="3" t="s">
        <v>1049</v>
      </c>
    </row>
    <row r="240" spans="1:2" ht="13.5" thickBot="1" x14ac:dyDescent="0.25">
      <c r="A240" s="5" t="s">
        <v>1050</v>
      </c>
      <c r="B240" s="13" t="s">
        <v>1051</v>
      </c>
    </row>
    <row r="241" spans="1:2" ht="13.5" thickBot="1" x14ac:dyDescent="0.25">
      <c r="A241" s="5" t="s">
        <v>1052</v>
      </c>
      <c r="B241" s="13" t="s">
        <v>1053</v>
      </c>
    </row>
    <row r="242" spans="1:2" x14ac:dyDescent="0.2">
      <c r="A242" s="6" t="s">
        <v>1054</v>
      </c>
      <c r="B242" s="3" t="s">
        <v>1055</v>
      </c>
    </row>
    <row r="243" spans="1:2" ht="13.5" thickBot="1" x14ac:dyDescent="0.25">
      <c r="A243" s="4"/>
      <c r="B243" s="17"/>
    </row>
    <row r="244" spans="1:2" ht="13.5" thickBot="1" x14ac:dyDescent="0.25">
      <c r="A244" s="5" t="s">
        <v>1056</v>
      </c>
      <c r="B244" s="13" t="s">
        <v>1057</v>
      </c>
    </row>
    <row r="245" spans="1:2" ht="13.5" thickBot="1" x14ac:dyDescent="0.25">
      <c r="A245" s="5" t="s">
        <v>1058</v>
      </c>
      <c r="B245" s="13" t="s">
        <v>1059</v>
      </c>
    </row>
    <row r="246" spans="1:2" ht="16.5" thickBot="1" x14ac:dyDescent="0.25">
      <c r="A246" s="26" t="s">
        <v>1060</v>
      </c>
      <c r="B246" s="7"/>
    </row>
    <row r="247" spans="1:2" ht="16.5" thickBot="1" x14ac:dyDescent="0.25">
      <c r="A247" s="26" t="s">
        <v>1061</v>
      </c>
      <c r="B247" s="7"/>
    </row>
    <row r="248" spans="1:2" ht="13.5" thickBot="1" x14ac:dyDescent="0.25">
      <c r="A248" s="14" t="s">
        <v>1062</v>
      </c>
      <c r="B248" s="18" t="s">
        <v>1063</v>
      </c>
    </row>
    <row r="249" spans="1:2" ht="13.5" thickBot="1" x14ac:dyDescent="0.25">
      <c r="A249" s="14" t="s">
        <v>1064</v>
      </c>
      <c r="B249" s="18" t="s">
        <v>1065</v>
      </c>
    </row>
    <row r="250" spans="1:2" ht="13.5" thickBot="1" x14ac:dyDescent="0.25">
      <c r="A250" s="14" t="s">
        <v>1066</v>
      </c>
      <c r="B250" s="18" t="s">
        <v>1067</v>
      </c>
    </row>
    <row r="251" spans="1:2" ht="13.5" thickBot="1" x14ac:dyDescent="0.25">
      <c r="A251" s="14" t="s">
        <v>1068</v>
      </c>
      <c r="B251" s="18" t="s">
        <v>1069</v>
      </c>
    </row>
    <row r="252" spans="1:2" ht="13.5" thickBot="1" x14ac:dyDescent="0.25">
      <c r="A252" s="14" t="s">
        <v>1070</v>
      </c>
      <c r="B252" s="18" t="s">
        <v>1071</v>
      </c>
    </row>
    <row r="253" spans="1:2" ht="13.5" thickBot="1" x14ac:dyDescent="0.25">
      <c r="A253" s="14" t="s">
        <v>1072</v>
      </c>
      <c r="B253" s="18" t="s">
        <v>1073</v>
      </c>
    </row>
    <row r="254" spans="1:2" ht="13.5" thickBot="1" x14ac:dyDescent="0.25">
      <c r="A254" s="14" t="s">
        <v>1074</v>
      </c>
      <c r="B254" s="18" t="s">
        <v>1075</v>
      </c>
    </row>
    <row r="255" spans="1:2" ht="16.5" thickBot="1" x14ac:dyDescent="0.25">
      <c r="A255" s="26" t="s">
        <v>1076</v>
      </c>
      <c r="B255" s="7"/>
    </row>
    <row r="256" spans="1:2" x14ac:dyDescent="0.2">
      <c r="A256" s="6" t="s">
        <v>1077</v>
      </c>
      <c r="B256" s="3" t="s">
        <v>1078</v>
      </c>
    </row>
    <row r="257" spans="1:2" ht="26.25" thickBot="1" x14ac:dyDescent="0.25">
      <c r="A257" s="10"/>
      <c r="B257" s="10" t="s">
        <v>1079</v>
      </c>
    </row>
    <row r="258" spans="1:2" ht="90" thickBot="1" x14ac:dyDescent="0.25">
      <c r="A258" s="6" t="s">
        <v>1080</v>
      </c>
      <c r="B258" s="6" t="s">
        <v>1081</v>
      </c>
    </row>
    <row r="259" spans="1:2" ht="39" thickBot="1" x14ac:dyDescent="0.25">
      <c r="A259" s="5" t="s">
        <v>1082</v>
      </c>
      <c r="B259" s="5" t="s">
        <v>1083</v>
      </c>
    </row>
    <row r="260" spans="1:2" ht="38.25" x14ac:dyDescent="0.2">
      <c r="A260" s="6" t="s">
        <v>1084</v>
      </c>
      <c r="B260" s="6" t="s">
        <v>1085</v>
      </c>
    </row>
    <row r="261" spans="1:2" ht="13.5" thickBot="1" x14ac:dyDescent="0.25">
      <c r="A261" s="4"/>
      <c r="B261" s="4"/>
    </row>
    <row r="262" spans="1:2" ht="26.25" thickBot="1" x14ac:dyDescent="0.25">
      <c r="A262" s="5" t="s">
        <v>1086</v>
      </c>
      <c r="B262" s="5" t="s">
        <v>1087</v>
      </c>
    </row>
    <row r="263" spans="1:2" x14ac:dyDescent="0.2">
      <c r="A263" s="6" t="s">
        <v>1088</v>
      </c>
      <c r="B263" s="3" t="s">
        <v>1089</v>
      </c>
    </row>
    <row r="264" spans="1:2" ht="51.75" thickBot="1" x14ac:dyDescent="0.25">
      <c r="A264" s="4"/>
      <c r="B264" s="4" t="s">
        <v>1090</v>
      </c>
    </row>
    <row r="265" spans="1:2" ht="77.25" thickBot="1" x14ac:dyDescent="0.25">
      <c r="A265" s="5" t="s">
        <v>1091</v>
      </c>
      <c r="B265" s="5" t="s">
        <v>1092</v>
      </c>
    </row>
    <row r="266" spans="1:2" ht="13.5" thickBot="1" x14ac:dyDescent="0.25">
      <c r="A266" s="6" t="s">
        <v>1093</v>
      </c>
      <c r="B266" s="6"/>
    </row>
    <row r="267" spans="1:2" ht="13.5" thickBot="1" x14ac:dyDescent="0.25">
      <c r="A267" s="5" t="s">
        <v>1094</v>
      </c>
      <c r="B267" s="13" t="s">
        <v>1095</v>
      </c>
    </row>
    <row r="268" spans="1:2" ht="13.5" thickBot="1" x14ac:dyDescent="0.25">
      <c r="A268" s="6" t="s">
        <v>1096</v>
      </c>
      <c r="B268" s="3" t="s">
        <v>1097</v>
      </c>
    </row>
    <row r="269" spans="1:2" ht="13.5" thickBot="1" x14ac:dyDescent="0.25">
      <c r="A269" s="5" t="s">
        <v>1098</v>
      </c>
      <c r="B269" s="13" t="s">
        <v>1099</v>
      </c>
    </row>
    <row r="270" spans="1:2" ht="13.5" thickBot="1" x14ac:dyDescent="0.25">
      <c r="A270" s="5" t="s">
        <v>1100</v>
      </c>
      <c r="B270" s="13" t="s">
        <v>1101</v>
      </c>
    </row>
    <row r="271" spans="1:2" ht="13.5" thickBot="1" x14ac:dyDescent="0.25">
      <c r="A271" s="6" t="s">
        <v>1102</v>
      </c>
      <c r="B271" s="3" t="s">
        <v>1103</v>
      </c>
    </row>
    <row r="272" spans="1:2" ht="16.5" thickBot="1" x14ac:dyDescent="0.25">
      <c r="A272" s="26" t="s">
        <v>1104</v>
      </c>
      <c r="B272" s="7"/>
    </row>
    <row r="273" spans="1:2" ht="16.5" thickBot="1" x14ac:dyDescent="0.25">
      <c r="A273" s="26" t="s">
        <v>1061</v>
      </c>
      <c r="B273" s="7"/>
    </row>
    <row r="274" spans="1:2" ht="13.5" thickBot="1" x14ac:dyDescent="0.25">
      <c r="A274" s="14" t="s">
        <v>1105</v>
      </c>
      <c r="B274" s="18" t="s">
        <v>1106</v>
      </c>
    </row>
    <row r="275" spans="1:2" ht="13.5" thickBot="1" x14ac:dyDescent="0.25">
      <c r="A275" s="14" t="s">
        <v>1107</v>
      </c>
      <c r="B275" s="18" t="s">
        <v>1108</v>
      </c>
    </row>
    <row r="276" spans="1:2" ht="13.5" thickBot="1" x14ac:dyDescent="0.25">
      <c r="A276" s="14" t="s">
        <v>1109</v>
      </c>
      <c r="B276" s="18" t="s">
        <v>1110</v>
      </c>
    </row>
    <row r="277" spans="1:2" ht="13.5" thickBot="1" x14ac:dyDescent="0.25">
      <c r="A277" s="16" t="s">
        <v>1111</v>
      </c>
      <c r="B277" s="19" t="s">
        <v>1112</v>
      </c>
    </row>
    <row r="278" spans="1:2" ht="13.5" thickBot="1" x14ac:dyDescent="0.25">
      <c r="A278" s="14" t="s">
        <v>1113</v>
      </c>
      <c r="B278" s="18" t="s">
        <v>1114</v>
      </c>
    </row>
    <row r="279" spans="1:2" ht="13.5" thickBot="1" x14ac:dyDescent="0.25">
      <c r="A279" s="14" t="s">
        <v>1115</v>
      </c>
      <c r="B279" s="18" t="s">
        <v>1116</v>
      </c>
    </row>
    <row r="280" spans="1:2" ht="13.5" thickBot="1" x14ac:dyDescent="0.25">
      <c r="A280" s="14" t="s">
        <v>1117</v>
      </c>
      <c r="B280" s="18" t="s">
        <v>1118</v>
      </c>
    </row>
    <row r="281" spans="1:2" ht="16.5" thickBot="1" x14ac:dyDescent="0.25">
      <c r="A281" s="26" t="s">
        <v>1119</v>
      </c>
      <c r="B281" s="7"/>
    </row>
    <row r="282" spans="1:2" x14ac:dyDescent="0.2">
      <c r="A282" s="14" t="s">
        <v>1120</v>
      </c>
      <c r="B282" s="18" t="s">
        <v>1121</v>
      </c>
    </row>
    <row r="283" spans="1:2" ht="26.25" thickBot="1" x14ac:dyDescent="0.25">
      <c r="A283" s="20"/>
      <c r="B283" s="20" t="s">
        <v>1122</v>
      </c>
    </row>
    <row r="284" spans="1:2" x14ac:dyDescent="0.2">
      <c r="A284" s="14" t="s">
        <v>1123</v>
      </c>
      <c r="B284" s="18" t="s">
        <v>1124</v>
      </c>
    </row>
    <row r="285" spans="1:2" ht="26.25" thickBot="1" x14ac:dyDescent="0.25">
      <c r="A285" s="15"/>
      <c r="B285" s="15" t="s">
        <v>1125</v>
      </c>
    </row>
    <row r="286" spans="1:2" x14ac:dyDescent="0.2">
      <c r="A286" s="14" t="s">
        <v>1126</v>
      </c>
      <c r="B286" s="18" t="s">
        <v>1127</v>
      </c>
    </row>
    <row r="287" spans="1:2" ht="51.75" thickBot="1" x14ac:dyDescent="0.25">
      <c r="A287" s="20"/>
      <c r="B287" s="20" t="s">
        <v>1128</v>
      </c>
    </row>
    <row r="288" spans="1:2" x14ac:dyDescent="0.2">
      <c r="A288" s="6" t="s">
        <v>1129</v>
      </c>
      <c r="B288" s="3" t="s">
        <v>1130</v>
      </c>
    </row>
    <row r="289" spans="1:2" ht="39" thickBot="1" x14ac:dyDescent="0.25">
      <c r="A289" s="10"/>
      <c r="B289" s="10" t="s">
        <v>1131</v>
      </c>
    </row>
    <row r="290" spans="1:2" x14ac:dyDescent="0.2">
      <c r="A290" s="6" t="s">
        <v>1132</v>
      </c>
      <c r="B290" s="3" t="s">
        <v>1133</v>
      </c>
    </row>
    <row r="291" spans="1:2" ht="39" thickBot="1" x14ac:dyDescent="0.25">
      <c r="A291" s="10"/>
      <c r="B291" s="10" t="s">
        <v>1134</v>
      </c>
    </row>
    <row r="292" spans="1:2" x14ac:dyDescent="0.2">
      <c r="A292" s="14" t="s">
        <v>1135</v>
      </c>
      <c r="B292" s="18" t="s">
        <v>1136</v>
      </c>
    </row>
    <row r="293" spans="1:2" ht="26.25" thickBot="1" x14ac:dyDescent="0.25">
      <c r="A293" s="20"/>
      <c r="B293" s="20" t="s">
        <v>1137</v>
      </c>
    </row>
    <row r="294" spans="1:2" ht="15.75" thickBot="1" x14ac:dyDescent="0.25">
      <c r="A294" s="28" t="s">
        <v>1138</v>
      </c>
      <c r="B294" s="12"/>
    </row>
    <row r="295" spans="1:2" ht="51" x14ac:dyDescent="0.2">
      <c r="A295" s="6" t="s">
        <v>1139</v>
      </c>
      <c r="B295" s="6" t="s">
        <v>1140</v>
      </c>
    </row>
    <row r="296" spans="1:2" ht="13.5" thickBot="1" x14ac:dyDescent="0.25">
      <c r="A296" s="4"/>
      <c r="B296" s="4"/>
    </row>
    <row r="297" spans="1:2" ht="64.5" thickBot="1" x14ac:dyDescent="0.25">
      <c r="A297" s="5" t="s">
        <v>1141</v>
      </c>
      <c r="B297" s="5" t="s">
        <v>1142</v>
      </c>
    </row>
    <row r="298" spans="1:2" ht="64.5" thickBot="1" x14ac:dyDescent="0.25">
      <c r="A298" s="5" t="s">
        <v>1143</v>
      </c>
      <c r="B298" s="5" t="s">
        <v>1144</v>
      </c>
    </row>
    <row r="299" spans="1:2" ht="51.75" thickBot="1" x14ac:dyDescent="0.25">
      <c r="A299" s="6" t="s">
        <v>1145</v>
      </c>
      <c r="B299" s="6" t="s">
        <v>1146</v>
      </c>
    </row>
    <row r="300" spans="1:2" ht="25.5" x14ac:dyDescent="0.2">
      <c r="A300" s="14" t="s">
        <v>1147</v>
      </c>
      <c r="B300" s="14" t="s">
        <v>1148</v>
      </c>
    </row>
    <row r="301" spans="1:2" ht="13.5" thickBot="1" x14ac:dyDescent="0.25">
      <c r="A301" s="15"/>
      <c r="B301" s="15"/>
    </row>
    <row r="302" spans="1:2" ht="13.5" thickBot="1" x14ac:dyDescent="0.25">
      <c r="A302" s="14" t="s">
        <v>1149</v>
      </c>
      <c r="B302" s="14" t="s">
        <v>1150</v>
      </c>
    </row>
    <row r="303" spans="1:2" ht="15.75" thickBot="1" x14ac:dyDescent="0.25">
      <c r="A303" s="28" t="s">
        <v>1151</v>
      </c>
      <c r="B303" s="12"/>
    </row>
    <row r="304" spans="1:2" ht="50.25" thickBot="1" x14ac:dyDescent="0.25">
      <c r="A304" s="27" t="s">
        <v>1152</v>
      </c>
      <c r="B304" s="8"/>
    </row>
    <row r="305" spans="1:2" ht="16.5" thickBot="1" x14ac:dyDescent="0.25">
      <c r="A305" s="26" t="s">
        <v>1153</v>
      </c>
      <c r="B305" s="7"/>
    </row>
    <row r="306" spans="1:2" ht="26.25" thickBot="1" x14ac:dyDescent="0.25">
      <c r="A306" s="6" t="s">
        <v>1154</v>
      </c>
      <c r="B306" s="6" t="s">
        <v>1155</v>
      </c>
    </row>
    <row r="307" spans="1:2" ht="64.5" thickBot="1" x14ac:dyDescent="0.25">
      <c r="A307" s="6" t="s">
        <v>1156</v>
      </c>
      <c r="B307" s="6" t="s">
        <v>1157</v>
      </c>
    </row>
    <row r="308" spans="1:2" ht="13.5" thickBot="1" x14ac:dyDescent="0.25">
      <c r="A308" s="14" t="s">
        <v>1158</v>
      </c>
      <c r="B308" s="14" t="s">
        <v>1159</v>
      </c>
    </row>
    <row r="309" spans="1:2" ht="16.5" thickBot="1" x14ac:dyDescent="0.25">
      <c r="A309" s="26" t="s">
        <v>1160</v>
      </c>
      <c r="B309" s="7"/>
    </row>
    <row r="310" spans="1:2" ht="26.25" thickBot="1" x14ac:dyDescent="0.25">
      <c r="A310" s="6" t="s">
        <v>1161</v>
      </c>
      <c r="B310" s="6" t="s">
        <v>1162</v>
      </c>
    </row>
    <row r="311" spans="1:2" ht="26.25" thickBot="1" x14ac:dyDescent="0.25">
      <c r="A311" s="6" t="s">
        <v>1163</v>
      </c>
      <c r="B311" s="6" t="s">
        <v>1164</v>
      </c>
    </row>
    <row r="312" spans="1:2" ht="115.5" thickBot="1" x14ac:dyDescent="0.25">
      <c r="A312" s="6" t="s">
        <v>1165</v>
      </c>
      <c r="B312" s="6" t="s">
        <v>1166</v>
      </c>
    </row>
    <row r="313" spans="1:2" ht="13.5" thickBot="1" x14ac:dyDescent="0.25">
      <c r="A313" s="14" t="s">
        <v>1167</v>
      </c>
      <c r="B313" s="14" t="s">
        <v>1168</v>
      </c>
    </row>
    <row r="314" spans="1:2" ht="16.5" thickBot="1" x14ac:dyDescent="0.25">
      <c r="A314" s="26" t="s">
        <v>1169</v>
      </c>
      <c r="B314" s="7"/>
    </row>
    <row r="315" spans="1:2" ht="39" thickBot="1" x14ac:dyDescent="0.25">
      <c r="A315" s="6" t="s">
        <v>1170</v>
      </c>
      <c r="B315" s="6" t="s">
        <v>1171</v>
      </c>
    </row>
    <row r="316" spans="1:2" ht="16.5" thickBot="1" x14ac:dyDescent="0.25">
      <c r="A316" s="26" t="s">
        <v>1172</v>
      </c>
      <c r="B316" s="7"/>
    </row>
    <row r="317" spans="1:2" ht="13.5" thickBot="1" x14ac:dyDescent="0.25">
      <c r="A317" s="14" t="s">
        <v>1173</v>
      </c>
      <c r="B317" s="14" t="s">
        <v>1174</v>
      </c>
    </row>
    <row r="318" spans="1:2" ht="15.75" thickBot="1" x14ac:dyDescent="0.25">
      <c r="A318" s="28" t="s">
        <v>1175</v>
      </c>
      <c r="B318" s="12"/>
    </row>
    <row r="319" spans="1:2" ht="99.75" thickBot="1" x14ac:dyDescent="0.25">
      <c r="A319" s="27" t="s">
        <v>1176</v>
      </c>
      <c r="B319" s="8"/>
    </row>
    <row r="320" spans="1:2" ht="39" thickBot="1" x14ac:dyDescent="0.25">
      <c r="A320" s="6" t="s">
        <v>1177</v>
      </c>
      <c r="B320" s="6" t="s">
        <v>1178</v>
      </c>
    </row>
    <row r="321" spans="1:2" ht="39" thickBot="1" x14ac:dyDescent="0.25">
      <c r="A321" s="6" t="s">
        <v>1179</v>
      </c>
      <c r="B321" s="6" t="s">
        <v>1180</v>
      </c>
    </row>
    <row r="322" spans="1:2" ht="26.25" thickBot="1" x14ac:dyDescent="0.25">
      <c r="A322" s="6" t="s">
        <v>1181</v>
      </c>
      <c r="B322" s="6" t="s">
        <v>1182</v>
      </c>
    </row>
    <row r="323" spans="1:2" ht="26.25" thickBot="1" x14ac:dyDescent="0.25">
      <c r="A323" s="6" t="s">
        <v>1183</v>
      </c>
      <c r="B323" s="6" t="s">
        <v>1184</v>
      </c>
    </row>
    <row r="324" spans="1:2" ht="26.25" thickBot="1" x14ac:dyDescent="0.25">
      <c r="A324" s="14" t="s">
        <v>1185</v>
      </c>
      <c r="B324" s="14" t="s">
        <v>1186</v>
      </c>
    </row>
    <row r="325" spans="1:2" ht="15.75" thickBot="1" x14ac:dyDescent="0.25">
      <c r="A325" s="28" t="s">
        <v>1187</v>
      </c>
      <c r="B325" s="12"/>
    </row>
    <row r="326" spans="1:2" ht="83.25" thickBot="1" x14ac:dyDescent="0.25">
      <c r="A326" s="27" t="s">
        <v>1188</v>
      </c>
      <c r="B326" s="8"/>
    </row>
    <row r="327" spans="1:2" x14ac:dyDescent="0.2">
      <c r="A327" s="6" t="s">
        <v>1189</v>
      </c>
      <c r="B327" s="6" t="s">
        <v>1190</v>
      </c>
    </row>
    <row r="328" spans="1:2" x14ac:dyDescent="0.2">
      <c r="A328" s="10"/>
      <c r="B328" s="9"/>
    </row>
    <row r="329" spans="1:2" ht="63.75" x14ac:dyDescent="0.2">
      <c r="A329" s="10"/>
      <c r="B329" s="10" t="s">
        <v>1191</v>
      </c>
    </row>
    <row r="330" spans="1:2" x14ac:dyDescent="0.2">
      <c r="A330" s="10"/>
      <c r="B330" s="9"/>
    </row>
    <row r="331" spans="1:2" ht="102.75" thickBot="1" x14ac:dyDescent="0.25">
      <c r="A331" s="10"/>
      <c r="B331" s="10" t="s">
        <v>1192</v>
      </c>
    </row>
    <row r="332" spans="1:2" ht="39" thickBot="1" x14ac:dyDescent="0.25">
      <c r="A332" s="6" t="s">
        <v>1193</v>
      </c>
      <c r="B332" s="6" t="s">
        <v>1194</v>
      </c>
    </row>
    <row r="333" spans="1:2" ht="63.75" x14ac:dyDescent="0.2">
      <c r="A333" s="6" t="s">
        <v>1195</v>
      </c>
      <c r="B333" s="6" t="s">
        <v>1626</v>
      </c>
    </row>
    <row r="334" spans="1:2" x14ac:dyDescent="0.2">
      <c r="A334" s="10"/>
      <c r="B334" s="9"/>
    </row>
    <row r="335" spans="1:2" ht="72" x14ac:dyDescent="0.2">
      <c r="A335" s="10"/>
      <c r="B335" s="85" t="s">
        <v>1196</v>
      </c>
    </row>
    <row r="336" spans="1:2" x14ac:dyDescent="0.2">
      <c r="A336" s="10"/>
      <c r="B336" s="9"/>
    </row>
    <row r="337" spans="1:2" ht="38.25" x14ac:dyDescent="0.2">
      <c r="A337" s="10"/>
      <c r="B337" s="10" t="s">
        <v>1197</v>
      </c>
    </row>
    <row r="338" spans="1:2" x14ac:dyDescent="0.2">
      <c r="A338" s="10"/>
      <c r="B338" s="9"/>
    </row>
    <row r="339" spans="1:2" ht="60" x14ac:dyDescent="0.2">
      <c r="A339" s="10"/>
      <c r="B339" s="85" t="s">
        <v>1198</v>
      </c>
    </row>
    <row r="340" spans="1:2" x14ac:dyDescent="0.2">
      <c r="A340" s="10"/>
      <c r="B340" s="9"/>
    </row>
    <row r="341" spans="1:2" ht="38.25" x14ac:dyDescent="0.2">
      <c r="A341" s="10"/>
      <c r="B341" s="10" t="s">
        <v>1199</v>
      </c>
    </row>
    <row r="342" spans="1:2" x14ac:dyDescent="0.2">
      <c r="A342" s="10"/>
      <c r="B342" s="10"/>
    </row>
    <row r="343" spans="1:2" ht="38.25" x14ac:dyDescent="0.2">
      <c r="A343" s="10"/>
      <c r="B343" s="10" t="s">
        <v>1627</v>
      </c>
    </row>
    <row r="344" spans="1:2" x14ac:dyDescent="0.2">
      <c r="A344" s="10"/>
      <c r="B344" s="10"/>
    </row>
    <row r="345" spans="1:2" ht="25.5" x14ac:dyDescent="0.2">
      <c r="A345" s="10"/>
      <c r="B345" s="10" t="s">
        <v>1200</v>
      </c>
    </row>
    <row r="346" spans="1:2" x14ac:dyDescent="0.2">
      <c r="A346" s="10"/>
      <c r="B346" s="10"/>
    </row>
    <row r="347" spans="1:2" x14ac:dyDescent="0.2">
      <c r="A347" s="10"/>
      <c r="B347" s="10"/>
    </row>
    <row r="348" spans="1:2" x14ac:dyDescent="0.2">
      <c r="A348" s="10"/>
      <c r="B348" s="10"/>
    </row>
    <row r="349" spans="1:2" x14ac:dyDescent="0.2">
      <c r="A349" s="10"/>
      <c r="B349" s="10"/>
    </row>
    <row r="350" spans="1:2" ht="13.5" thickBot="1" x14ac:dyDescent="0.25">
      <c r="A350" s="4"/>
      <c r="B350" s="4"/>
    </row>
    <row r="351" spans="1:2" ht="26.25" thickBot="1" x14ac:dyDescent="0.25">
      <c r="A351" s="6" t="s">
        <v>1201</v>
      </c>
      <c r="B351" s="6" t="s">
        <v>1202</v>
      </c>
    </row>
    <row r="352" spans="1:2" ht="76.5" x14ac:dyDescent="0.2">
      <c r="A352" s="6" t="s">
        <v>1203</v>
      </c>
      <c r="B352" s="6" t="s">
        <v>1204</v>
      </c>
    </row>
    <row r="353" spans="1:2" x14ac:dyDescent="0.2">
      <c r="A353" s="10"/>
      <c r="B353" s="9"/>
    </row>
    <row r="354" spans="1:2" ht="89.25" x14ac:dyDescent="0.2">
      <c r="A354" s="10"/>
      <c r="B354" s="10" t="s">
        <v>1196</v>
      </c>
    </row>
    <row r="355" spans="1:2" x14ac:dyDescent="0.2">
      <c r="A355" s="10"/>
      <c r="B355" s="9"/>
    </row>
    <row r="356" spans="1:2" ht="38.25" x14ac:dyDescent="0.2">
      <c r="A356" s="10"/>
      <c r="B356" s="10" t="s">
        <v>1197</v>
      </c>
    </row>
    <row r="357" spans="1:2" x14ac:dyDescent="0.2">
      <c r="A357" s="10"/>
      <c r="B357" s="9"/>
    </row>
    <row r="358" spans="1:2" ht="63.75" x14ac:dyDescent="0.2">
      <c r="A358" s="10"/>
      <c r="B358" s="10" t="s">
        <v>1205</v>
      </c>
    </row>
    <row r="359" spans="1:2" x14ac:dyDescent="0.2">
      <c r="A359" s="10"/>
    </row>
    <row r="360" spans="1:2" ht="38.25" x14ac:dyDescent="0.2">
      <c r="A360" s="10"/>
      <c r="B360" s="10" t="s">
        <v>1199</v>
      </c>
    </row>
    <row r="361" spans="1:2" x14ac:dyDescent="0.2">
      <c r="A361" s="10"/>
    </row>
    <row r="362" spans="1:2" ht="36" x14ac:dyDescent="0.2">
      <c r="A362" s="10"/>
      <c r="B362" s="85" t="s">
        <v>1627</v>
      </c>
    </row>
    <row r="363" spans="1:2" x14ac:dyDescent="0.2">
      <c r="A363" s="10"/>
      <c r="B363" s="10"/>
    </row>
    <row r="364" spans="1:2" ht="26.25" thickBot="1" x14ac:dyDescent="0.25">
      <c r="A364" s="4"/>
      <c r="B364" s="4" t="s">
        <v>1206</v>
      </c>
    </row>
    <row r="365" spans="1:2" ht="51.75" thickBot="1" x14ac:dyDescent="0.25">
      <c r="A365" s="6" t="s">
        <v>1207</v>
      </c>
      <c r="B365" s="6" t="s">
        <v>1208</v>
      </c>
    </row>
    <row r="366" spans="1:2" ht="89.25" x14ac:dyDescent="0.2">
      <c r="A366" s="6" t="s">
        <v>1209</v>
      </c>
      <c r="B366" s="6" t="s">
        <v>1210</v>
      </c>
    </row>
    <row r="367" spans="1:2" x14ac:dyDescent="0.2">
      <c r="A367" s="10"/>
      <c r="B367" s="9"/>
    </row>
    <row r="368" spans="1:2" ht="89.25" x14ac:dyDescent="0.2">
      <c r="A368" s="10"/>
      <c r="B368" s="10" t="s">
        <v>1196</v>
      </c>
    </row>
    <row r="369" spans="1:2" x14ac:dyDescent="0.2">
      <c r="A369" s="10"/>
      <c r="B369" s="9"/>
    </row>
    <row r="370" spans="1:2" ht="38.25" x14ac:dyDescent="0.2">
      <c r="A370" s="10"/>
      <c r="B370" s="10" t="s">
        <v>1197</v>
      </c>
    </row>
    <row r="371" spans="1:2" x14ac:dyDescent="0.2">
      <c r="A371" s="10"/>
      <c r="B371" s="9"/>
    </row>
    <row r="372" spans="1:2" ht="63.75" x14ac:dyDescent="0.2">
      <c r="A372" s="10"/>
      <c r="B372" s="10" t="s">
        <v>1211</v>
      </c>
    </row>
    <row r="373" spans="1:2" x14ac:dyDescent="0.2">
      <c r="A373" s="10"/>
      <c r="B373" s="9"/>
    </row>
    <row r="374" spans="1:2" ht="38.25" x14ac:dyDescent="0.2">
      <c r="A374" s="10"/>
      <c r="B374" s="10" t="s">
        <v>1199</v>
      </c>
    </row>
    <row r="375" spans="1:2" x14ac:dyDescent="0.2">
      <c r="A375" s="10"/>
      <c r="B375" s="10"/>
    </row>
    <row r="376" spans="1:2" ht="36" x14ac:dyDescent="0.2">
      <c r="A376" s="10"/>
      <c r="B376" s="85" t="s">
        <v>1627</v>
      </c>
    </row>
    <row r="377" spans="1:2" x14ac:dyDescent="0.2">
      <c r="A377" s="10"/>
      <c r="B377" s="10"/>
    </row>
    <row r="378" spans="1:2" ht="26.25" thickBot="1" x14ac:dyDescent="0.25">
      <c r="A378" s="10"/>
      <c r="B378" s="10" t="s">
        <v>1212</v>
      </c>
    </row>
    <row r="379" spans="1:2" ht="13.5" thickBot="1" x14ac:dyDescent="0.25">
      <c r="A379" s="14" t="s">
        <v>1213</v>
      </c>
      <c r="B379" s="14"/>
    </row>
    <row r="380" spans="1:2" ht="16.5" thickBot="1" x14ac:dyDescent="0.25">
      <c r="A380" s="26" t="s">
        <v>1214</v>
      </c>
      <c r="B380" s="7"/>
    </row>
    <row r="381" spans="1:2" ht="89.25" x14ac:dyDescent="0.2">
      <c r="A381" s="6" t="s">
        <v>1215</v>
      </c>
      <c r="B381" s="6" t="s">
        <v>1216</v>
      </c>
    </row>
    <row r="382" spans="1:2" x14ac:dyDescent="0.2">
      <c r="A382" s="10"/>
      <c r="B382" s="10"/>
    </row>
    <row r="383" spans="1:2" ht="26.25" thickBot="1" x14ac:dyDescent="0.25">
      <c r="A383" s="10"/>
      <c r="B383" s="10" t="s">
        <v>1217</v>
      </c>
    </row>
    <row r="384" spans="1:2" x14ac:dyDescent="0.2">
      <c r="A384" s="6" t="s">
        <v>1218</v>
      </c>
      <c r="B384" s="3" t="s">
        <v>1219</v>
      </c>
    </row>
    <row r="385" spans="1:2" ht="26.25" thickBot="1" x14ac:dyDescent="0.25">
      <c r="A385" s="4"/>
      <c r="B385" s="4" t="s">
        <v>1217</v>
      </c>
    </row>
    <row r="386" spans="1:2" ht="89.25" x14ac:dyDescent="0.2">
      <c r="A386" s="6" t="s">
        <v>1220</v>
      </c>
      <c r="B386" s="6" t="s">
        <v>1221</v>
      </c>
    </row>
    <row r="387" spans="1:2" x14ac:dyDescent="0.2">
      <c r="A387" s="10"/>
      <c r="B387" s="10"/>
    </row>
    <row r="388" spans="1:2" ht="26.25" thickBot="1" x14ac:dyDescent="0.25">
      <c r="A388" s="10"/>
      <c r="B388" s="10" t="s">
        <v>1217</v>
      </c>
    </row>
    <row r="389" spans="1:2" x14ac:dyDescent="0.2">
      <c r="A389" s="14" t="s">
        <v>1222</v>
      </c>
      <c r="B389" s="18" t="s">
        <v>1223</v>
      </c>
    </row>
    <row r="390" spans="1:2" ht="89.25" x14ac:dyDescent="0.2">
      <c r="A390" s="20"/>
      <c r="B390" s="20" t="s">
        <v>1216</v>
      </c>
    </row>
    <row r="391" spans="1:2" ht="26.25" thickBot="1" x14ac:dyDescent="0.25">
      <c r="A391" s="20"/>
      <c r="B391" s="20" t="s">
        <v>1217</v>
      </c>
    </row>
    <row r="392" spans="1:2" ht="15.75" thickBot="1" x14ac:dyDescent="0.25">
      <c r="A392" s="28" t="s">
        <v>1224</v>
      </c>
      <c r="B392" s="12"/>
    </row>
    <row r="393" spans="1:2" ht="182.25" thickBot="1" x14ac:dyDescent="0.25">
      <c r="A393" s="27" t="s">
        <v>1225</v>
      </c>
      <c r="B393" s="8"/>
    </row>
    <row r="394" spans="1:2" ht="16.5" thickBot="1" x14ac:dyDescent="0.25">
      <c r="A394" s="26" t="s">
        <v>1226</v>
      </c>
      <c r="B394" s="7"/>
    </row>
    <row r="395" spans="1:2" ht="13.5" thickBot="1" x14ac:dyDescent="0.25">
      <c r="A395" s="6" t="s">
        <v>1227</v>
      </c>
      <c r="B395" s="6" t="s">
        <v>1228</v>
      </c>
    </row>
    <row r="396" spans="1:2" x14ac:dyDescent="0.2">
      <c r="A396" s="6" t="s">
        <v>1229</v>
      </c>
      <c r="B396" s="3" t="s">
        <v>1230</v>
      </c>
    </row>
    <row r="397" spans="1:2" ht="26.25" thickBot="1" x14ac:dyDescent="0.25">
      <c r="A397" s="10"/>
      <c r="B397" s="10" t="s">
        <v>1231</v>
      </c>
    </row>
    <row r="398" spans="1:2" ht="16.5" thickBot="1" x14ac:dyDescent="0.25">
      <c r="A398" s="26" t="s">
        <v>1232</v>
      </c>
      <c r="B398" s="7"/>
    </row>
    <row r="399" spans="1:2" x14ac:dyDescent="0.2">
      <c r="A399" s="6" t="s">
        <v>1233</v>
      </c>
      <c r="B399" s="3" t="s">
        <v>1234</v>
      </c>
    </row>
    <row r="400" spans="1:2" ht="39" thickBot="1" x14ac:dyDescent="0.25">
      <c r="A400" s="4"/>
      <c r="B400" s="4" t="s">
        <v>1235</v>
      </c>
    </row>
    <row r="401" spans="1:2" x14ac:dyDescent="0.2">
      <c r="A401" s="6" t="s">
        <v>1236</v>
      </c>
      <c r="B401" s="3" t="s">
        <v>1237</v>
      </c>
    </row>
    <row r="402" spans="1:2" ht="13.5" thickBot="1" x14ac:dyDescent="0.25">
      <c r="A402" s="4"/>
      <c r="B402" s="4" t="s">
        <v>1238</v>
      </c>
    </row>
    <row r="403" spans="1:2" x14ac:dyDescent="0.2">
      <c r="A403" s="6" t="s">
        <v>1239</v>
      </c>
      <c r="B403" s="3" t="s">
        <v>1240</v>
      </c>
    </row>
    <row r="404" spans="1:2" ht="13.5" thickBot="1" x14ac:dyDescent="0.25">
      <c r="A404" s="10"/>
      <c r="B404" s="10" t="s">
        <v>1241</v>
      </c>
    </row>
    <row r="405" spans="1:2" x14ac:dyDescent="0.2">
      <c r="A405" s="6" t="s">
        <v>1242</v>
      </c>
      <c r="B405" s="3" t="s">
        <v>1243</v>
      </c>
    </row>
    <row r="406" spans="1:2" ht="39" thickBot="1" x14ac:dyDescent="0.25">
      <c r="A406" s="4"/>
      <c r="B406" s="4" t="s">
        <v>1235</v>
      </c>
    </row>
    <row r="407" spans="1:2" x14ac:dyDescent="0.2">
      <c r="A407" s="6" t="s">
        <v>1244</v>
      </c>
      <c r="B407" s="3" t="s">
        <v>1245</v>
      </c>
    </row>
    <row r="408" spans="1:2" ht="13.5" thickBot="1" x14ac:dyDescent="0.25">
      <c r="A408" s="4"/>
      <c r="B408" s="4" t="s">
        <v>1246</v>
      </c>
    </row>
    <row r="409" spans="1:2" x14ac:dyDescent="0.2">
      <c r="A409" s="6" t="s">
        <v>1247</v>
      </c>
      <c r="B409" s="3" t="s">
        <v>1248</v>
      </c>
    </row>
    <row r="410" spans="1:2" ht="13.5" thickBot="1" x14ac:dyDescent="0.25">
      <c r="A410" s="4"/>
      <c r="B410" s="4" t="s">
        <v>1249</v>
      </c>
    </row>
    <row r="411" spans="1:2" x14ac:dyDescent="0.2">
      <c r="A411" s="14" t="s">
        <v>1250</v>
      </c>
      <c r="B411" s="18" t="s">
        <v>1251</v>
      </c>
    </row>
    <row r="412" spans="1:2" ht="13.5" thickBot="1" x14ac:dyDescent="0.25">
      <c r="A412" s="15"/>
      <c r="B412" s="21"/>
    </row>
    <row r="413" spans="1:2" ht="16.5" thickBot="1" x14ac:dyDescent="0.25">
      <c r="A413" s="26" t="s">
        <v>1252</v>
      </c>
      <c r="B413" s="7"/>
    </row>
    <row r="414" spans="1:2" x14ac:dyDescent="0.2">
      <c r="A414" s="6" t="s">
        <v>1253</v>
      </c>
      <c r="B414" s="3" t="s">
        <v>1254</v>
      </c>
    </row>
    <row r="415" spans="1:2" ht="51.75" thickBot="1" x14ac:dyDescent="0.25">
      <c r="A415" s="10"/>
      <c r="B415" s="10" t="s">
        <v>1255</v>
      </c>
    </row>
    <row r="416" spans="1:2" x14ac:dyDescent="0.2">
      <c r="A416" s="6" t="s">
        <v>1256</v>
      </c>
      <c r="B416" s="3" t="s">
        <v>1257</v>
      </c>
    </row>
    <row r="417" spans="1:2" ht="13.5" thickBot="1" x14ac:dyDescent="0.25">
      <c r="A417" s="4"/>
      <c r="B417" s="4" t="s">
        <v>1258</v>
      </c>
    </row>
    <row r="418" spans="1:2" x14ac:dyDescent="0.2">
      <c r="A418" s="6" t="s">
        <v>1259</v>
      </c>
      <c r="B418" s="3" t="s">
        <v>1260</v>
      </c>
    </row>
    <row r="419" spans="1:2" ht="64.5" thickBot="1" x14ac:dyDescent="0.25">
      <c r="A419" s="4"/>
      <c r="B419" s="4" t="s">
        <v>1261</v>
      </c>
    </row>
    <row r="420" spans="1:2" x14ac:dyDescent="0.2">
      <c r="A420" s="6" t="s">
        <v>1262</v>
      </c>
      <c r="B420" s="3" t="s">
        <v>1263</v>
      </c>
    </row>
    <row r="421" spans="1:2" ht="26.25" thickBot="1" x14ac:dyDescent="0.25">
      <c r="A421" s="4"/>
      <c r="B421" s="4" t="s">
        <v>1264</v>
      </c>
    </row>
    <row r="422" spans="1:2" x14ac:dyDescent="0.2">
      <c r="A422" s="6" t="s">
        <v>1265</v>
      </c>
      <c r="B422" s="3" t="s">
        <v>1266</v>
      </c>
    </row>
    <row r="423" spans="1:2" x14ac:dyDescent="0.2">
      <c r="A423" s="10"/>
      <c r="B423" s="22"/>
    </row>
    <row r="424" spans="1:2" x14ac:dyDescent="0.2">
      <c r="A424" s="10"/>
      <c r="B424" s="22"/>
    </row>
    <row r="425" spans="1:2" x14ac:dyDescent="0.2">
      <c r="A425" s="10"/>
      <c r="B425" s="22"/>
    </row>
    <row r="426" spans="1:2" x14ac:dyDescent="0.2">
      <c r="A426" s="10"/>
      <c r="B426" s="22"/>
    </row>
    <row r="427" spans="1:2" x14ac:dyDescent="0.2">
      <c r="A427" s="10"/>
      <c r="B427" s="22"/>
    </row>
    <row r="428" spans="1:2" x14ac:dyDescent="0.2">
      <c r="A428" s="10"/>
      <c r="B428" s="22"/>
    </row>
    <row r="429" spans="1:2" x14ac:dyDescent="0.2">
      <c r="A429" s="10"/>
      <c r="B429" s="22"/>
    </row>
    <row r="430" spans="1:2" x14ac:dyDescent="0.2">
      <c r="A430" s="10"/>
      <c r="B430" s="22"/>
    </row>
    <row r="431" spans="1:2" x14ac:dyDescent="0.2">
      <c r="A431" s="10"/>
      <c r="B431" s="22"/>
    </row>
    <row r="432" spans="1:2" x14ac:dyDescent="0.2">
      <c r="A432" s="10"/>
      <c r="B432" s="22"/>
    </row>
    <row r="433" spans="1:2" x14ac:dyDescent="0.2">
      <c r="A433" s="10"/>
      <c r="B433" s="22"/>
    </row>
    <row r="434" spans="1:2" x14ac:dyDescent="0.2">
      <c r="A434" s="10"/>
      <c r="B434" s="22"/>
    </row>
    <row r="435" spans="1:2" x14ac:dyDescent="0.2">
      <c r="A435" s="10"/>
      <c r="B435" s="22"/>
    </row>
    <row r="436" spans="1:2" x14ac:dyDescent="0.2">
      <c r="A436" s="10"/>
      <c r="B436" s="22"/>
    </row>
    <row r="437" spans="1:2" x14ac:dyDescent="0.2">
      <c r="A437" s="10"/>
      <c r="B437" s="22"/>
    </row>
    <row r="438" spans="1:2" x14ac:dyDescent="0.2">
      <c r="A438" s="10"/>
      <c r="B438" s="22"/>
    </row>
    <row r="439" spans="1:2" x14ac:dyDescent="0.2">
      <c r="A439" s="10"/>
      <c r="B439" s="22"/>
    </row>
    <row r="440" spans="1:2" x14ac:dyDescent="0.2">
      <c r="A440" s="10"/>
      <c r="B440" s="22"/>
    </row>
    <row r="441" spans="1:2" x14ac:dyDescent="0.2">
      <c r="A441" s="10"/>
      <c r="B441" s="22"/>
    </row>
    <row r="442" spans="1:2" x14ac:dyDescent="0.2">
      <c r="A442" s="10"/>
      <c r="B442" s="22"/>
    </row>
    <row r="443" spans="1:2" x14ac:dyDescent="0.2">
      <c r="A443" s="10"/>
      <c r="B443" s="22"/>
    </row>
    <row r="444" spans="1:2" x14ac:dyDescent="0.2">
      <c r="A444" s="10"/>
      <c r="B444" s="22"/>
    </row>
    <row r="445" spans="1:2" ht="13.5" thickBot="1" x14ac:dyDescent="0.25">
      <c r="A445" s="4"/>
      <c r="B445" s="17"/>
    </row>
    <row r="446" spans="1:2" x14ac:dyDescent="0.2">
      <c r="A446" s="6" t="s">
        <v>1267</v>
      </c>
      <c r="B446" s="3" t="s">
        <v>1268</v>
      </c>
    </row>
    <row r="447" spans="1:2" ht="38.25" x14ac:dyDescent="0.2">
      <c r="A447" s="10"/>
      <c r="B447" s="10" t="s">
        <v>1269</v>
      </c>
    </row>
    <row r="448" spans="1:2" x14ac:dyDescent="0.2">
      <c r="A448" s="10"/>
      <c r="B448" s="10"/>
    </row>
    <row r="449" spans="1:2" x14ac:dyDescent="0.2">
      <c r="A449" s="10"/>
      <c r="B449" s="10"/>
    </row>
    <row r="450" spans="1:2" x14ac:dyDescent="0.2">
      <c r="A450" s="10"/>
      <c r="B450" s="10"/>
    </row>
    <row r="451" spans="1:2" x14ac:dyDescent="0.2">
      <c r="A451" s="10"/>
      <c r="B451" s="10"/>
    </row>
    <row r="452" spans="1:2" x14ac:dyDescent="0.2">
      <c r="A452" s="10"/>
      <c r="B452" s="10"/>
    </row>
    <row r="453" spans="1:2" x14ac:dyDescent="0.2">
      <c r="A453" s="10"/>
      <c r="B453" s="10"/>
    </row>
    <row r="454" spans="1:2" x14ac:dyDescent="0.2">
      <c r="A454" s="10"/>
      <c r="B454" s="10"/>
    </row>
    <row r="455" spans="1:2" x14ac:dyDescent="0.2">
      <c r="A455" s="10"/>
      <c r="B455" s="10"/>
    </row>
    <row r="456" spans="1:2" x14ac:dyDescent="0.2">
      <c r="A456" s="10"/>
      <c r="B456" s="10"/>
    </row>
    <row r="457" spans="1:2" x14ac:dyDescent="0.2">
      <c r="A457" s="10"/>
      <c r="B457" s="10"/>
    </row>
    <row r="458" spans="1:2" x14ac:dyDescent="0.2">
      <c r="A458" s="10"/>
      <c r="B458" s="10"/>
    </row>
    <row r="459" spans="1:2" x14ac:dyDescent="0.2">
      <c r="A459" s="10"/>
      <c r="B459" s="10"/>
    </row>
    <row r="460" spans="1:2" x14ac:dyDescent="0.2">
      <c r="A460" s="10"/>
      <c r="B460" s="10"/>
    </row>
    <row r="461" spans="1:2" x14ac:dyDescent="0.2">
      <c r="A461" s="10"/>
      <c r="B461" s="10"/>
    </row>
    <row r="462" spans="1:2" x14ac:dyDescent="0.2">
      <c r="A462" s="10"/>
      <c r="B462" s="10"/>
    </row>
    <row r="463" spans="1:2" x14ac:dyDescent="0.2">
      <c r="A463" s="10"/>
      <c r="B463" s="10"/>
    </row>
    <row r="464" spans="1:2" x14ac:dyDescent="0.2">
      <c r="A464" s="10"/>
      <c r="B464" s="10"/>
    </row>
    <row r="465" spans="1:2" x14ac:dyDescent="0.2">
      <c r="A465" s="10"/>
      <c r="B465" s="10"/>
    </row>
    <row r="466" spans="1:2" x14ac:dyDescent="0.2">
      <c r="A466" s="10"/>
      <c r="B466" s="10"/>
    </row>
    <row r="467" spans="1:2" x14ac:dyDescent="0.2">
      <c r="A467" s="10"/>
      <c r="B467" s="10"/>
    </row>
    <row r="468" spans="1:2" x14ac:dyDescent="0.2">
      <c r="A468" s="10"/>
      <c r="B468" s="10"/>
    </row>
    <row r="469" spans="1:2" x14ac:dyDescent="0.2">
      <c r="A469" s="10"/>
      <c r="B469" s="10"/>
    </row>
    <row r="470" spans="1:2" x14ac:dyDescent="0.2">
      <c r="A470" s="10"/>
      <c r="B470" s="10"/>
    </row>
    <row r="471" spans="1:2" ht="13.5" thickBot="1" x14ac:dyDescent="0.25">
      <c r="A471" s="4"/>
      <c r="B471" s="4"/>
    </row>
    <row r="472" spans="1:2" x14ac:dyDescent="0.2">
      <c r="A472" s="6" t="s">
        <v>1270</v>
      </c>
      <c r="B472" s="3" t="s">
        <v>1271</v>
      </c>
    </row>
    <row r="473" spans="1:2" ht="26.25" thickBot="1" x14ac:dyDescent="0.25">
      <c r="A473" s="4"/>
      <c r="B473" s="4" t="s">
        <v>1272</v>
      </c>
    </row>
    <row r="474" spans="1:2" x14ac:dyDescent="0.2">
      <c r="A474" s="6" t="s">
        <v>1273</v>
      </c>
      <c r="B474" s="3" t="s">
        <v>1274</v>
      </c>
    </row>
    <row r="475" spans="1:2" ht="51" x14ac:dyDescent="0.2">
      <c r="A475" s="10"/>
      <c r="B475" s="10" t="s">
        <v>1275</v>
      </c>
    </row>
    <row r="476" spans="1:2" x14ac:dyDescent="0.2">
      <c r="A476" s="10"/>
      <c r="B476" s="10"/>
    </row>
    <row r="477" spans="1:2" ht="13.5" thickBot="1" x14ac:dyDescent="0.25">
      <c r="A477" s="4"/>
      <c r="B477" s="4"/>
    </row>
    <row r="478" spans="1:2" x14ac:dyDescent="0.2">
      <c r="A478" s="6" t="s">
        <v>1276</v>
      </c>
      <c r="B478" s="3" t="s">
        <v>1277</v>
      </c>
    </row>
    <row r="479" spans="1:2" ht="51.75" thickBot="1" x14ac:dyDescent="0.25">
      <c r="A479" s="4"/>
      <c r="B479" s="4" t="s">
        <v>1278</v>
      </c>
    </row>
    <row r="480" spans="1:2" x14ac:dyDescent="0.2">
      <c r="A480" s="6" t="s">
        <v>1279</v>
      </c>
      <c r="B480" s="3" t="s">
        <v>1280</v>
      </c>
    </row>
    <row r="481" spans="1:2" x14ac:dyDescent="0.2">
      <c r="A481" s="10"/>
      <c r="B481" s="22"/>
    </row>
    <row r="482" spans="1:2" x14ac:dyDescent="0.2">
      <c r="A482" s="10"/>
      <c r="B482" s="22"/>
    </row>
    <row r="483" spans="1:2" x14ac:dyDescent="0.2">
      <c r="A483" s="10"/>
      <c r="B483" s="22"/>
    </row>
    <row r="484" spans="1:2" x14ac:dyDescent="0.2">
      <c r="A484" s="10"/>
      <c r="B484" s="22"/>
    </row>
    <row r="485" spans="1:2" x14ac:dyDescent="0.2">
      <c r="A485" s="10"/>
      <c r="B485" s="22"/>
    </row>
    <row r="486" spans="1:2" x14ac:dyDescent="0.2">
      <c r="A486" s="10"/>
      <c r="B486" s="22"/>
    </row>
    <row r="487" spans="1:2" x14ac:dyDescent="0.2">
      <c r="A487" s="10"/>
      <c r="B487" s="22"/>
    </row>
    <row r="488" spans="1:2" x14ac:dyDescent="0.2">
      <c r="A488" s="10"/>
      <c r="B488" s="22"/>
    </row>
    <row r="489" spans="1:2" x14ac:dyDescent="0.2">
      <c r="A489" s="10"/>
      <c r="B489" s="22"/>
    </row>
    <row r="490" spans="1:2" x14ac:dyDescent="0.2">
      <c r="A490" s="10"/>
      <c r="B490" s="22"/>
    </row>
    <row r="491" spans="1:2" ht="13.5" thickBot="1" x14ac:dyDescent="0.25">
      <c r="A491" s="4"/>
      <c r="B491" s="17"/>
    </row>
    <row r="492" spans="1:2" x14ac:dyDescent="0.2">
      <c r="A492" s="6" t="s">
        <v>1281</v>
      </c>
      <c r="B492" s="3" t="s">
        <v>1282</v>
      </c>
    </row>
    <row r="493" spans="1:2" ht="38.25" x14ac:dyDescent="0.2">
      <c r="A493" s="10"/>
      <c r="B493" s="10" t="s">
        <v>1283</v>
      </c>
    </row>
    <row r="494" spans="1:2" x14ac:dyDescent="0.2">
      <c r="A494" s="10"/>
      <c r="B494" s="10"/>
    </row>
    <row r="495" spans="1:2" x14ac:dyDescent="0.2">
      <c r="A495" s="10"/>
      <c r="B495" s="10"/>
    </row>
    <row r="496" spans="1:2" x14ac:dyDescent="0.2">
      <c r="A496" s="10"/>
      <c r="B496" s="10"/>
    </row>
    <row r="497" spans="1:2" ht="13.5" thickBot="1" x14ac:dyDescent="0.25">
      <c r="A497" s="4"/>
      <c r="B497" s="4"/>
    </row>
    <row r="498" spans="1:2" x14ac:dyDescent="0.2">
      <c r="A498" s="6" t="s">
        <v>1284</v>
      </c>
      <c r="B498" s="3" t="s">
        <v>1285</v>
      </c>
    </row>
    <row r="499" spans="1:2" x14ac:dyDescent="0.2">
      <c r="A499" s="10"/>
      <c r="B499" s="22"/>
    </row>
    <row r="500" spans="1:2" x14ac:dyDescent="0.2">
      <c r="A500" s="10"/>
      <c r="B500" s="22"/>
    </row>
    <row r="501" spans="1:2" ht="13.5" thickBot="1" x14ac:dyDescent="0.25">
      <c r="A501" s="4"/>
      <c r="B501" s="17"/>
    </row>
    <row r="502" spans="1:2" x14ac:dyDescent="0.2">
      <c r="A502" s="6" t="s">
        <v>1286</v>
      </c>
      <c r="B502" s="3" t="s">
        <v>1287</v>
      </c>
    </row>
    <row r="503" spans="1:2" ht="26.25" thickBot="1" x14ac:dyDescent="0.25">
      <c r="A503" s="4"/>
      <c r="B503" s="4" t="s">
        <v>1288</v>
      </c>
    </row>
    <row r="504" spans="1:2" x14ac:dyDescent="0.2">
      <c r="A504" s="6" t="s">
        <v>1289</v>
      </c>
      <c r="B504" s="3" t="s">
        <v>1290</v>
      </c>
    </row>
    <row r="505" spans="1:2" x14ac:dyDescent="0.2">
      <c r="A505" s="10"/>
      <c r="B505" s="22"/>
    </row>
    <row r="506" spans="1:2" x14ac:dyDescent="0.2">
      <c r="A506" s="10"/>
      <c r="B506" s="22"/>
    </row>
    <row r="507" spans="1:2" ht="13.5" thickBot="1" x14ac:dyDescent="0.25">
      <c r="A507" s="4"/>
      <c r="B507" s="17"/>
    </row>
    <row r="508" spans="1:2" x14ac:dyDescent="0.2">
      <c r="A508" s="6" t="s">
        <v>1291</v>
      </c>
      <c r="B508" s="3" t="s">
        <v>1292</v>
      </c>
    </row>
    <row r="509" spans="1:2" ht="26.25" thickBot="1" x14ac:dyDescent="0.25">
      <c r="A509" s="4"/>
      <c r="B509" s="4" t="s">
        <v>1293</v>
      </c>
    </row>
    <row r="510" spans="1:2" x14ac:dyDescent="0.2">
      <c r="A510" s="14" t="s">
        <v>1294</v>
      </c>
      <c r="B510" s="18" t="s">
        <v>1295</v>
      </c>
    </row>
    <row r="511" spans="1:2" ht="25.5" x14ac:dyDescent="0.2">
      <c r="A511" s="20"/>
      <c r="B511" s="20" t="s">
        <v>1296</v>
      </c>
    </row>
    <row r="512" spans="1:2" x14ac:dyDescent="0.2">
      <c r="A512" s="20"/>
      <c r="B512" s="20"/>
    </row>
    <row r="513" spans="1:2" x14ac:dyDescent="0.2">
      <c r="A513" s="20"/>
      <c r="B513" s="20"/>
    </row>
    <row r="514" spans="1:2" x14ac:dyDescent="0.2">
      <c r="A514" s="20"/>
      <c r="B514" s="20"/>
    </row>
    <row r="515" spans="1:2" x14ac:dyDescent="0.2">
      <c r="A515" s="20"/>
      <c r="B515" s="20"/>
    </row>
    <row r="516" spans="1:2" x14ac:dyDescent="0.2">
      <c r="A516" s="20"/>
      <c r="B516" s="20"/>
    </row>
    <row r="517" spans="1:2" ht="13.5" thickBot="1" x14ac:dyDescent="0.25">
      <c r="A517" s="15"/>
      <c r="B517" s="15"/>
    </row>
    <row r="518" spans="1:2" x14ac:dyDescent="0.2">
      <c r="A518" s="14" t="s">
        <v>1297</v>
      </c>
      <c r="B518" s="18" t="s">
        <v>1298</v>
      </c>
    </row>
    <row r="519" spans="1:2" x14ac:dyDescent="0.2">
      <c r="A519" s="20"/>
      <c r="B519" s="23"/>
    </row>
    <row r="520" spans="1:2" x14ac:dyDescent="0.2">
      <c r="A520" s="20"/>
      <c r="B520" s="23"/>
    </row>
    <row r="521" spans="1:2" x14ac:dyDescent="0.2">
      <c r="A521" s="20"/>
      <c r="B521" s="23"/>
    </row>
    <row r="522" spans="1:2" x14ac:dyDescent="0.2">
      <c r="A522" s="20"/>
      <c r="B522" s="23"/>
    </row>
    <row r="523" spans="1:2" x14ac:dyDescent="0.2">
      <c r="A523" s="20"/>
      <c r="B523" s="23"/>
    </row>
    <row r="524" spans="1:2" x14ac:dyDescent="0.2">
      <c r="A524" s="20"/>
      <c r="B524" s="23"/>
    </row>
    <row r="525" spans="1:2" ht="13.5" thickBot="1" x14ac:dyDescent="0.25">
      <c r="A525" s="15"/>
      <c r="B525" s="21"/>
    </row>
    <row r="526" spans="1:2" ht="16.5" thickBot="1" x14ac:dyDescent="0.25">
      <c r="A526" s="26" t="s">
        <v>1299</v>
      </c>
      <c r="B526" s="7"/>
    </row>
    <row r="527" spans="1:2" x14ac:dyDescent="0.2">
      <c r="A527" s="6" t="s">
        <v>1300</v>
      </c>
      <c r="B527" s="3" t="s">
        <v>1301</v>
      </c>
    </row>
    <row r="528" spans="1:2" ht="25.5" x14ac:dyDescent="0.2">
      <c r="A528" s="10"/>
      <c r="B528" s="10" t="s">
        <v>1302</v>
      </c>
    </row>
    <row r="529" spans="1:2" x14ac:dyDescent="0.2">
      <c r="A529" s="10"/>
      <c r="B529" s="10"/>
    </row>
    <row r="530" spans="1:2" x14ac:dyDescent="0.2">
      <c r="A530" s="10"/>
      <c r="B530" s="10"/>
    </row>
    <row r="531" spans="1:2" x14ac:dyDescent="0.2">
      <c r="A531" s="10"/>
      <c r="B531" s="10"/>
    </row>
    <row r="532" spans="1:2" x14ac:dyDescent="0.2">
      <c r="A532" s="10"/>
      <c r="B532" s="10"/>
    </row>
    <row r="533" spans="1:2" x14ac:dyDescent="0.2">
      <c r="A533" s="10"/>
      <c r="B533" s="10"/>
    </row>
    <row r="534" spans="1:2" x14ac:dyDescent="0.2">
      <c r="A534" s="10"/>
      <c r="B534" s="10"/>
    </row>
    <row r="535" spans="1:2" x14ac:dyDescent="0.2">
      <c r="A535" s="10"/>
      <c r="B535" s="10"/>
    </row>
    <row r="536" spans="1:2" x14ac:dyDescent="0.2">
      <c r="A536" s="10"/>
      <c r="B536" s="10"/>
    </row>
    <row r="537" spans="1:2" x14ac:dyDescent="0.2">
      <c r="A537" s="10"/>
      <c r="B537" s="10"/>
    </row>
    <row r="538" spans="1:2" x14ac:dyDescent="0.2">
      <c r="A538" s="10"/>
      <c r="B538" s="10"/>
    </row>
    <row r="539" spans="1:2" x14ac:dyDescent="0.2">
      <c r="A539" s="10"/>
      <c r="B539" s="10"/>
    </row>
    <row r="540" spans="1:2" x14ac:dyDescent="0.2">
      <c r="A540" s="10"/>
      <c r="B540" s="10"/>
    </row>
    <row r="541" spans="1:2" x14ac:dyDescent="0.2">
      <c r="A541" s="10"/>
      <c r="B541" s="10"/>
    </row>
    <row r="542" spans="1:2" ht="13.5" thickBot="1" x14ac:dyDescent="0.25">
      <c r="A542" s="4"/>
      <c r="B542" s="4"/>
    </row>
    <row r="543" spans="1:2" x14ac:dyDescent="0.2">
      <c r="A543" s="6" t="s">
        <v>1303</v>
      </c>
      <c r="B543" s="3" t="s">
        <v>1304</v>
      </c>
    </row>
    <row r="544" spans="1:2" ht="25.5" x14ac:dyDescent="0.2">
      <c r="A544" s="10"/>
      <c r="B544" s="10" t="s">
        <v>1305</v>
      </c>
    </row>
    <row r="545" spans="1:2" x14ac:dyDescent="0.2">
      <c r="A545" s="10"/>
      <c r="B545" s="10"/>
    </row>
    <row r="546" spans="1:2" x14ac:dyDescent="0.2">
      <c r="A546" s="10"/>
      <c r="B546" s="10"/>
    </row>
    <row r="547" spans="1:2" x14ac:dyDescent="0.2">
      <c r="A547" s="10"/>
      <c r="B547" s="10"/>
    </row>
    <row r="548" spans="1:2" x14ac:dyDescent="0.2">
      <c r="A548" s="10"/>
      <c r="B548" s="10"/>
    </row>
    <row r="549" spans="1:2" x14ac:dyDescent="0.2">
      <c r="A549" s="10"/>
      <c r="B549" s="10"/>
    </row>
    <row r="550" spans="1:2" x14ac:dyDescent="0.2">
      <c r="A550" s="10"/>
      <c r="B550" s="10"/>
    </row>
    <row r="551" spans="1:2" x14ac:dyDescent="0.2">
      <c r="A551" s="10"/>
      <c r="B551" s="10"/>
    </row>
    <row r="552" spans="1:2" ht="13.5" thickBot="1" x14ac:dyDescent="0.25">
      <c r="A552" s="4"/>
      <c r="B552" s="4"/>
    </row>
    <row r="553" spans="1:2" x14ac:dyDescent="0.2">
      <c r="A553" s="6" t="s">
        <v>1306</v>
      </c>
      <c r="B553" s="3" t="s">
        <v>1307</v>
      </c>
    </row>
    <row r="554" spans="1:2" ht="76.5" x14ac:dyDescent="0.2">
      <c r="A554" s="10"/>
      <c r="B554" s="10" t="s">
        <v>1308</v>
      </c>
    </row>
    <row r="555" spans="1:2" x14ac:dyDescent="0.2">
      <c r="A555" s="10"/>
      <c r="B555" s="10"/>
    </row>
    <row r="556" spans="1:2" x14ac:dyDescent="0.2">
      <c r="A556" s="10"/>
      <c r="B556" s="10" t="s">
        <v>1309</v>
      </c>
    </row>
    <row r="557" spans="1:2" x14ac:dyDescent="0.2">
      <c r="A557" s="10"/>
      <c r="B557" s="10"/>
    </row>
    <row r="558" spans="1:2" x14ac:dyDescent="0.2">
      <c r="A558" s="10"/>
      <c r="B558" s="10"/>
    </row>
    <row r="559" spans="1:2" x14ac:dyDescent="0.2">
      <c r="A559" s="10"/>
      <c r="B559" s="10"/>
    </row>
    <row r="560" spans="1:2" x14ac:dyDescent="0.2">
      <c r="A560" s="10"/>
      <c r="B560" s="10"/>
    </row>
    <row r="561" spans="1:2" x14ac:dyDescent="0.2">
      <c r="A561" s="10"/>
      <c r="B561" s="10"/>
    </row>
    <row r="562" spans="1:2" x14ac:dyDescent="0.2">
      <c r="A562" s="10"/>
      <c r="B562" s="10"/>
    </row>
    <row r="563" spans="1:2" x14ac:dyDescent="0.2">
      <c r="A563" s="10"/>
      <c r="B563" s="10"/>
    </row>
    <row r="564" spans="1:2" x14ac:dyDescent="0.2">
      <c r="A564" s="10"/>
      <c r="B564" s="10"/>
    </row>
    <row r="565" spans="1:2" x14ac:dyDescent="0.2">
      <c r="A565" s="10"/>
      <c r="B565" s="10"/>
    </row>
    <row r="566" spans="1:2" x14ac:dyDescent="0.2">
      <c r="A566" s="10"/>
      <c r="B566" s="10"/>
    </row>
    <row r="567" spans="1:2" x14ac:dyDescent="0.2">
      <c r="A567" s="10"/>
      <c r="B567" s="10"/>
    </row>
    <row r="568" spans="1:2" x14ac:dyDescent="0.2">
      <c r="A568" s="10"/>
      <c r="B568" s="10"/>
    </row>
    <row r="569" spans="1:2" x14ac:dyDescent="0.2">
      <c r="A569" s="10"/>
      <c r="B569" s="10"/>
    </row>
    <row r="570" spans="1:2" x14ac:dyDescent="0.2">
      <c r="A570" s="10"/>
      <c r="B570" s="10"/>
    </row>
    <row r="571" spans="1:2" x14ac:dyDescent="0.2">
      <c r="A571" s="10"/>
      <c r="B571" s="10"/>
    </row>
    <row r="572" spans="1:2" ht="13.5" thickBot="1" x14ac:dyDescent="0.25">
      <c r="A572" s="4"/>
      <c r="B572" s="4"/>
    </row>
    <row r="573" spans="1:2" x14ac:dyDescent="0.2">
      <c r="A573" s="6" t="s">
        <v>1310</v>
      </c>
      <c r="B573" s="3" t="s">
        <v>1311</v>
      </c>
    </row>
    <row r="574" spans="1:2" ht="76.5" x14ac:dyDescent="0.2">
      <c r="A574" s="10"/>
      <c r="B574" s="10" t="s">
        <v>1312</v>
      </c>
    </row>
    <row r="575" spans="1:2" x14ac:dyDescent="0.2">
      <c r="A575" s="10"/>
      <c r="B575" s="9"/>
    </row>
    <row r="576" spans="1:2" ht="25.5" x14ac:dyDescent="0.2">
      <c r="A576" s="10"/>
      <c r="B576" s="10" t="s">
        <v>1313</v>
      </c>
    </row>
    <row r="577" spans="1:2" x14ac:dyDescent="0.2">
      <c r="A577" s="10"/>
      <c r="B577" s="9"/>
    </row>
    <row r="578" spans="1:2" ht="38.25" x14ac:dyDescent="0.2">
      <c r="A578" s="10"/>
      <c r="B578" s="10" t="s">
        <v>1314</v>
      </c>
    </row>
    <row r="579" spans="1:2" x14ac:dyDescent="0.2">
      <c r="A579" s="10"/>
      <c r="B579" s="10"/>
    </row>
    <row r="580" spans="1:2" ht="13.5" thickBot="1" x14ac:dyDescent="0.25">
      <c r="A580" s="4"/>
      <c r="B580" s="4" t="s">
        <v>1315</v>
      </c>
    </row>
    <row r="581" spans="1:2" x14ac:dyDescent="0.2">
      <c r="A581" s="14" t="s">
        <v>1316</v>
      </c>
      <c r="B581" s="18" t="s">
        <v>1317</v>
      </c>
    </row>
    <row r="582" spans="1:2" ht="13.5" thickBot="1" x14ac:dyDescent="0.25">
      <c r="A582" s="15"/>
      <c r="B582" s="15" t="s">
        <v>1318</v>
      </c>
    </row>
    <row r="583" spans="1:2" x14ac:dyDescent="0.2">
      <c r="A583" s="14" t="s">
        <v>1319</v>
      </c>
      <c r="B583" s="18" t="s">
        <v>1320</v>
      </c>
    </row>
    <row r="584" spans="1:2" ht="26.25" thickBot="1" x14ac:dyDescent="0.25">
      <c r="A584" s="15"/>
      <c r="B584" s="15" t="s">
        <v>1321</v>
      </c>
    </row>
    <row r="585" spans="1:2" x14ac:dyDescent="0.2">
      <c r="A585" s="14" t="s">
        <v>1322</v>
      </c>
      <c r="B585" s="18" t="s">
        <v>1323</v>
      </c>
    </row>
    <row r="586" spans="1:2" ht="51" x14ac:dyDescent="0.2">
      <c r="A586" s="20"/>
      <c r="B586" s="20" t="s">
        <v>1324</v>
      </c>
    </row>
    <row r="587" spans="1:2" x14ac:dyDescent="0.2">
      <c r="A587" s="20"/>
      <c r="B587" s="20"/>
    </row>
    <row r="588" spans="1:2" ht="13.5" thickBot="1" x14ac:dyDescent="0.25">
      <c r="A588" s="15"/>
      <c r="B588" s="15" t="s">
        <v>1325</v>
      </c>
    </row>
    <row r="589" spans="1:2" ht="16.5" thickBot="1" x14ac:dyDescent="0.25">
      <c r="A589" s="26" t="s">
        <v>1326</v>
      </c>
      <c r="B589" s="7"/>
    </row>
    <row r="590" spans="1:2" x14ac:dyDescent="0.2">
      <c r="A590" s="6" t="s">
        <v>1327</v>
      </c>
      <c r="B590" s="3" t="s">
        <v>1328</v>
      </c>
    </row>
    <row r="591" spans="1:2" ht="25.5" x14ac:dyDescent="0.2">
      <c r="A591" s="10"/>
      <c r="B591" s="10" t="s">
        <v>1329</v>
      </c>
    </row>
    <row r="592" spans="1:2" x14ac:dyDescent="0.2">
      <c r="A592" s="10"/>
      <c r="B592" s="9"/>
    </row>
    <row r="593" spans="1:2" ht="38.25" x14ac:dyDescent="0.2">
      <c r="A593" s="10"/>
      <c r="B593" s="10" t="s">
        <v>1330</v>
      </c>
    </row>
    <row r="594" spans="1:2" x14ac:dyDescent="0.2">
      <c r="A594" s="10"/>
      <c r="B594" s="9"/>
    </row>
    <row r="595" spans="1:2" ht="51" x14ac:dyDescent="0.2">
      <c r="A595" s="10"/>
      <c r="B595" s="10" t="s">
        <v>1331</v>
      </c>
    </row>
    <row r="596" spans="1:2" x14ac:dyDescent="0.2">
      <c r="A596" s="10"/>
      <c r="B596" s="9"/>
    </row>
    <row r="597" spans="1:2" ht="25.5" x14ac:dyDescent="0.2">
      <c r="A597" s="10"/>
      <c r="B597" s="10" t="s">
        <v>1332</v>
      </c>
    </row>
    <row r="598" spans="1:2" x14ac:dyDescent="0.2">
      <c r="A598" s="10"/>
      <c r="B598" s="9"/>
    </row>
    <row r="599" spans="1:2" ht="38.25" x14ac:dyDescent="0.2">
      <c r="A599" s="10"/>
      <c r="B599" s="10" t="s">
        <v>1333</v>
      </c>
    </row>
    <row r="600" spans="1:2" x14ac:dyDescent="0.2">
      <c r="A600" s="10"/>
      <c r="B600" s="9"/>
    </row>
    <row r="601" spans="1:2" ht="63.75" x14ac:dyDescent="0.2">
      <c r="A601" s="10"/>
      <c r="B601" s="10" t="s">
        <v>1334</v>
      </c>
    </row>
    <row r="602" spans="1:2" x14ac:dyDescent="0.2">
      <c r="A602" s="10"/>
      <c r="B602" s="10"/>
    </row>
    <row r="603" spans="1:2" ht="77.25" thickBot="1" x14ac:dyDescent="0.25">
      <c r="A603" s="4"/>
      <c r="B603" s="4" t="s">
        <v>1335</v>
      </c>
    </row>
    <row r="604" spans="1:2" ht="16.5" thickBot="1" x14ac:dyDescent="0.25">
      <c r="A604" s="26" t="s">
        <v>1336</v>
      </c>
      <c r="B604" s="7"/>
    </row>
    <row r="605" spans="1:2" x14ac:dyDescent="0.2">
      <c r="A605" s="6" t="s">
        <v>1337</v>
      </c>
      <c r="B605" s="3" t="s">
        <v>1338</v>
      </c>
    </row>
    <row r="606" spans="1:2" ht="38.25" x14ac:dyDescent="0.2">
      <c r="A606" s="10"/>
      <c r="B606" s="10" t="s">
        <v>1339</v>
      </c>
    </row>
    <row r="607" spans="1:2" x14ac:dyDescent="0.2">
      <c r="A607" s="10"/>
      <c r="B607" s="10"/>
    </row>
    <row r="608" spans="1:2" ht="13.5" thickBot="1" x14ac:dyDescent="0.25">
      <c r="A608" s="4"/>
      <c r="B608" s="4"/>
    </row>
    <row r="609" spans="1:2" x14ac:dyDescent="0.2">
      <c r="A609" s="6" t="s">
        <v>1340</v>
      </c>
      <c r="B609" s="3" t="s">
        <v>1341</v>
      </c>
    </row>
    <row r="610" spans="1:2" ht="38.25" x14ac:dyDescent="0.2">
      <c r="A610" s="10"/>
      <c r="B610" s="10" t="s">
        <v>1342</v>
      </c>
    </row>
    <row r="611" spans="1:2" x14ac:dyDescent="0.2">
      <c r="A611" s="10"/>
      <c r="B611" s="10"/>
    </row>
    <row r="612" spans="1:2" x14ac:dyDescent="0.2">
      <c r="A612" s="10"/>
      <c r="B612" s="10"/>
    </row>
    <row r="613" spans="1:2" x14ac:dyDescent="0.2">
      <c r="A613" s="10"/>
      <c r="B613" s="10"/>
    </row>
    <row r="614" spans="1:2" ht="13.5" thickBot="1" x14ac:dyDescent="0.25">
      <c r="A614" s="4"/>
      <c r="B614" s="4"/>
    </row>
    <row r="615" spans="1:2" ht="16.5" thickBot="1" x14ac:dyDescent="0.25">
      <c r="A615" s="26" t="s">
        <v>1343</v>
      </c>
      <c r="B615" s="7"/>
    </row>
    <row r="616" spans="1:2" x14ac:dyDescent="0.2">
      <c r="A616" s="6" t="s">
        <v>1344</v>
      </c>
      <c r="B616" s="3" t="s">
        <v>1345</v>
      </c>
    </row>
    <row r="617" spans="1:2" ht="127.5" x14ac:dyDescent="0.2">
      <c r="A617" s="10"/>
      <c r="B617" s="10" t="s">
        <v>1346</v>
      </c>
    </row>
    <row r="618" spans="1:2" x14ac:dyDescent="0.2">
      <c r="A618" s="10"/>
      <c r="B618" s="10"/>
    </row>
    <row r="619" spans="1:2" x14ac:dyDescent="0.2">
      <c r="A619" s="10"/>
      <c r="B619" s="10"/>
    </row>
    <row r="620" spans="1:2" x14ac:dyDescent="0.2">
      <c r="A620" s="10"/>
      <c r="B620" s="10"/>
    </row>
    <row r="621" spans="1:2" x14ac:dyDescent="0.2">
      <c r="A621" s="10"/>
      <c r="B621" s="10"/>
    </row>
    <row r="622" spans="1:2" x14ac:dyDescent="0.2">
      <c r="A622" s="10"/>
      <c r="B622" s="10"/>
    </row>
    <row r="623" spans="1:2" x14ac:dyDescent="0.2">
      <c r="A623" s="10"/>
      <c r="B623" s="10"/>
    </row>
    <row r="624" spans="1:2" x14ac:dyDescent="0.2">
      <c r="A624" s="10"/>
      <c r="B624" s="10"/>
    </row>
    <row r="625" spans="1:2" ht="13.5" thickBot="1" x14ac:dyDescent="0.25">
      <c r="A625" s="4"/>
      <c r="B625" s="4"/>
    </row>
    <row r="626" spans="1:2" ht="16.5" thickBot="1" x14ac:dyDescent="0.25">
      <c r="A626" s="26" t="s">
        <v>1347</v>
      </c>
      <c r="B626" s="7"/>
    </row>
    <row r="627" spans="1:2" x14ac:dyDescent="0.2">
      <c r="A627" s="6" t="s">
        <v>1348</v>
      </c>
      <c r="B627" s="3" t="s">
        <v>1349</v>
      </c>
    </row>
    <row r="628" spans="1:2" ht="25.5" x14ac:dyDescent="0.2">
      <c r="A628" s="10"/>
      <c r="B628" s="10" t="s">
        <v>1350</v>
      </c>
    </row>
    <row r="629" spans="1:2" x14ac:dyDescent="0.2">
      <c r="A629" s="10"/>
      <c r="B629" s="10"/>
    </row>
    <row r="630" spans="1:2" x14ac:dyDescent="0.2">
      <c r="A630" s="10"/>
      <c r="B630" s="10"/>
    </row>
    <row r="631" spans="1:2" x14ac:dyDescent="0.2">
      <c r="A631" s="10"/>
      <c r="B631" s="10"/>
    </row>
    <row r="632" spans="1:2" x14ac:dyDescent="0.2">
      <c r="A632" s="10"/>
      <c r="B632" s="10"/>
    </row>
    <row r="633" spans="1:2" x14ac:dyDescent="0.2">
      <c r="A633" s="10"/>
      <c r="B633" s="10"/>
    </row>
    <row r="634" spans="1:2" x14ac:dyDescent="0.2">
      <c r="A634" s="10"/>
      <c r="B634" s="10"/>
    </row>
    <row r="635" spans="1:2" x14ac:dyDescent="0.2">
      <c r="A635" s="10"/>
      <c r="B635" s="10"/>
    </row>
    <row r="636" spans="1:2" x14ac:dyDescent="0.2">
      <c r="A636" s="10"/>
      <c r="B636" s="10"/>
    </row>
    <row r="637" spans="1:2" x14ac:dyDescent="0.2">
      <c r="A637" s="10"/>
      <c r="B637" s="10"/>
    </row>
    <row r="638" spans="1:2" ht="13.5" thickBot="1" x14ac:dyDescent="0.25">
      <c r="A638" s="4"/>
      <c r="B638" s="4"/>
    </row>
    <row r="639" spans="1:2" ht="16.5" thickBot="1" x14ac:dyDescent="0.25">
      <c r="A639" s="26" t="s">
        <v>1351</v>
      </c>
      <c r="B639" s="7"/>
    </row>
    <row r="640" spans="1:2" x14ac:dyDescent="0.2">
      <c r="A640" s="6" t="s">
        <v>1352</v>
      </c>
      <c r="B640" s="3" t="s">
        <v>1353</v>
      </c>
    </row>
    <row r="641" spans="1:2" ht="51" x14ac:dyDescent="0.2">
      <c r="A641" s="10"/>
      <c r="B641" s="10" t="s">
        <v>1354</v>
      </c>
    </row>
    <row r="642" spans="1:2" x14ac:dyDescent="0.2">
      <c r="A642" s="10"/>
      <c r="B642" s="10"/>
    </row>
    <row r="643" spans="1:2" x14ac:dyDescent="0.2">
      <c r="A643" s="10"/>
      <c r="B643" s="10"/>
    </row>
    <row r="644" spans="1:2" x14ac:dyDescent="0.2">
      <c r="A644" s="10"/>
      <c r="B644" s="10"/>
    </row>
    <row r="645" spans="1:2" x14ac:dyDescent="0.2">
      <c r="A645" s="10"/>
      <c r="B645" s="10"/>
    </row>
    <row r="646" spans="1:2" x14ac:dyDescent="0.2">
      <c r="A646" s="10"/>
      <c r="B646" s="10"/>
    </row>
    <row r="647" spans="1:2" x14ac:dyDescent="0.2">
      <c r="A647" s="10"/>
      <c r="B647" s="10"/>
    </row>
    <row r="648" spans="1:2" x14ac:dyDescent="0.2">
      <c r="A648" s="10"/>
      <c r="B648" s="10"/>
    </row>
    <row r="649" spans="1:2" x14ac:dyDescent="0.2">
      <c r="A649" s="10"/>
      <c r="B649" s="10"/>
    </row>
    <row r="650" spans="1:2" x14ac:dyDescent="0.2">
      <c r="A650" s="10"/>
      <c r="B650" s="10"/>
    </row>
    <row r="651" spans="1:2" x14ac:dyDescent="0.2">
      <c r="A651" s="10"/>
      <c r="B651" s="10"/>
    </row>
    <row r="652" spans="1:2" x14ac:dyDescent="0.2">
      <c r="A652" s="10"/>
      <c r="B652" s="10"/>
    </row>
    <row r="653" spans="1:2" x14ac:dyDescent="0.2">
      <c r="A653" s="10"/>
      <c r="B653" s="10"/>
    </row>
    <row r="654" spans="1:2" x14ac:dyDescent="0.2">
      <c r="A654" s="10"/>
      <c r="B654" s="10"/>
    </row>
    <row r="655" spans="1:2" x14ac:dyDescent="0.2">
      <c r="A655" s="10"/>
      <c r="B655" s="10"/>
    </row>
    <row r="656" spans="1:2" x14ac:dyDescent="0.2">
      <c r="A656" s="10"/>
      <c r="B656" s="10"/>
    </row>
    <row r="657" spans="1:2" x14ac:dyDescent="0.2">
      <c r="A657" s="10"/>
      <c r="B657" s="10"/>
    </row>
    <row r="658" spans="1:2" x14ac:dyDescent="0.2">
      <c r="A658" s="10"/>
      <c r="B658" s="10"/>
    </row>
    <row r="659" spans="1:2" x14ac:dyDescent="0.2">
      <c r="A659" s="10"/>
      <c r="B659" s="10"/>
    </row>
    <row r="660" spans="1:2" x14ac:dyDescent="0.2">
      <c r="A660" s="10"/>
      <c r="B660" s="10"/>
    </row>
    <row r="661" spans="1:2" x14ac:dyDescent="0.2">
      <c r="A661" s="10"/>
      <c r="B661" s="10"/>
    </row>
    <row r="662" spans="1:2" x14ac:dyDescent="0.2">
      <c r="A662" s="10"/>
      <c r="B662" s="10"/>
    </row>
    <row r="663" spans="1:2" ht="13.5" thickBot="1" x14ac:dyDescent="0.25">
      <c r="A663" s="4"/>
      <c r="B663" s="4"/>
    </row>
    <row r="664" spans="1:2" ht="16.5" thickBot="1" x14ac:dyDescent="0.25">
      <c r="A664" s="26" t="s">
        <v>1355</v>
      </c>
      <c r="B664" s="7"/>
    </row>
    <row r="665" spans="1:2" ht="33.75" thickBot="1" x14ac:dyDescent="0.25">
      <c r="A665" s="27" t="s">
        <v>1356</v>
      </c>
      <c r="B665" s="8"/>
    </row>
    <row r="666" spans="1:2" ht="13.5" thickBot="1" x14ac:dyDescent="0.25">
      <c r="A666" s="5" t="s">
        <v>1357</v>
      </c>
      <c r="B666" s="5"/>
    </row>
    <row r="667" spans="1:2" x14ac:dyDescent="0.2">
      <c r="A667" s="6" t="s">
        <v>1358</v>
      </c>
      <c r="B667" s="6"/>
    </row>
    <row r="668" spans="1:2" x14ac:dyDescent="0.2">
      <c r="A668" s="10"/>
      <c r="B668" s="10"/>
    </row>
    <row r="669" spans="1:2" x14ac:dyDescent="0.2">
      <c r="A669" s="10"/>
      <c r="B669" s="10"/>
    </row>
    <row r="670" spans="1:2" x14ac:dyDescent="0.2">
      <c r="A670" s="10"/>
      <c r="B670" s="10"/>
    </row>
    <row r="671" spans="1:2" x14ac:dyDescent="0.2">
      <c r="A671" s="10"/>
      <c r="B671" s="10"/>
    </row>
    <row r="672" spans="1:2" ht="13.5" thickBot="1" x14ac:dyDescent="0.25">
      <c r="A672" s="4"/>
      <c r="B672" s="4"/>
    </row>
    <row r="673" spans="1:2" ht="13.5" thickBot="1" x14ac:dyDescent="0.25">
      <c r="A673" s="5" t="s">
        <v>1359</v>
      </c>
      <c r="B673" s="5"/>
    </row>
    <row r="674" spans="1:2" x14ac:dyDescent="0.2">
      <c r="A674" s="6" t="s">
        <v>1360</v>
      </c>
      <c r="B674" s="6"/>
    </row>
    <row r="675" spans="1:2" x14ac:dyDescent="0.2">
      <c r="A675" s="10"/>
      <c r="B675" s="10"/>
    </row>
    <row r="676" spans="1:2" x14ac:dyDescent="0.2">
      <c r="A676" s="10"/>
      <c r="B676" s="10"/>
    </row>
    <row r="677" spans="1:2" ht="13.5" thickBot="1" x14ac:dyDescent="0.25">
      <c r="A677" s="4"/>
      <c r="B677" s="4"/>
    </row>
    <row r="678" spans="1:2" x14ac:dyDescent="0.2">
      <c r="A678" s="6" t="s">
        <v>1361</v>
      </c>
      <c r="B678" s="6"/>
    </row>
    <row r="679" spans="1:2" ht="13.5" thickBot="1" x14ac:dyDescent="0.25">
      <c r="A679" s="4"/>
      <c r="B679" s="4"/>
    </row>
    <row r="680" spans="1:2" x14ac:dyDescent="0.2">
      <c r="A680" s="6" t="s">
        <v>1362</v>
      </c>
      <c r="B680" s="6"/>
    </row>
    <row r="681" spans="1:2" x14ac:dyDescent="0.2">
      <c r="A681" s="10"/>
      <c r="B681" s="10"/>
    </row>
    <row r="682" spans="1:2" x14ac:dyDescent="0.2">
      <c r="A682" s="10"/>
      <c r="B682" s="10"/>
    </row>
    <row r="683" spans="1:2" ht="13.5" thickBot="1" x14ac:dyDescent="0.25">
      <c r="A683" s="4"/>
      <c r="B683" s="4"/>
    </row>
    <row r="684" spans="1:2" ht="16.5" thickBot="1" x14ac:dyDescent="0.25">
      <c r="A684" s="26" t="s">
        <v>1363</v>
      </c>
      <c r="B684" s="7"/>
    </row>
    <row r="685" spans="1:2" x14ac:dyDescent="0.2">
      <c r="A685" s="6" t="s">
        <v>1364</v>
      </c>
      <c r="B685" s="3" t="s">
        <v>1365</v>
      </c>
    </row>
    <row r="686" spans="1:2" ht="13.5" thickBot="1" x14ac:dyDescent="0.25">
      <c r="A686" s="4"/>
      <c r="B686" s="4" t="s">
        <v>1366</v>
      </c>
    </row>
    <row r="687" spans="1:2" x14ac:dyDescent="0.2">
      <c r="A687" s="6" t="s">
        <v>1367</v>
      </c>
      <c r="B687" s="3" t="s">
        <v>1368</v>
      </c>
    </row>
    <row r="688" spans="1:2" ht="13.5" thickBot="1" x14ac:dyDescent="0.25">
      <c r="A688" s="4"/>
      <c r="B688" s="4" t="s">
        <v>1369</v>
      </c>
    </row>
    <row r="689" spans="1:2" ht="15.75" thickBot="1" x14ac:dyDescent="0.25">
      <c r="A689" s="28" t="s">
        <v>1370</v>
      </c>
      <c r="B689" s="12"/>
    </row>
    <row r="690" spans="1:2" ht="149.25" thickBot="1" x14ac:dyDescent="0.25">
      <c r="A690" s="27" t="s">
        <v>1371</v>
      </c>
      <c r="B690" s="8"/>
    </row>
    <row r="691" spans="1:2" ht="16.5" thickBot="1" x14ac:dyDescent="0.25">
      <c r="A691" s="26" t="s">
        <v>1372</v>
      </c>
      <c r="B691" s="7"/>
    </row>
    <row r="692" spans="1:2" ht="17.25" thickBot="1" x14ac:dyDescent="0.25">
      <c r="A692" s="27" t="s">
        <v>1373</v>
      </c>
      <c r="B692" s="8"/>
    </row>
    <row r="693" spans="1:2" ht="13.5" thickBot="1" x14ac:dyDescent="0.25">
      <c r="A693" s="5" t="s">
        <v>1374</v>
      </c>
      <c r="B693" s="13" t="s">
        <v>1375</v>
      </c>
    </row>
    <row r="694" spans="1:2" ht="13.5" thickBot="1" x14ac:dyDescent="0.25">
      <c r="A694" s="5" t="s">
        <v>1376</v>
      </c>
      <c r="B694" s="13" t="s">
        <v>1377</v>
      </c>
    </row>
    <row r="695" spans="1:2" ht="13.5" thickBot="1" x14ac:dyDescent="0.25">
      <c r="A695" s="5" t="s">
        <v>1378</v>
      </c>
      <c r="B695" s="13" t="s">
        <v>1379</v>
      </c>
    </row>
    <row r="696" spans="1:2" ht="13.5" thickBot="1" x14ac:dyDescent="0.25">
      <c r="A696" s="5" t="s">
        <v>1380</v>
      </c>
      <c r="B696" s="13" t="s">
        <v>1381</v>
      </c>
    </row>
    <row r="697" spans="1:2" x14ac:dyDescent="0.2">
      <c r="A697" s="6" t="s">
        <v>1382</v>
      </c>
      <c r="B697" s="3" t="s">
        <v>1383</v>
      </c>
    </row>
    <row r="698" spans="1:2" x14ac:dyDescent="0.2">
      <c r="A698" s="10"/>
      <c r="B698" s="10" t="s">
        <v>1384</v>
      </c>
    </row>
    <row r="699" spans="1:2" x14ac:dyDescent="0.2">
      <c r="A699" s="10"/>
      <c r="B699" s="10" t="s">
        <v>1385</v>
      </c>
    </row>
    <row r="700" spans="1:2" x14ac:dyDescent="0.2">
      <c r="A700" s="10"/>
      <c r="B700" s="10" t="s">
        <v>1386</v>
      </c>
    </row>
    <row r="701" spans="1:2" x14ac:dyDescent="0.2">
      <c r="A701" s="10"/>
      <c r="B701" s="10" t="s">
        <v>1387</v>
      </c>
    </row>
    <row r="702" spans="1:2" ht="13.5" thickBot="1" x14ac:dyDescent="0.25">
      <c r="A702" s="4"/>
      <c r="B702" s="4" t="s">
        <v>1388</v>
      </c>
    </row>
    <row r="703" spans="1:2" x14ac:dyDescent="0.2">
      <c r="A703" s="6" t="s">
        <v>1389</v>
      </c>
      <c r="B703" s="3" t="s">
        <v>1390</v>
      </c>
    </row>
    <row r="704" spans="1:2" x14ac:dyDescent="0.2">
      <c r="A704" s="10"/>
      <c r="B704" s="22"/>
    </row>
    <row r="705" spans="1:2" x14ac:dyDescent="0.2">
      <c r="A705" s="10"/>
      <c r="B705" s="22"/>
    </row>
    <row r="706" spans="1:2" x14ac:dyDescent="0.2">
      <c r="A706" s="10"/>
      <c r="B706" s="22"/>
    </row>
    <row r="707" spans="1:2" x14ac:dyDescent="0.2">
      <c r="A707" s="10"/>
      <c r="B707" s="22"/>
    </row>
    <row r="708" spans="1:2" ht="13.5" thickBot="1" x14ac:dyDescent="0.25">
      <c r="A708" s="4"/>
      <c r="B708" s="17"/>
    </row>
    <row r="709" spans="1:2" x14ac:dyDescent="0.2">
      <c r="A709" s="6" t="s">
        <v>1391</v>
      </c>
      <c r="B709" s="3" t="s">
        <v>1392</v>
      </c>
    </row>
    <row r="710" spans="1:2" ht="13.5" thickBot="1" x14ac:dyDescent="0.25">
      <c r="A710" s="4"/>
      <c r="B710" s="17"/>
    </row>
    <row r="711" spans="1:2" ht="16.5" thickBot="1" x14ac:dyDescent="0.25">
      <c r="A711" s="26" t="s">
        <v>1393</v>
      </c>
      <c r="B711" s="7"/>
    </row>
    <row r="712" spans="1:2" ht="13.5" thickBot="1" x14ac:dyDescent="0.25">
      <c r="A712" s="5" t="s">
        <v>916</v>
      </c>
      <c r="B712" s="5"/>
    </row>
    <row r="713" spans="1:2" ht="13.5" thickBot="1" x14ac:dyDescent="0.25">
      <c r="A713" s="5" t="s">
        <v>1394</v>
      </c>
      <c r="B713" s="5"/>
    </row>
    <row r="714" spans="1:2" ht="13.5" thickBot="1" x14ac:dyDescent="0.25">
      <c r="A714" s="5" t="s">
        <v>1395</v>
      </c>
      <c r="B714" s="13" t="s">
        <v>1396</v>
      </c>
    </row>
    <row r="715" spans="1:2" ht="13.5" thickBot="1" x14ac:dyDescent="0.25">
      <c r="A715" s="5" t="s">
        <v>1397</v>
      </c>
      <c r="B715" s="5"/>
    </row>
    <row r="716" spans="1:2" x14ac:dyDescent="0.2">
      <c r="A716" s="6" t="s">
        <v>1398</v>
      </c>
      <c r="B716" s="6" t="s">
        <v>1384</v>
      </c>
    </row>
    <row r="717" spans="1:2" x14ac:dyDescent="0.2">
      <c r="A717" s="10"/>
      <c r="B717" s="10" t="s">
        <v>1385</v>
      </c>
    </row>
    <row r="718" spans="1:2" x14ac:dyDescent="0.2">
      <c r="A718" s="10"/>
      <c r="B718" s="10" t="s">
        <v>1386</v>
      </c>
    </row>
    <row r="719" spans="1:2" x14ac:dyDescent="0.2">
      <c r="A719" s="10"/>
      <c r="B719" s="10" t="s">
        <v>1387</v>
      </c>
    </row>
    <row r="720" spans="1:2" ht="13.5" thickBot="1" x14ac:dyDescent="0.25">
      <c r="A720" s="4"/>
      <c r="B720" s="4" t="s">
        <v>1388</v>
      </c>
    </row>
    <row r="721" spans="1:2" x14ac:dyDescent="0.2">
      <c r="A721" s="6" t="s">
        <v>1399</v>
      </c>
      <c r="B721" s="6"/>
    </row>
    <row r="722" spans="1:2" ht="13.5" thickBot="1" x14ac:dyDescent="0.25">
      <c r="A722" s="4"/>
      <c r="B722" s="4"/>
    </row>
    <row r="723" spans="1:2" ht="13.5" thickBot="1" x14ac:dyDescent="0.25">
      <c r="A723" s="5" t="s">
        <v>1400</v>
      </c>
      <c r="B723" s="5"/>
    </row>
    <row r="724" spans="1:2" ht="13.5" thickBot="1" x14ac:dyDescent="0.25">
      <c r="A724" s="5" t="s">
        <v>1401</v>
      </c>
      <c r="B724" s="5"/>
    </row>
    <row r="725" spans="1:2" x14ac:dyDescent="0.2">
      <c r="A725" s="6" t="s">
        <v>1402</v>
      </c>
      <c r="B725" s="6"/>
    </row>
    <row r="726" spans="1:2" ht="13.5" thickBot="1" x14ac:dyDescent="0.25">
      <c r="A726" s="4"/>
      <c r="B726" s="4"/>
    </row>
    <row r="727" spans="1:2" x14ac:dyDescent="0.2">
      <c r="A727" s="6" t="s">
        <v>1403</v>
      </c>
      <c r="B727" s="6"/>
    </row>
    <row r="728" spans="1:2" ht="13.5" thickBot="1" x14ac:dyDescent="0.25">
      <c r="A728" s="4"/>
      <c r="B728" s="4"/>
    </row>
    <row r="729" spans="1:2" ht="15.75" thickBot="1" x14ac:dyDescent="0.25">
      <c r="A729" s="28" t="s">
        <v>1404</v>
      </c>
      <c r="B729" s="12"/>
    </row>
    <row r="730" spans="1:2" x14ac:dyDescent="0.2">
      <c r="A730" s="6" t="s">
        <v>1405</v>
      </c>
      <c r="B730" s="3" t="s">
        <v>1406</v>
      </c>
    </row>
    <row r="731" spans="1:2" ht="13.5" thickBot="1" x14ac:dyDescent="0.25">
      <c r="A731" s="4"/>
      <c r="B731" s="4" t="s">
        <v>1407</v>
      </c>
    </row>
    <row r="732" spans="1:2" x14ac:dyDescent="0.2">
      <c r="A732" s="6" t="s">
        <v>1408</v>
      </c>
      <c r="B732" s="3" t="s">
        <v>1409</v>
      </c>
    </row>
    <row r="733" spans="1:2" ht="13.5" thickBot="1" x14ac:dyDescent="0.25">
      <c r="A733" s="4"/>
      <c r="B733" s="4" t="s">
        <v>1410</v>
      </c>
    </row>
    <row r="734" spans="1:2" x14ac:dyDescent="0.2">
      <c r="A734" s="6" t="s">
        <v>1411</v>
      </c>
      <c r="B734" s="6" t="s">
        <v>1412</v>
      </c>
    </row>
    <row r="735" spans="1:2" ht="13.5" thickBot="1" x14ac:dyDescent="0.25">
      <c r="A735" s="4"/>
      <c r="B735" s="4"/>
    </row>
    <row r="736" spans="1:2" x14ac:dyDescent="0.2">
      <c r="A736" s="6" t="s">
        <v>1413</v>
      </c>
      <c r="B736" s="3" t="s">
        <v>1414</v>
      </c>
    </row>
    <row r="737" spans="1:2" ht="26.25" thickBot="1" x14ac:dyDescent="0.25">
      <c r="A737" s="4"/>
      <c r="B737" s="4" t="s">
        <v>1415</v>
      </c>
    </row>
    <row r="738" spans="1:2" ht="15.75" thickBot="1" x14ac:dyDescent="0.25">
      <c r="A738" s="28" t="s">
        <v>1416</v>
      </c>
      <c r="B738" s="12"/>
    </row>
    <row r="739" spans="1:2" x14ac:dyDescent="0.2">
      <c r="A739" s="6" t="s">
        <v>1417</v>
      </c>
      <c r="B739" s="6" t="s">
        <v>1366</v>
      </c>
    </row>
    <row r="740" spans="1:2" x14ac:dyDescent="0.2">
      <c r="A740" s="10"/>
      <c r="B740" s="10"/>
    </row>
    <row r="741" spans="1:2" x14ac:dyDescent="0.2">
      <c r="A741" s="10"/>
      <c r="B741" s="10"/>
    </row>
    <row r="742" spans="1:2" ht="13.5" thickBot="1" x14ac:dyDescent="0.25">
      <c r="A742" s="4"/>
      <c r="B742" s="4"/>
    </row>
    <row r="743" spans="1:2" x14ac:dyDescent="0.2">
      <c r="A743" s="6" t="s">
        <v>1418</v>
      </c>
      <c r="B743" s="6" t="s">
        <v>1369</v>
      </c>
    </row>
    <row r="744" spans="1:2" x14ac:dyDescent="0.2">
      <c r="A744" s="10"/>
      <c r="B744" s="10"/>
    </row>
    <row r="745" spans="1:2" x14ac:dyDescent="0.2">
      <c r="A745" s="10"/>
      <c r="B745" s="10"/>
    </row>
    <row r="746" spans="1:2" x14ac:dyDescent="0.2">
      <c r="A746" s="10"/>
      <c r="B746" s="10"/>
    </row>
    <row r="747" spans="1:2" x14ac:dyDescent="0.2">
      <c r="A747" s="10"/>
      <c r="B747" s="10"/>
    </row>
    <row r="748" spans="1:2" x14ac:dyDescent="0.2">
      <c r="A748" s="10"/>
      <c r="B748" s="10"/>
    </row>
    <row r="749" spans="1:2" x14ac:dyDescent="0.2">
      <c r="A749" s="10"/>
      <c r="B749" s="10"/>
    </row>
    <row r="750" spans="1:2" x14ac:dyDescent="0.2">
      <c r="A750" s="10"/>
      <c r="B750" s="10"/>
    </row>
    <row r="751" spans="1:2" x14ac:dyDescent="0.2">
      <c r="A751" s="10"/>
      <c r="B751" s="10"/>
    </row>
    <row r="752" spans="1:2" ht="13.5" thickBot="1" x14ac:dyDescent="0.25">
      <c r="A752" s="4"/>
      <c r="B752" s="4"/>
    </row>
    <row r="753" spans="1:2" ht="13.5" thickBot="1" x14ac:dyDescent="0.25">
      <c r="A753" s="5" t="s">
        <v>1419</v>
      </c>
      <c r="B753" s="13" t="s">
        <v>1420</v>
      </c>
    </row>
    <row r="754" spans="1:2" x14ac:dyDescent="0.2">
      <c r="A754" s="6" t="s">
        <v>1421</v>
      </c>
      <c r="B754" s="6" t="s">
        <v>1422</v>
      </c>
    </row>
    <row r="755" spans="1:2" x14ac:dyDescent="0.2">
      <c r="A755" s="10"/>
      <c r="B755" s="10"/>
    </row>
    <row r="756" spans="1:2" x14ac:dyDescent="0.2">
      <c r="A756" s="10"/>
      <c r="B756" s="10"/>
    </row>
    <row r="757" spans="1:2" x14ac:dyDescent="0.2">
      <c r="A757" s="10"/>
      <c r="B757" s="10"/>
    </row>
    <row r="758" spans="1:2" x14ac:dyDescent="0.2">
      <c r="A758" s="10"/>
      <c r="B758" s="10"/>
    </row>
    <row r="759" spans="1:2" ht="13.5" thickBot="1" x14ac:dyDescent="0.25">
      <c r="A759" s="4"/>
      <c r="B759" s="4"/>
    </row>
    <row r="760" spans="1:2" ht="13.5" thickBot="1" x14ac:dyDescent="0.25">
      <c r="A760" s="5" t="s">
        <v>1423</v>
      </c>
      <c r="B760" s="5"/>
    </row>
    <row r="761" spans="1:2" ht="13.5" thickBot="1" x14ac:dyDescent="0.25">
      <c r="A761" s="5" t="s">
        <v>1424</v>
      </c>
      <c r="B761" s="13" t="s">
        <v>1425</v>
      </c>
    </row>
    <row r="762" spans="1:2" ht="13.5" thickBot="1" x14ac:dyDescent="0.25">
      <c r="A762" s="5" t="s">
        <v>1426</v>
      </c>
      <c r="B762" s="5"/>
    </row>
    <row r="763" spans="1:2" ht="13.5" thickBot="1" x14ac:dyDescent="0.25">
      <c r="A763" s="5" t="s">
        <v>1427</v>
      </c>
      <c r="B763" s="13" t="s">
        <v>1428</v>
      </c>
    </row>
    <row r="764" spans="1:2" ht="13.5" thickBot="1" x14ac:dyDescent="0.25">
      <c r="A764" s="5" t="s">
        <v>1429</v>
      </c>
      <c r="B764" s="13" t="s">
        <v>1430</v>
      </c>
    </row>
    <row r="765" spans="1:2" ht="13.5" thickBot="1" x14ac:dyDescent="0.25">
      <c r="A765" s="5" t="s">
        <v>1431</v>
      </c>
      <c r="B765" s="13" t="s">
        <v>1432</v>
      </c>
    </row>
    <row r="766" spans="1:2" ht="13.5" thickBot="1" x14ac:dyDescent="0.25">
      <c r="A766" s="5" t="s">
        <v>1433</v>
      </c>
      <c r="B766" s="13" t="s">
        <v>1434</v>
      </c>
    </row>
    <row r="767" spans="1:2" ht="13.5" thickBot="1" x14ac:dyDescent="0.25">
      <c r="A767" s="5" t="s">
        <v>1435</v>
      </c>
      <c r="B767" s="13" t="s">
        <v>1436</v>
      </c>
    </row>
    <row r="768" spans="1:2" ht="15.75" thickBot="1" x14ac:dyDescent="0.25">
      <c r="A768" s="28" t="s">
        <v>1437</v>
      </c>
      <c r="B768" s="12"/>
    </row>
    <row r="769" spans="1:2" ht="83.25" thickBot="1" x14ac:dyDescent="0.25">
      <c r="A769" s="27" t="s">
        <v>1438</v>
      </c>
      <c r="B769" s="8"/>
    </row>
    <row r="770" spans="1:2" ht="13.5" thickBot="1" x14ac:dyDescent="0.25">
      <c r="A770" s="5" t="s">
        <v>1439</v>
      </c>
      <c r="B770" s="5"/>
    </row>
    <row r="771" spans="1:2" x14ac:dyDescent="0.2">
      <c r="A771" s="6" t="s">
        <v>1440</v>
      </c>
      <c r="B771" s="6"/>
    </row>
    <row r="772" spans="1:2" ht="13.5" thickBot="1" x14ac:dyDescent="0.25">
      <c r="A772" s="4"/>
      <c r="B772" s="4"/>
    </row>
    <row r="773" spans="1:2" x14ac:dyDescent="0.2">
      <c r="A773" s="6" t="s">
        <v>1441</v>
      </c>
      <c r="B773" s="6"/>
    </row>
    <row r="774" spans="1:2" ht="13.5" thickBot="1" x14ac:dyDescent="0.25">
      <c r="A774" s="4"/>
      <c r="B774" s="4"/>
    </row>
    <row r="775" spans="1:2" ht="13.5" thickBot="1" x14ac:dyDescent="0.25">
      <c r="A775" s="5" t="s">
        <v>1442</v>
      </c>
      <c r="B775" s="5"/>
    </row>
    <row r="776" spans="1:2" ht="13.5" thickBot="1" x14ac:dyDescent="0.25">
      <c r="A776" s="5" t="s">
        <v>1443</v>
      </c>
      <c r="B776" s="5"/>
    </row>
    <row r="777" spans="1:2" ht="13.5" thickBot="1" x14ac:dyDescent="0.25">
      <c r="A777" s="5" t="s">
        <v>1444</v>
      </c>
      <c r="B777" s="5"/>
    </row>
    <row r="778" spans="1:2" ht="13.5" thickBot="1" x14ac:dyDescent="0.25">
      <c r="A778" s="5" t="s">
        <v>1445</v>
      </c>
      <c r="B778" s="5"/>
    </row>
    <row r="779" spans="1:2" ht="13.5" thickBot="1" x14ac:dyDescent="0.25">
      <c r="A779" s="5" t="s">
        <v>1446</v>
      </c>
      <c r="B779" s="5"/>
    </row>
    <row r="780" spans="1:2" ht="13.5" thickBot="1" x14ac:dyDescent="0.25">
      <c r="A780" s="5" t="s">
        <v>1447</v>
      </c>
      <c r="B780" s="5"/>
    </row>
    <row r="781" spans="1:2" ht="13.5" thickBot="1" x14ac:dyDescent="0.25">
      <c r="A781" s="5" t="s">
        <v>1448</v>
      </c>
      <c r="B781" s="5"/>
    </row>
    <row r="782" spans="1:2" ht="13.5" thickBot="1" x14ac:dyDescent="0.25">
      <c r="A782" s="5" t="s">
        <v>1449</v>
      </c>
      <c r="B782" s="5"/>
    </row>
    <row r="783" spans="1:2" ht="13.5" thickBot="1" x14ac:dyDescent="0.25">
      <c r="A783" s="5" t="s">
        <v>1450</v>
      </c>
      <c r="B783" s="5"/>
    </row>
    <row r="784" spans="1:2" ht="13.5" thickBot="1" x14ac:dyDescent="0.25">
      <c r="A784" s="5" t="s">
        <v>1451</v>
      </c>
      <c r="B784" s="5"/>
    </row>
    <row r="785" spans="1:2" ht="13.5" thickBot="1" x14ac:dyDescent="0.25">
      <c r="A785" s="5" t="s">
        <v>1452</v>
      </c>
      <c r="B785" s="5"/>
    </row>
    <row r="786" spans="1:2" ht="13.5" thickBot="1" x14ac:dyDescent="0.25">
      <c r="A786" s="5" t="s">
        <v>1453</v>
      </c>
      <c r="B786" s="5"/>
    </row>
    <row r="787" spans="1:2" ht="13.5" thickBot="1" x14ac:dyDescent="0.25">
      <c r="A787" s="5" t="s">
        <v>1454</v>
      </c>
      <c r="B787" s="5"/>
    </row>
    <row r="788" spans="1:2" ht="13.5" thickBot="1" x14ac:dyDescent="0.25">
      <c r="A788" s="5" t="s">
        <v>1455</v>
      </c>
      <c r="B788" s="5"/>
    </row>
    <row r="789" spans="1:2" ht="13.5" thickBot="1" x14ac:dyDescent="0.25">
      <c r="A789" s="5" t="s">
        <v>1456</v>
      </c>
      <c r="B789" s="5"/>
    </row>
    <row r="790" spans="1:2" x14ac:dyDescent="0.2">
      <c r="A790" s="6" t="s">
        <v>1457</v>
      </c>
      <c r="B790" s="6"/>
    </row>
    <row r="791" spans="1:2" x14ac:dyDescent="0.2">
      <c r="A791" s="10"/>
      <c r="B791" s="10"/>
    </row>
    <row r="792" spans="1:2" x14ac:dyDescent="0.2">
      <c r="A792" s="10"/>
      <c r="B792" s="10"/>
    </row>
    <row r="793" spans="1:2" ht="13.5" thickBot="1" x14ac:dyDescent="0.25">
      <c r="A793" s="4"/>
      <c r="B793" s="4"/>
    </row>
    <row r="794" spans="1:2" x14ac:dyDescent="0.2">
      <c r="A794" s="6" t="s">
        <v>1458</v>
      </c>
      <c r="B794" s="6"/>
    </row>
    <row r="795" spans="1:2" ht="13.5" thickBot="1" x14ac:dyDescent="0.25">
      <c r="A795" s="4"/>
      <c r="B795" s="4"/>
    </row>
    <row r="796" spans="1:2" x14ac:dyDescent="0.2">
      <c r="A796" s="6" t="s">
        <v>1459</v>
      </c>
      <c r="B796" s="6"/>
    </row>
    <row r="797" spans="1:2" ht="13.5" thickBot="1" x14ac:dyDescent="0.25">
      <c r="A797" s="4"/>
      <c r="B797" s="4"/>
    </row>
    <row r="798" spans="1:2" ht="16.5" thickBot="1" x14ac:dyDescent="0.25">
      <c r="A798" s="26" t="s">
        <v>1460</v>
      </c>
      <c r="B798" s="7"/>
    </row>
    <row r="799" spans="1:2" ht="13.5" thickBot="1" x14ac:dyDescent="0.25">
      <c r="A799" s="5" t="s">
        <v>1461</v>
      </c>
      <c r="B799" s="13" t="s">
        <v>1462</v>
      </c>
    </row>
    <row r="800" spans="1:2" ht="13.5" thickBot="1" x14ac:dyDescent="0.25">
      <c r="A800" s="5" t="s">
        <v>1463</v>
      </c>
      <c r="B800" s="13" t="s">
        <v>1464</v>
      </c>
    </row>
    <row r="801" spans="1:2" ht="13.5" thickBot="1" x14ac:dyDescent="0.25">
      <c r="A801" s="5" t="s">
        <v>1465</v>
      </c>
      <c r="B801" s="13" t="s">
        <v>1466</v>
      </c>
    </row>
    <row r="802" spans="1:2" ht="13.5" thickBot="1" x14ac:dyDescent="0.25">
      <c r="A802" s="5" t="s">
        <v>1467</v>
      </c>
      <c r="B802" s="13" t="s">
        <v>1468</v>
      </c>
    </row>
    <row r="803" spans="1:2" ht="13.5" thickBot="1" x14ac:dyDescent="0.25">
      <c r="A803" s="5" t="s">
        <v>1469</v>
      </c>
      <c r="B803" s="13" t="s">
        <v>1470</v>
      </c>
    </row>
    <row r="804" spans="1:2" ht="13.5" thickBot="1" x14ac:dyDescent="0.25">
      <c r="A804" s="5" t="s">
        <v>1471</v>
      </c>
      <c r="B804" s="13" t="s">
        <v>1472</v>
      </c>
    </row>
    <row r="805" spans="1:2" ht="13.5" thickBot="1" x14ac:dyDescent="0.25">
      <c r="A805" s="5" t="s">
        <v>1473</v>
      </c>
      <c r="B805" s="13" t="s">
        <v>1474</v>
      </c>
    </row>
    <row r="806" spans="1:2" ht="13.5" thickBot="1" x14ac:dyDescent="0.25">
      <c r="A806" s="5" t="s">
        <v>1475</v>
      </c>
      <c r="B806" s="13" t="s">
        <v>1476</v>
      </c>
    </row>
    <row r="807" spans="1:2" ht="13.5" thickBot="1" x14ac:dyDescent="0.25">
      <c r="A807" s="5" t="s">
        <v>1477</v>
      </c>
      <c r="B807" s="13" t="s">
        <v>1478</v>
      </c>
    </row>
    <row r="808" spans="1:2" ht="13.5" thickBot="1" x14ac:dyDescent="0.25">
      <c r="A808" s="5" t="s">
        <v>1479</v>
      </c>
      <c r="B808" s="13" t="s">
        <v>1480</v>
      </c>
    </row>
    <row r="809" spans="1:2" ht="13.5" thickBot="1" x14ac:dyDescent="0.25">
      <c r="A809" s="5" t="s">
        <v>1481</v>
      </c>
      <c r="B809" s="13" t="s">
        <v>1482</v>
      </c>
    </row>
    <row r="810" spans="1:2" x14ac:dyDescent="0.2">
      <c r="A810" s="6" t="s">
        <v>1483</v>
      </c>
      <c r="B810" s="3" t="s">
        <v>1484</v>
      </c>
    </row>
    <row r="811" spans="1:2" ht="13.5" thickBot="1" x14ac:dyDescent="0.25">
      <c r="A811" s="4"/>
      <c r="B811" s="17"/>
    </row>
    <row r="812" spans="1:2" ht="13.5" thickBot="1" x14ac:dyDescent="0.25">
      <c r="A812" s="5" t="s">
        <v>1485</v>
      </c>
      <c r="B812" s="5"/>
    </row>
    <row r="813" spans="1:2" ht="15.75" thickBot="1" x14ac:dyDescent="0.25">
      <c r="A813" s="28" t="s">
        <v>1486</v>
      </c>
      <c r="B813" s="12"/>
    </row>
    <row r="814" spans="1:2" x14ac:dyDescent="0.2">
      <c r="A814" s="6" t="s">
        <v>1487</v>
      </c>
      <c r="B814" s="6" t="s">
        <v>1488</v>
      </c>
    </row>
    <row r="815" spans="1:2" ht="13.5" thickBot="1" x14ac:dyDescent="0.25">
      <c r="A815" s="4"/>
      <c r="B815" s="4"/>
    </row>
    <row r="816" spans="1:2" ht="13.5" thickBot="1" x14ac:dyDescent="0.25">
      <c r="A816" s="5" t="s">
        <v>1489</v>
      </c>
      <c r="B816" s="5" t="s">
        <v>1490</v>
      </c>
    </row>
    <row r="817" spans="1:2" ht="26.25" thickBot="1" x14ac:dyDescent="0.25">
      <c r="A817" s="5" t="s">
        <v>1491</v>
      </c>
      <c r="B817" s="5" t="s">
        <v>1492</v>
      </c>
    </row>
    <row r="818" spans="1:2" ht="26.25" thickBot="1" x14ac:dyDescent="0.25">
      <c r="A818" s="5" t="s">
        <v>1493</v>
      </c>
      <c r="B818" s="5" t="s">
        <v>1494</v>
      </c>
    </row>
    <row r="819" spans="1:2" x14ac:dyDescent="0.2">
      <c r="A819" s="6" t="s">
        <v>1495</v>
      </c>
      <c r="B819" s="3" t="s">
        <v>1496</v>
      </c>
    </row>
    <row r="820" spans="1:2" ht="13.5" thickBot="1" x14ac:dyDescent="0.25">
      <c r="A820" s="4"/>
      <c r="B820" s="4" t="s">
        <v>1497</v>
      </c>
    </row>
    <row r="821" spans="1:2" ht="13.5" thickBot="1" x14ac:dyDescent="0.25">
      <c r="A821" s="5" t="s">
        <v>1498</v>
      </c>
      <c r="B821" s="5" t="s">
        <v>1499</v>
      </c>
    </row>
    <row r="822" spans="1:2" x14ac:dyDescent="0.2">
      <c r="A822" s="6" t="s">
        <v>1500</v>
      </c>
      <c r="B822" s="6" t="s">
        <v>1488</v>
      </c>
    </row>
    <row r="823" spans="1:2" x14ac:dyDescent="0.2">
      <c r="A823" s="10"/>
      <c r="B823" s="10"/>
    </row>
    <row r="824" spans="1:2" x14ac:dyDescent="0.2">
      <c r="A824" s="10"/>
      <c r="B824" s="10"/>
    </row>
    <row r="825" spans="1:2" ht="13.5" thickBot="1" x14ac:dyDescent="0.25">
      <c r="A825" s="4"/>
      <c r="B825" s="4"/>
    </row>
    <row r="826" spans="1:2" ht="13.5" thickBot="1" x14ac:dyDescent="0.25">
      <c r="A826" s="5" t="s">
        <v>1501</v>
      </c>
      <c r="B826" s="5" t="s">
        <v>1488</v>
      </c>
    </row>
    <row r="827" spans="1:2" ht="26.25" thickBot="1" x14ac:dyDescent="0.25">
      <c r="A827" s="5" t="s">
        <v>1502</v>
      </c>
      <c r="B827" s="5" t="s">
        <v>1492</v>
      </c>
    </row>
    <row r="828" spans="1:2" ht="26.25" thickBot="1" x14ac:dyDescent="0.25">
      <c r="A828" s="5" t="s">
        <v>1503</v>
      </c>
      <c r="B828" s="5" t="s">
        <v>1504</v>
      </c>
    </row>
    <row r="829" spans="1:2" x14ac:dyDescent="0.2">
      <c r="A829" s="6" t="s">
        <v>1505</v>
      </c>
      <c r="B829" s="3" t="s">
        <v>1506</v>
      </c>
    </row>
    <row r="830" spans="1:2" ht="13.5" thickBot="1" x14ac:dyDescent="0.25">
      <c r="A830" s="4"/>
      <c r="B830" s="4" t="s">
        <v>1507</v>
      </c>
    </row>
    <row r="831" spans="1:2" ht="13.5" thickBot="1" x14ac:dyDescent="0.25">
      <c r="A831" s="5" t="s">
        <v>1508</v>
      </c>
      <c r="B831" s="5" t="s">
        <v>1499</v>
      </c>
    </row>
    <row r="832" spans="1:2" ht="13.5" thickBot="1" x14ac:dyDescent="0.25">
      <c r="A832" s="5" t="s">
        <v>1509</v>
      </c>
      <c r="B832" s="5" t="s">
        <v>1488</v>
      </c>
    </row>
    <row r="833" spans="1:2" ht="13.5" thickBot="1" x14ac:dyDescent="0.25">
      <c r="A833" s="5" t="s">
        <v>1510</v>
      </c>
      <c r="B833" s="5" t="s">
        <v>1490</v>
      </c>
    </row>
    <row r="834" spans="1:2" ht="26.25" thickBot="1" x14ac:dyDescent="0.25">
      <c r="A834" s="5" t="s">
        <v>1511</v>
      </c>
      <c r="B834" s="5" t="s">
        <v>1492</v>
      </c>
    </row>
    <row r="835" spans="1:2" ht="26.25" thickBot="1" x14ac:dyDescent="0.25">
      <c r="A835" s="5" t="s">
        <v>1512</v>
      </c>
      <c r="B835" s="5" t="s">
        <v>1513</v>
      </c>
    </row>
    <row r="836" spans="1:2" x14ac:dyDescent="0.2">
      <c r="A836" s="6" t="s">
        <v>1514</v>
      </c>
      <c r="B836" s="3" t="s">
        <v>1515</v>
      </c>
    </row>
    <row r="837" spans="1:2" ht="13.5" thickBot="1" x14ac:dyDescent="0.25">
      <c r="A837" s="4"/>
      <c r="B837" s="4" t="s">
        <v>1516</v>
      </c>
    </row>
    <row r="838" spans="1:2" ht="13.5" thickBot="1" x14ac:dyDescent="0.25">
      <c r="A838" s="5" t="s">
        <v>1517</v>
      </c>
      <c r="B838" s="5" t="s">
        <v>1499</v>
      </c>
    </row>
    <row r="839" spans="1:2" ht="15.75" thickBot="1" x14ac:dyDescent="0.25">
      <c r="A839" s="28" t="s">
        <v>1518</v>
      </c>
      <c r="B839" s="12"/>
    </row>
    <row r="840" spans="1:2" ht="165.75" thickBot="1" x14ac:dyDescent="0.25">
      <c r="A840" s="27" t="s">
        <v>1519</v>
      </c>
      <c r="B840" s="8"/>
    </row>
    <row r="841" spans="1:2" ht="13.5" thickBot="1" x14ac:dyDescent="0.25">
      <c r="A841" s="5" t="s">
        <v>1520</v>
      </c>
      <c r="B841" s="5" t="s">
        <v>1521</v>
      </c>
    </row>
    <row r="842" spans="1:2" ht="38.25" x14ac:dyDescent="0.2">
      <c r="A842" s="6" t="s">
        <v>1522</v>
      </c>
      <c r="B842" s="6" t="s">
        <v>1523</v>
      </c>
    </row>
    <row r="843" spans="1:2" ht="13.5" thickBot="1" x14ac:dyDescent="0.25">
      <c r="A843" s="4"/>
      <c r="B843" s="4"/>
    </row>
    <row r="844" spans="1:2" ht="13.5" thickBot="1" x14ac:dyDescent="0.25">
      <c r="A844" s="5" t="s">
        <v>1524</v>
      </c>
      <c r="B844" s="5"/>
    </row>
    <row r="845" spans="1:2" x14ac:dyDescent="0.2">
      <c r="A845" s="6" t="s">
        <v>1525</v>
      </c>
      <c r="B845" s="6" t="s">
        <v>1526</v>
      </c>
    </row>
    <row r="846" spans="1:2" ht="13.5" thickBot="1" x14ac:dyDescent="0.25">
      <c r="A846" s="4"/>
      <c r="B846" s="4"/>
    </row>
    <row r="847" spans="1:2" ht="13.5" thickBot="1" x14ac:dyDescent="0.25">
      <c r="A847" s="5" t="s">
        <v>1527</v>
      </c>
      <c r="B847" s="5" t="s">
        <v>1528</v>
      </c>
    </row>
    <row r="848" spans="1:2" ht="13.5" thickBot="1" x14ac:dyDescent="0.25">
      <c r="A848" s="5" t="s">
        <v>1529</v>
      </c>
      <c r="B848" s="5" t="s">
        <v>1530</v>
      </c>
    </row>
    <row r="849" spans="1:2" ht="13.5" thickBot="1" x14ac:dyDescent="0.25">
      <c r="A849" s="5" t="s">
        <v>1531</v>
      </c>
      <c r="B849" s="5" t="s">
        <v>1532</v>
      </c>
    </row>
    <row r="850" spans="1:2" ht="13.5" thickBot="1" x14ac:dyDescent="0.25">
      <c r="A850" s="5" t="s">
        <v>1533</v>
      </c>
      <c r="B850" s="5" t="s">
        <v>1534</v>
      </c>
    </row>
    <row r="851" spans="1:2" ht="13.5" thickBot="1" x14ac:dyDescent="0.25">
      <c r="A851" s="5" t="s">
        <v>1535</v>
      </c>
      <c r="B851" s="5" t="s">
        <v>1536</v>
      </c>
    </row>
    <row r="852" spans="1:2" ht="13.5" thickBot="1" x14ac:dyDescent="0.25">
      <c r="A852" s="5" t="s">
        <v>1537</v>
      </c>
      <c r="B852" s="5" t="s">
        <v>1538</v>
      </c>
    </row>
    <row r="853" spans="1:2" ht="25.5" x14ac:dyDescent="0.2">
      <c r="A853" s="6" t="s">
        <v>1539</v>
      </c>
      <c r="B853" s="6" t="s">
        <v>1540</v>
      </c>
    </row>
    <row r="854" spans="1:2" x14ac:dyDescent="0.2">
      <c r="A854" s="10"/>
      <c r="B854" s="10"/>
    </row>
    <row r="855" spans="1:2" x14ac:dyDescent="0.2">
      <c r="A855" s="10"/>
      <c r="B855" s="10"/>
    </row>
    <row r="856" spans="1:2" x14ac:dyDescent="0.2">
      <c r="A856" s="10"/>
      <c r="B856" s="10"/>
    </row>
    <row r="857" spans="1:2" x14ac:dyDescent="0.2">
      <c r="A857" s="10"/>
      <c r="B857" s="10"/>
    </row>
    <row r="858" spans="1:2" ht="13.5" thickBot="1" x14ac:dyDescent="0.25">
      <c r="A858" s="4"/>
      <c r="B858" s="4"/>
    </row>
    <row r="859" spans="1:2" x14ac:dyDescent="0.2">
      <c r="A859" s="6" t="s">
        <v>1541</v>
      </c>
      <c r="B859" s="6"/>
    </row>
    <row r="860" spans="1:2" ht="13.5" thickBot="1" x14ac:dyDescent="0.25">
      <c r="A860" s="4"/>
      <c r="B860" s="4"/>
    </row>
    <row r="861" spans="1:2" ht="32.25" thickBot="1" x14ac:dyDescent="0.25">
      <c r="A861" s="26" t="s">
        <v>1542</v>
      </c>
      <c r="B861" s="7"/>
    </row>
    <row r="862" spans="1:2" x14ac:dyDescent="0.2">
      <c r="A862" s="6" t="s">
        <v>1543</v>
      </c>
      <c r="B862" s="3" t="s">
        <v>1544</v>
      </c>
    </row>
    <row r="863" spans="1:2" ht="26.25" thickBot="1" x14ac:dyDescent="0.25">
      <c r="A863" s="4"/>
      <c r="B863" s="4" t="s">
        <v>1545</v>
      </c>
    </row>
    <row r="864" spans="1:2" ht="15.75" thickBot="1" x14ac:dyDescent="0.25">
      <c r="A864" s="28" t="s">
        <v>1546</v>
      </c>
      <c r="B864" s="12"/>
    </row>
    <row r="865" spans="1:2" ht="17.25" thickBot="1" x14ac:dyDescent="0.25">
      <c r="A865" s="27" t="s">
        <v>1547</v>
      </c>
      <c r="B865" s="8"/>
    </row>
    <row r="866" spans="1:2" ht="13.5" thickBot="1" x14ac:dyDescent="0.25">
      <c r="A866" s="5" t="s">
        <v>1548</v>
      </c>
      <c r="B866" s="5"/>
    </row>
    <row r="867" spans="1:2" ht="13.5" thickBot="1" x14ac:dyDescent="0.25">
      <c r="A867" s="5" t="s">
        <v>1549</v>
      </c>
      <c r="B867" s="5"/>
    </row>
    <row r="868" spans="1:2" ht="13.5" thickBot="1" x14ac:dyDescent="0.25">
      <c r="A868" s="5" t="s">
        <v>1550</v>
      </c>
      <c r="B868" s="5"/>
    </row>
    <row r="869" spans="1:2" ht="13.5" thickBot="1" x14ac:dyDescent="0.25">
      <c r="A869" s="5" t="s">
        <v>1551</v>
      </c>
      <c r="B869" s="5"/>
    </row>
    <row r="870" spans="1:2" x14ac:dyDescent="0.2">
      <c r="A870" s="6" t="s">
        <v>1552</v>
      </c>
      <c r="B870" s="6"/>
    </row>
    <row r="871" spans="1:2" ht="13.5" thickBot="1" x14ac:dyDescent="0.25">
      <c r="A871" s="4"/>
      <c r="B871" s="4"/>
    </row>
    <row r="872" spans="1:2" ht="13.5" thickBot="1" x14ac:dyDescent="0.25">
      <c r="A872" s="5" t="s">
        <v>1553</v>
      </c>
      <c r="B872" s="5"/>
    </row>
    <row r="873" spans="1:2" ht="13.5" thickBot="1" x14ac:dyDescent="0.25">
      <c r="A873" s="5" t="s">
        <v>1554</v>
      </c>
      <c r="B873" s="5"/>
    </row>
    <row r="874" spans="1:2" ht="13.5" thickBot="1" x14ac:dyDescent="0.25">
      <c r="A874" s="5" t="s">
        <v>1555</v>
      </c>
      <c r="B874" s="5"/>
    </row>
    <row r="875" spans="1:2" ht="13.5" thickBot="1" x14ac:dyDescent="0.25">
      <c r="A875" s="5" t="s">
        <v>1556</v>
      </c>
      <c r="B875" s="5"/>
    </row>
    <row r="876" spans="1:2" ht="13.5" thickBot="1" x14ac:dyDescent="0.25">
      <c r="A876" s="5" t="s">
        <v>1557</v>
      </c>
      <c r="B876" s="5"/>
    </row>
    <row r="877" spans="1:2" ht="13.5" thickBot="1" x14ac:dyDescent="0.25">
      <c r="A877" s="5" t="s">
        <v>1558</v>
      </c>
      <c r="B877" s="5"/>
    </row>
    <row r="878" spans="1:2" ht="13.5" thickBot="1" x14ac:dyDescent="0.25">
      <c r="A878" s="5" t="s">
        <v>1559</v>
      </c>
      <c r="B878" s="5"/>
    </row>
    <row r="879" spans="1:2" ht="13.5" thickBot="1" x14ac:dyDescent="0.25">
      <c r="A879" s="5" t="s">
        <v>1560</v>
      </c>
      <c r="B879" s="5"/>
    </row>
    <row r="880" spans="1:2" x14ac:dyDescent="0.2">
      <c r="A880" s="6" t="s">
        <v>1561</v>
      </c>
      <c r="B880" s="6"/>
    </row>
    <row r="881" spans="1:2" ht="13.5" thickBot="1" x14ac:dyDescent="0.25">
      <c r="A881" s="4"/>
      <c r="B881" s="4"/>
    </row>
    <row r="882" spans="1:2" ht="25.5" x14ac:dyDescent="0.2">
      <c r="A882" s="6" t="s">
        <v>1562</v>
      </c>
      <c r="B882" s="3" t="s">
        <v>1563</v>
      </c>
    </row>
    <row r="883" spans="1:2" ht="26.25" thickBot="1" x14ac:dyDescent="0.25">
      <c r="A883" s="4"/>
      <c r="B883" s="4" t="s">
        <v>1564</v>
      </c>
    </row>
    <row r="884" spans="1:2" ht="38.25" x14ac:dyDescent="0.2">
      <c r="A884" s="6" t="s">
        <v>1565</v>
      </c>
      <c r="B884" s="3" t="s">
        <v>1566</v>
      </c>
    </row>
    <row r="885" spans="1:2" ht="25.5" x14ac:dyDescent="0.2">
      <c r="A885" s="10"/>
      <c r="B885" s="10" t="s">
        <v>1564</v>
      </c>
    </row>
    <row r="886" spans="1:2" x14ac:dyDescent="0.2">
      <c r="A886" s="10"/>
      <c r="B886" s="9"/>
    </row>
    <row r="887" spans="1:2" x14ac:dyDescent="0.2">
      <c r="A887" s="10"/>
      <c r="B887" s="10" t="s">
        <v>1567</v>
      </c>
    </row>
    <row r="888" spans="1:2" x14ac:dyDescent="0.2">
      <c r="A888" s="10"/>
      <c r="B888" s="10" t="s">
        <v>1568</v>
      </c>
    </row>
    <row r="889" spans="1:2" x14ac:dyDescent="0.2">
      <c r="A889" s="10"/>
      <c r="B889" s="9"/>
    </row>
    <row r="890" spans="1:2" ht="25.5" x14ac:dyDescent="0.2">
      <c r="A890" s="10"/>
      <c r="B890" s="10" t="s">
        <v>1569</v>
      </c>
    </row>
    <row r="891" spans="1:2" x14ac:dyDescent="0.2">
      <c r="A891" s="10"/>
      <c r="B891" s="9"/>
    </row>
    <row r="892" spans="1:2" ht="25.5" x14ac:dyDescent="0.2">
      <c r="A892" s="10"/>
      <c r="B892" s="10" t="s">
        <v>1570</v>
      </c>
    </row>
    <row r="893" spans="1:2" x14ac:dyDescent="0.2">
      <c r="A893" s="10"/>
      <c r="B893" s="9"/>
    </row>
    <row r="894" spans="1:2" ht="25.5" x14ac:dyDescent="0.2">
      <c r="A894" s="10"/>
      <c r="B894" s="10" t="s">
        <v>1571</v>
      </c>
    </row>
    <row r="895" spans="1:2" x14ac:dyDescent="0.2">
      <c r="A895" s="10"/>
      <c r="B895" s="9"/>
    </row>
    <row r="896" spans="1:2" ht="38.25" x14ac:dyDescent="0.2">
      <c r="A896" s="10"/>
      <c r="B896" s="10" t="s">
        <v>1572</v>
      </c>
    </row>
    <row r="897" spans="1:2" x14ac:dyDescent="0.2">
      <c r="A897" s="10"/>
      <c r="B897" s="9"/>
    </row>
    <row r="898" spans="1:2" ht="25.5" x14ac:dyDescent="0.2">
      <c r="A898" s="10"/>
      <c r="B898" s="10" t="s">
        <v>1573</v>
      </c>
    </row>
    <row r="899" spans="1:2" x14ac:dyDescent="0.2">
      <c r="A899" s="10"/>
      <c r="B899" s="9"/>
    </row>
    <row r="900" spans="1:2" ht="25.5" x14ac:dyDescent="0.2">
      <c r="A900" s="10"/>
      <c r="B900" s="10" t="s">
        <v>1574</v>
      </c>
    </row>
    <row r="901" spans="1:2" x14ac:dyDescent="0.2">
      <c r="A901" s="10"/>
      <c r="B901" s="9"/>
    </row>
    <row r="902" spans="1:2" ht="38.25" x14ac:dyDescent="0.2">
      <c r="A902" s="10"/>
      <c r="B902" s="10" t="s">
        <v>1575</v>
      </c>
    </row>
    <row r="903" spans="1:2" x14ac:dyDescent="0.2">
      <c r="A903" s="10"/>
      <c r="B903" s="9"/>
    </row>
    <row r="904" spans="1:2" x14ac:dyDescent="0.2">
      <c r="A904" s="10"/>
      <c r="B904" s="10" t="s">
        <v>1576</v>
      </c>
    </row>
    <row r="905" spans="1:2" x14ac:dyDescent="0.2">
      <c r="A905" s="10"/>
      <c r="B905" s="9"/>
    </row>
    <row r="906" spans="1:2" ht="38.25" x14ac:dyDescent="0.2">
      <c r="A906" s="10"/>
      <c r="B906" s="10" t="s">
        <v>1577</v>
      </c>
    </row>
    <row r="907" spans="1:2" x14ac:dyDescent="0.2">
      <c r="A907" s="10"/>
      <c r="B907" s="9"/>
    </row>
    <row r="908" spans="1:2" ht="38.25" x14ac:dyDescent="0.2">
      <c r="A908" s="10"/>
      <c r="B908" s="10" t="s">
        <v>1578</v>
      </c>
    </row>
    <row r="909" spans="1:2" x14ac:dyDescent="0.2">
      <c r="A909" s="10"/>
      <c r="B909" s="9"/>
    </row>
    <row r="910" spans="1:2" ht="51" x14ac:dyDescent="0.2">
      <c r="A910" s="10"/>
      <c r="B910" s="10" t="s">
        <v>1579</v>
      </c>
    </row>
    <row r="911" spans="1:2" x14ac:dyDescent="0.2">
      <c r="A911" s="10"/>
      <c r="B911" s="9"/>
    </row>
    <row r="912" spans="1:2" x14ac:dyDescent="0.2">
      <c r="A912" s="10"/>
      <c r="B912" s="10" t="s">
        <v>1580</v>
      </c>
    </row>
    <row r="913" spans="1:2" x14ac:dyDescent="0.2">
      <c r="A913" s="10"/>
      <c r="B913" s="9"/>
    </row>
    <row r="914" spans="1:2" ht="38.25" x14ac:dyDescent="0.2">
      <c r="A914" s="10"/>
      <c r="B914" s="10" t="s">
        <v>1581</v>
      </c>
    </row>
    <row r="915" spans="1:2" x14ac:dyDescent="0.2">
      <c r="A915" s="10"/>
      <c r="B915" s="9"/>
    </row>
    <row r="916" spans="1:2" ht="38.25" x14ac:dyDescent="0.2">
      <c r="A916" s="10"/>
      <c r="B916" s="10" t="s">
        <v>1582</v>
      </c>
    </row>
    <row r="917" spans="1:2" x14ac:dyDescent="0.2">
      <c r="A917" s="10"/>
      <c r="B917" s="9"/>
    </row>
    <row r="918" spans="1:2" ht="25.5" x14ac:dyDescent="0.2">
      <c r="A918" s="10"/>
      <c r="B918" s="10" t="s">
        <v>1583</v>
      </c>
    </row>
    <row r="919" spans="1:2" x14ac:dyDescent="0.2">
      <c r="A919" s="10"/>
      <c r="B919" s="10"/>
    </row>
    <row r="920" spans="1:2" ht="26.25" thickBot="1" x14ac:dyDescent="0.25">
      <c r="A920" s="4"/>
      <c r="B920" s="4" t="s">
        <v>1584</v>
      </c>
    </row>
    <row r="921" spans="1:2" ht="15" x14ac:dyDescent="0.25">
      <c r="A921" s="369" t="s">
        <v>3736</v>
      </c>
    </row>
  </sheetData>
  <hyperlinks>
    <hyperlink ref="C1" location="'Table Of Contents'!A1" display="Return to Table of Contents" xr:uid="{4712117C-EB7C-42C0-897B-04035019695D}"/>
  </hyperlinks>
  <pageMargins left="0.7" right="0.7" top="0.75" bottom="0.75" header="0.3" footer="0.3"/>
  <pageSetup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487E6-5220-4105-8250-1DEF47FA2321}">
  <sheetPr>
    <tabColor rgb="FF8CC6D4"/>
  </sheetPr>
  <dimension ref="A1:AJ408"/>
  <sheetViews>
    <sheetView workbookViewId="0">
      <pane xSplit="4" ySplit="3" topLeftCell="E4" activePane="bottomRight" state="frozen"/>
      <selection pane="topRight" activeCell="E1" sqref="E1"/>
      <selection pane="bottomLeft" activeCell="A2" sqref="A2"/>
      <selection pane="bottomRight" activeCell="C1" sqref="C1"/>
    </sheetView>
  </sheetViews>
  <sheetFormatPr defaultRowHeight="12.75" x14ac:dyDescent="0.2"/>
  <cols>
    <col min="2" max="2" width="55.28515625" customWidth="1"/>
    <col min="3" max="3" width="35.28515625" bestFit="1" customWidth="1"/>
    <col min="4" max="4" width="29.42578125" customWidth="1"/>
    <col min="5" max="36" width="25.7109375" customWidth="1"/>
  </cols>
  <sheetData>
    <row r="1" spans="1:36" ht="18.75" x14ac:dyDescent="0.3">
      <c r="A1" s="362" t="s">
        <v>3729</v>
      </c>
      <c r="B1" s="365"/>
      <c r="D1" s="364" t="s">
        <v>3730</v>
      </c>
      <c r="F1" s="368" t="s">
        <v>3727</v>
      </c>
    </row>
    <row r="3" spans="1:36" s="34" customFormat="1" ht="213" customHeight="1" thickBot="1" x14ac:dyDescent="0.25">
      <c r="A3" s="228" t="s">
        <v>1</v>
      </c>
      <c r="B3" s="228" t="s">
        <v>0</v>
      </c>
      <c r="C3" s="228" t="s">
        <v>3722</v>
      </c>
      <c r="D3" s="228" t="s">
        <v>3721</v>
      </c>
      <c r="E3" s="228" t="s">
        <v>1920</v>
      </c>
      <c r="F3" s="228" t="s">
        <v>3700</v>
      </c>
      <c r="G3" s="228" t="s">
        <v>3701</v>
      </c>
      <c r="H3" s="228" t="s">
        <v>3702</v>
      </c>
      <c r="I3" s="228" t="s">
        <v>3509</v>
      </c>
      <c r="J3" s="228" t="s">
        <v>3510</v>
      </c>
      <c r="K3" s="228" t="s">
        <v>3703</v>
      </c>
      <c r="L3" s="228" t="s">
        <v>3022</v>
      </c>
      <c r="M3" s="228" t="s">
        <v>3023</v>
      </c>
      <c r="N3" s="228" t="s">
        <v>3704</v>
      </c>
      <c r="O3" s="228" t="s">
        <v>3705</v>
      </c>
      <c r="P3" s="228" t="s">
        <v>3706</v>
      </c>
      <c r="Q3" s="228" t="s">
        <v>3707</v>
      </c>
      <c r="R3" s="228" t="s">
        <v>3708</v>
      </c>
      <c r="S3" s="228" t="s">
        <v>3709</v>
      </c>
      <c r="T3" s="228" t="s">
        <v>3710</v>
      </c>
      <c r="U3" s="228" t="s">
        <v>3711</v>
      </c>
      <c r="V3" s="228" t="s">
        <v>3712</v>
      </c>
      <c r="W3" s="228" t="s">
        <v>3713</v>
      </c>
      <c r="X3" s="228" t="s">
        <v>3714</v>
      </c>
      <c r="Y3" s="228" t="s">
        <v>1676</v>
      </c>
      <c r="Z3" s="228" t="s">
        <v>3715</v>
      </c>
      <c r="AA3" s="228" t="s">
        <v>1643</v>
      </c>
      <c r="AB3" s="228" t="s">
        <v>1644</v>
      </c>
      <c r="AC3" s="228" t="s">
        <v>1645</v>
      </c>
      <c r="AD3" s="228" t="s">
        <v>1646</v>
      </c>
      <c r="AE3" s="228" t="s">
        <v>3716</v>
      </c>
      <c r="AF3" s="228" t="s">
        <v>1647</v>
      </c>
      <c r="AG3" s="228" t="s">
        <v>3717</v>
      </c>
      <c r="AH3" s="228" t="s">
        <v>3718</v>
      </c>
      <c r="AI3" s="228" t="s">
        <v>3719</v>
      </c>
      <c r="AJ3" s="228" t="s">
        <v>3720</v>
      </c>
    </row>
    <row r="4" spans="1:36" ht="13.5" thickBot="1" x14ac:dyDescent="0.25">
      <c r="A4" s="48" t="s">
        <v>33</v>
      </c>
      <c r="B4" s="347" t="s">
        <v>32</v>
      </c>
      <c r="C4" s="48" t="s">
        <v>3059</v>
      </c>
      <c r="D4" s="48" t="s">
        <v>34</v>
      </c>
      <c r="E4" s="48" t="s">
        <v>1949</v>
      </c>
      <c r="F4" s="87" t="s">
        <v>1648</v>
      </c>
      <c r="G4" s="87" t="s">
        <v>1648</v>
      </c>
      <c r="H4" s="244">
        <v>480</v>
      </c>
      <c r="I4" s="87" t="s">
        <v>1648</v>
      </c>
      <c r="J4" s="244">
        <v>548</v>
      </c>
      <c r="K4" s="87" t="s">
        <v>1649</v>
      </c>
      <c r="L4" s="87" t="s">
        <v>1649</v>
      </c>
      <c r="M4" s="244">
        <v>0</v>
      </c>
      <c r="N4" s="87" t="s">
        <v>1649</v>
      </c>
      <c r="O4" s="87" t="s">
        <v>1649</v>
      </c>
      <c r="P4" s="87" t="s">
        <v>1649</v>
      </c>
      <c r="Q4" s="244">
        <v>0</v>
      </c>
      <c r="R4" s="244">
        <v>0</v>
      </c>
      <c r="S4" s="244">
        <v>0</v>
      </c>
      <c r="T4" s="244">
        <v>0</v>
      </c>
      <c r="U4" s="244">
        <v>0</v>
      </c>
      <c r="V4" s="244">
        <v>0</v>
      </c>
      <c r="W4" s="244">
        <v>0</v>
      </c>
      <c r="X4" s="244">
        <v>0</v>
      </c>
      <c r="Y4" s="244">
        <v>0</v>
      </c>
      <c r="Z4" s="244">
        <v>0</v>
      </c>
      <c r="AA4" s="87" t="s">
        <v>1649</v>
      </c>
      <c r="AB4" s="87" t="s">
        <v>1649</v>
      </c>
      <c r="AC4" s="244">
        <v>0</v>
      </c>
      <c r="AD4" s="87" t="s">
        <v>1648</v>
      </c>
      <c r="AE4" s="244">
        <v>133</v>
      </c>
      <c r="AF4" s="87" t="s">
        <v>1650</v>
      </c>
      <c r="AG4" s="87" t="s">
        <v>1648</v>
      </c>
      <c r="AH4" s="87" t="s">
        <v>1649</v>
      </c>
      <c r="AI4" s="87" t="s">
        <v>1649</v>
      </c>
      <c r="AJ4" s="87" t="s">
        <v>1648</v>
      </c>
    </row>
    <row r="5" spans="1:36" ht="13.5" thickBot="1" x14ac:dyDescent="0.25">
      <c r="A5" s="48" t="s">
        <v>58</v>
      </c>
      <c r="B5" s="347" t="s">
        <v>57</v>
      </c>
      <c r="C5" s="48" t="s">
        <v>3058</v>
      </c>
      <c r="D5" s="48" t="s">
        <v>34</v>
      </c>
      <c r="E5" s="48" t="s">
        <v>1949</v>
      </c>
      <c r="F5" s="87" t="s">
        <v>1648</v>
      </c>
      <c r="G5" s="87" t="s">
        <v>1649</v>
      </c>
      <c r="H5" s="244">
        <v>0</v>
      </c>
      <c r="I5" s="87" t="s">
        <v>1648</v>
      </c>
      <c r="J5" s="244">
        <v>44</v>
      </c>
      <c r="K5" s="87" t="s">
        <v>1649</v>
      </c>
      <c r="L5" s="87" t="s">
        <v>1649</v>
      </c>
      <c r="M5" s="244">
        <v>0</v>
      </c>
      <c r="N5" s="87" t="s">
        <v>1649</v>
      </c>
      <c r="O5" s="87" t="s">
        <v>1649</v>
      </c>
      <c r="P5" s="87" t="s">
        <v>1649</v>
      </c>
      <c r="Q5" s="244">
        <v>0</v>
      </c>
      <c r="R5" s="244">
        <v>0</v>
      </c>
      <c r="S5" s="244">
        <v>0</v>
      </c>
      <c r="T5" s="244">
        <v>0</v>
      </c>
      <c r="U5" s="244">
        <v>0</v>
      </c>
      <c r="V5" s="244">
        <v>0</v>
      </c>
      <c r="W5" s="244">
        <v>0</v>
      </c>
      <c r="X5" s="244">
        <v>0</v>
      </c>
      <c r="Y5" s="244">
        <v>0</v>
      </c>
      <c r="Z5" s="244">
        <v>0</v>
      </c>
      <c r="AA5" s="87" t="s">
        <v>1649</v>
      </c>
      <c r="AB5" s="87" t="s">
        <v>1649</v>
      </c>
      <c r="AC5" s="244">
        <v>0</v>
      </c>
      <c r="AD5" s="87" t="s">
        <v>1649</v>
      </c>
      <c r="AE5" s="244">
        <v>85</v>
      </c>
      <c r="AF5" s="87" t="s">
        <v>1651</v>
      </c>
      <c r="AG5" s="87" t="s">
        <v>1648</v>
      </c>
      <c r="AH5" s="87" t="s">
        <v>1648</v>
      </c>
      <c r="AI5" s="87" t="s">
        <v>1649</v>
      </c>
      <c r="AJ5" s="87" t="s">
        <v>1649</v>
      </c>
    </row>
    <row r="6" spans="1:36" ht="13.5" thickBot="1" x14ac:dyDescent="0.25">
      <c r="A6" s="48" t="s">
        <v>80</v>
      </c>
      <c r="B6" s="347" t="s">
        <v>79</v>
      </c>
      <c r="C6" s="48" t="s">
        <v>3077</v>
      </c>
      <c r="D6" s="48" t="s">
        <v>34</v>
      </c>
      <c r="E6" s="48" t="s">
        <v>1949</v>
      </c>
      <c r="F6" s="87" t="s">
        <v>1648</v>
      </c>
      <c r="G6" s="87" t="s">
        <v>1648</v>
      </c>
      <c r="H6" s="244">
        <v>575</v>
      </c>
      <c r="I6" s="87" t="s">
        <v>1649</v>
      </c>
      <c r="J6" s="244">
        <v>0</v>
      </c>
      <c r="K6" s="87" t="s">
        <v>1649</v>
      </c>
      <c r="L6" s="87" t="s">
        <v>1649</v>
      </c>
      <c r="M6" s="244">
        <v>0</v>
      </c>
      <c r="N6" s="87" t="s">
        <v>1649</v>
      </c>
      <c r="O6" s="87" t="s">
        <v>1648</v>
      </c>
      <c r="P6" s="87" t="s">
        <v>1648</v>
      </c>
      <c r="Q6" s="244">
        <v>0</v>
      </c>
      <c r="R6" s="244">
        <v>0</v>
      </c>
      <c r="S6" s="244">
        <v>0</v>
      </c>
      <c r="T6" s="244">
        <v>0</v>
      </c>
      <c r="U6" s="244">
        <v>0</v>
      </c>
      <c r="V6" s="244">
        <v>0</v>
      </c>
      <c r="W6" s="244">
        <v>0</v>
      </c>
      <c r="X6" s="244">
        <v>0</v>
      </c>
      <c r="Y6" s="244">
        <v>3</v>
      </c>
      <c r="Z6" s="244">
        <v>0</v>
      </c>
      <c r="AA6" s="87" t="s">
        <v>1648</v>
      </c>
      <c r="AB6" s="87" t="s">
        <v>1649</v>
      </c>
      <c r="AC6" s="87" t="s">
        <v>1660</v>
      </c>
      <c r="AD6" s="87" t="s">
        <v>1648</v>
      </c>
      <c r="AE6" s="244">
        <v>120</v>
      </c>
      <c r="AF6" s="87" t="s">
        <v>1650</v>
      </c>
      <c r="AG6" s="87" t="s">
        <v>1648</v>
      </c>
      <c r="AH6" s="87" t="s">
        <v>1648</v>
      </c>
      <c r="AI6" s="87" t="s">
        <v>1648</v>
      </c>
      <c r="AJ6" s="87" t="s">
        <v>1648</v>
      </c>
    </row>
    <row r="7" spans="1:36" ht="13.5" thickBot="1" x14ac:dyDescent="0.25">
      <c r="A7" s="48" t="s">
        <v>82</v>
      </c>
      <c r="B7" s="347" t="s">
        <v>81</v>
      </c>
      <c r="C7" s="48" t="s">
        <v>3059</v>
      </c>
      <c r="D7" s="48" t="s">
        <v>34</v>
      </c>
      <c r="E7" s="48" t="s">
        <v>1949</v>
      </c>
      <c r="F7" s="87" t="s">
        <v>1648</v>
      </c>
      <c r="G7" s="87" t="s">
        <v>1648</v>
      </c>
      <c r="H7" s="244">
        <v>330</v>
      </c>
      <c r="I7" s="87" t="s">
        <v>1649</v>
      </c>
      <c r="J7" s="244">
        <v>0</v>
      </c>
      <c r="K7" s="87" t="s">
        <v>1649</v>
      </c>
      <c r="L7" s="87" t="s">
        <v>1649</v>
      </c>
      <c r="M7" s="244">
        <v>0</v>
      </c>
      <c r="N7" s="87" t="s">
        <v>1648</v>
      </c>
      <c r="O7" s="87" t="s">
        <v>1648</v>
      </c>
      <c r="P7" s="87" t="s">
        <v>1648</v>
      </c>
      <c r="Q7" s="244">
        <v>1</v>
      </c>
      <c r="R7" s="244">
        <v>23</v>
      </c>
      <c r="S7" s="244">
        <v>0</v>
      </c>
      <c r="T7" s="244">
        <v>0</v>
      </c>
      <c r="U7" s="244">
        <v>3</v>
      </c>
      <c r="V7" s="244">
        <v>18</v>
      </c>
      <c r="W7" s="244">
        <v>0</v>
      </c>
      <c r="X7" s="244">
        <v>0</v>
      </c>
      <c r="Y7" s="244">
        <v>58</v>
      </c>
      <c r="Z7" s="244">
        <v>1730</v>
      </c>
      <c r="AA7" s="87" t="s">
        <v>1648</v>
      </c>
      <c r="AB7" s="87" t="s">
        <v>1648</v>
      </c>
      <c r="AC7" s="244">
        <v>72</v>
      </c>
      <c r="AD7" s="87" t="s">
        <v>1648</v>
      </c>
      <c r="AE7" s="244">
        <v>300</v>
      </c>
      <c r="AF7" s="87" t="s">
        <v>1650</v>
      </c>
      <c r="AG7" s="87" t="s">
        <v>1648</v>
      </c>
      <c r="AH7" s="87" t="s">
        <v>1648</v>
      </c>
      <c r="AI7" s="87" t="s">
        <v>1649</v>
      </c>
      <c r="AJ7" s="87" t="s">
        <v>1648</v>
      </c>
    </row>
    <row r="8" spans="1:36" ht="13.5" thickBot="1" x14ac:dyDescent="0.25">
      <c r="A8" s="48" t="s">
        <v>86</v>
      </c>
      <c r="B8" s="347" t="s">
        <v>85</v>
      </c>
      <c r="C8" s="48" t="s">
        <v>3061</v>
      </c>
      <c r="D8" s="48" t="s">
        <v>34</v>
      </c>
      <c r="E8" s="48" t="s">
        <v>1919</v>
      </c>
      <c r="F8" s="87" t="s">
        <v>1648</v>
      </c>
      <c r="G8" s="87" t="s">
        <v>1648</v>
      </c>
      <c r="H8" s="244">
        <v>380</v>
      </c>
      <c r="I8" s="87" t="s">
        <v>1649</v>
      </c>
      <c r="J8" s="244">
        <v>0</v>
      </c>
      <c r="K8" s="87" t="s">
        <v>1649</v>
      </c>
      <c r="L8" s="87" t="s">
        <v>1649</v>
      </c>
      <c r="M8" s="244">
        <v>0</v>
      </c>
      <c r="N8" s="87" t="s">
        <v>1649</v>
      </c>
      <c r="O8" s="87" t="s">
        <v>1649</v>
      </c>
      <c r="P8" s="87" t="s">
        <v>1649</v>
      </c>
      <c r="Q8" s="244">
        <v>0</v>
      </c>
      <c r="R8" s="244">
        <v>0</v>
      </c>
      <c r="S8" s="244">
        <v>0</v>
      </c>
      <c r="T8" s="244">
        <v>0</v>
      </c>
      <c r="U8" s="244">
        <v>0</v>
      </c>
      <c r="V8" s="244">
        <v>0</v>
      </c>
      <c r="W8" s="244">
        <v>0</v>
      </c>
      <c r="X8" s="244">
        <v>0</v>
      </c>
      <c r="Y8" s="244">
        <v>0</v>
      </c>
      <c r="Z8" s="244">
        <v>0</v>
      </c>
      <c r="AA8" s="87" t="s">
        <v>1649</v>
      </c>
      <c r="AB8" s="87" t="s">
        <v>1648</v>
      </c>
      <c r="AC8" s="244">
        <v>3</v>
      </c>
      <c r="AD8" s="87" t="s">
        <v>1649</v>
      </c>
      <c r="AE8" s="244">
        <v>527</v>
      </c>
      <c r="AF8" s="87" t="s">
        <v>1651</v>
      </c>
      <c r="AG8" s="87" t="s">
        <v>1648</v>
      </c>
      <c r="AH8" s="87" t="s">
        <v>1648</v>
      </c>
      <c r="AI8" s="87" t="s">
        <v>1649</v>
      </c>
      <c r="AJ8" s="87" t="s">
        <v>1649</v>
      </c>
    </row>
    <row r="9" spans="1:36" ht="13.5" thickBot="1" x14ac:dyDescent="0.25">
      <c r="A9" s="48" t="s">
        <v>90</v>
      </c>
      <c r="B9" s="347" t="s">
        <v>89</v>
      </c>
      <c r="C9" s="48" t="s">
        <v>3059</v>
      </c>
      <c r="D9" s="48" t="s">
        <v>34</v>
      </c>
      <c r="E9" s="48" t="s">
        <v>1949</v>
      </c>
      <c r="F9" s="87" t="s">
        <v>1648</v>
      </c>
      <c r="G9" s="87" t="s">
        <v>1648</v>
      </c>
      <c r="H9" s="244">
        <v>40</v>
      </c>
      <c r="I9" s="87" t="s">
        <v>1648</v>
      </c>
      <c r="J9" s="244">
        <v>324</v>
      </c>
      <c r="K9" s="87" t="s">
        <v>1649</v>
      </c>
      <c r="L9" s="87" t="s">
        <v>1649</v>
      </c>
      <c r="M9" s="244">
        <v>0</v>
      </c>
      <c r="N9" s="87" t="s">
        <v>1648</v>
      </c>
      <c r="O9" s="87" t="s">
        <v>1649</v>
      </c>
      <c r="P9" s="87" t="s">
        <v>1648</v>
      </c>
      <c r="Q9" s="244">
        <v>0</v>
      </c>
      <c r="R9" s="244">
        <v>0</v>
      </c>
      <c r="S9" s="244">
        <v>4</v>
      </c>
      <c r="T9" s="244">
        <v>0</v>
      </c>
      <c r="U9" s="244">
        <v>3</v>
      </c>
      <c r="V9" s="244">
        <v>12</v>
      </c>
      <c r="W9" s="244">
        <v>0</v>
      </c>
      <c r="X9" s="244">
        <v>0</v>
      </c>
      <c r="Y9" s="244">
        <v>4</v>
      </c>
      <c r="Z9" s="244">
        <v>145</v>
      </c>
      <c r="AA9" s="87" t="s">
        <v>1648</v>
      </c>
      <c r="AB9" s="87" t="s">
        <v>1648</v>
      </c>
      <c r="AC9" s="244">
        <v>9</v>
      </c>
      <c r="AD9" s="87" t="s">
        <v>1648</v>
      </c>
      <c r="AE9" s="244">
        <v>4725</v>
      </c>
      <c r="AF9" s="87" t="s">
        <v>1650</v>
      </c>
      <c r="AG9" s="87" t="s">
        <v>1648</v>
      </c>
      <c r="AH9" s="87" t="s">
        <v>1648</v>
      </c>
      <c r="AI9" s="87" t="s">
        <v>1649</v>
      </c>
      <c r="AJ9" s="87" t="s">
        <v>1648</v>
      </c>
    </row>
    <row r="10" spans="1:36" ht="13.5" thickBot="1" x14ac:dyDescent="0.25">
      <c r="A10" s="48" t="s">
        <v>92</v>
      </c>
      <c r="B10" s="347" t="s">
        <v>91</v>
      </c>
      <c r="C10" s="48" t="s">
        <v>3059</v>
      </c>
      <c r="D10" s="48" t="s">
        <v>34</v>
      </c>
      <c r="E10" s="48" t="s">
        <v>2066</v>
      </c>
      <c r="F10" s="87" t="s">
        <v>1648</v>
      </c>
      <c r="G10" s="87" t="s">
        <v>1648</v>
      </c>
      <c r="H10" s="244">
        <v>36</v>
      </c>
      <c r="I10" s="87" t="s">
        <v>1649</v>
      </c>
      <c r="J10" s="244">
        <v>0</v>
      </c>
      <c r="K10" s="87" t="s">
        <v>1649</v>
      </c>
      <c r="L10" s="87" t="s">
        <v>1649</v>
      </c>
      <c r="M10" s="244">
        <v>0</v>
      </c>
      <c r="N10" s="87" t="s">
        <v>1648</v>
      </c>
      <c r="O10" s="87" t="s">
        <v>1649</v>
      </c>
      <c r="P10" s="87" t="s">
        <v>1648</v>
      </c>
      <c r="Q10" s="244">
        <v>0</v>
      </c>
      <c r="R10" s="244">
        <v>0</v>
      </c>
      <c r="S10" s="244">
        <v>0</v>
      </c>
      <c r="T10" s="244">
        <v>0</v>
      </c>
      <c r="U10" s="244">
        <v>0</v>
      </c>
      <c r="V10" s="244">
        <v>0</v>
      </c>
      <c r="W10" s="244">
        <v>0</v>
      </c>
      <c r="X10" s="244">
        <v>0</v>
      </c>
      <c r="Y10" s="244">
        <v>6</v>
      </c>
      <c r="Z10" s="244">
        <v>290</v>
      </c>
      <c r="AA10" s="87" t="s">
        <v>1648</v>
      </c>
      <c r="AB10" s="87" t="s">
        <v>1649</v>
      </c>
      <c r="AC10" s="244">
        <v>0</v>
      </c>
      <c r="AD10" s="87" t="s">
        <v>1648</v>
      </c>
      <c r="AE10" s="244">
        <v>1895</v>
      </c>
      <c r="AF10" s="87" t="s">
        <v>1651</v>
      </c>
      <c r="AG10" s="87" t="s">
        <v>1648</v>
      </c>
      <c r="AH10" s="87" t="s">
        <v>1648</v>
      </c>
      <c r="AI10" s="87" t="s">
        <v>1649</v>
      </c>
      <c r="AJ10" s="87" t="s">
        <v>1648</v>
      </c>
    </row>
    <row r="11" spans="1:36" ht="13.5" thickBot="1" x14ac:dyDescent="0.25">
      <c r="A11" s="48" t="s">
        <v>100</v>
      </c>
      <c r="B11" s="347" t="s">
        <v>99</v>
      </c>
      <c r="C11" s="48" t="s">
        <v>3059</v>
      </c>
      <c r="D11" s="48" t="s">
        <v>34</v>
      </c>
      <c r="E11" s="48" t="s">
        <v>1949</v>
      </c>
      <c r="F11" s="87" t="s">
        <v>1648</v>
      </c>
      <c r="G11" s="87" t="s">
        <v>1648</v>
      </c>
      <c r="H11" s="244">
        <v>48</v>
      </c>
      <c r="I11" s="87" t="s">
        <v>1648</v>
      </c>
      <c r="J11" s="244">
        <v>280</v>
      </c>
      <c r="K11" s="87" t="s">
        <v>1649</v>
      </c>
      <c r="L11" s="87" t="s">
        <v>1649</v>
      </c>
      <c r="M11" s="244">
        <v>0</v>
      </c>
      <c r="N11" s="87" t="s">
        <v>1649</v>
      </c>
      <c r="O11" s="87" t="s">
        <v>1649</v>
      </c>
      <c r="P11" s="87" t="s">
        <v>1648</v>
      </c>
      <c r="Q11" s="244">
        <v>0</v>
      </c>
      <c r="R11" s="244">
        <v>0</v>
      </c>
      <c r="S11" s="244">
        <v>0</v>
      </c>
      <c r="T11" s="244">
        <v>0</v>
      </c>
      <c r="U11" s="244">
        <v>0</v>
      </c>
      <c r="V11" s="244">
        <v>0</v>
      </c>
      <c r="W11" s="244">
        <v>0</v>
      </c>
      <c r="X11" s="244">
        <v>0</v>
      </c>
      <c r="Y11" s="244">
        <v>21</v>
      </c>
      <c r="Z11" s="244">
        <v>600</v>
      </c>
      <c r="AA11" s="87" t="s">
        <v>1648</v>
      </c>
      <c r="AB11" s="87" t="s">
        <v>1649</v>
      </c>
      <c r="AC11" s="244">
        <v>0</v>
      </c>
      <c r="AD11" s="87" t="s">
        <v>1648</v>
      </c>
      <c r="AE11" s="244">
        <v>684</v>
      </c>
      <c r="AF11" s="87" t="s">
        <v>1650</v>
      </c>
      <c r="AG11" s="87" t="s">
        <v>1648</v>
      </c>
      <c r="AH11" s="87" t="s">
        <v>1648</v>
      </c>
      <c r="AI11" s="87" t="s">
        <v>1649</v>
      </c>
      <c r="AJ11" s="87" t="s">
        <v>1649</v>
      </c>
    </row>
    <row r="12" spans="1:36" ht="13.5" thickBot="1" x14ac:dyDescent="0.25">
      <c r="A12" s="48" t="s">
        <v>132</v>
      </c>
      <c r="B12" s="347" t="s">
        <v>131</v>
      </c>
      <c r="C12" s="48" t="s">
        <v>3061</v>
      </c>
      <c r="D12" s="48" t="s">
        <v>34</v>
      </c>
      <c r="E12" s="48" t="s">
        <v>1919</v>
      </c>
      <c r="F12" s="87" t="s">
        <v>1648</v>
      </c>
      <c r="G12" s="87" t="s">
        <v>1649</v>
      </c>
      <c r="H12" s="244">
        <v>28</v>
      </c>
      <c r="I12" s="87" t="s">
        <v>1648</v>
      </c>
      <c r="J12" s="244">
        <v>354</v>
      </c>
      <c r="K12" s="87" t="s">
        <v>1649</v>
      </c>
      <c r="L12" s="87" t="s">
        <v>1649</v>
      </c>
      <c r="M12" s="244">
        <v>0</v>
      </c>
      <c r="N12" s="87" t="s">
        <v>1649</v>
      </c>
      <c r="O12" s="87" t="s">
        <v>1648</v>
      </c>
      <c r="P12" s="87" t="s">
        <v>1648</v>
      </c>
      <c r="Q12" s="244">
        <v>4</v>
      </c>
      <c r="R12" s="244">
        <v>12</v>
      </c>
      <c r="S12" s="244">
        <v>0</v>
      </c>
      <c r="T12" s="244">
        <v>0</v>
      </c>
      <c r="U12" s="244">
        <v>0</v>
      </c>
      <c r="V12" s="244">
        <v>0</v>
      </c>
      <c r="W12" s="244">
        <v>0</v>
      </c>
      <c r="X12" s="244">
        <v>0</v>
      </c>
      <c r="Y12" s="244">
        <v>4</v>
      </c>
      <c r="Z12" s="244">
        <v>0</v>
      </c>
      <c r="AA12" s="87" t="s">
        <v>1649</v>
      </c>
      <c r="AB12" s="87" t="s">
        <v>1649</v>
      </c>
      <c r="AC12" s="244">
        <v>0</v>
      </c>
      <c r="AD12" s="87" t="s">
        <v>1648</v>
      </c>
      <c r="AE12" s="244">
        <v>45</v>
      </c>
      <c r="AF12" s="87" t="s">
        <v>1650</v>
      </c>
      <c r="AG12" s="87" t="s">
        <v>1648</v>
      </c>
      <c r="AH12" s="87" t="s">
        <v>1649</v>
      </c>
      <c r="AI12" s="87" t="s">
        <v>1649</v>
      </c>
      <c r="AJ12" s="87" t="s">
        <v>1649</v>
      </c>
    </row>
    <row r="13" spans="1:36" ht="13.5" thickBot="1" x14ac:dyDescent="0.25">
      <c r="A13" s="48" t="s">
        <v>146</v>
      </c>
      <c r="B13" s="347" t="s">
        <v>145</v>
      </c>
      <c r="C13" s="48" t="s">
        <v>3053</v>
      </c>
      <c r="D13" s="48" t="s">
        <v>34</v>
      </c>
      <c r="E13" s="48" t="s">
        <v>1919</v>
      </c>
      <c r="F13" s="87" t="s">
        <v>1648</v>
      </c>
      <c r="G13" s="87" t="s">
        <v>1648</v>
      </c>
      <c r="H13" s="244">
        <v>34</v>
      </c>
      <c r="I13" s="87" t="s">
        <v>1648</v>
      </c>
      <c r="J13" s="244">
        <v>32</v>
      </c>
      <c r="K13" s="87" t="s">
        <v>1649</v>
      </c>
      <c r="L13" s="87" t="s">
        <v>1649</v>
      </c>
      <c r="M13" s="244">
        <v>0</v>
      </c>
      <c r="N13" s="87" t="s">
        <v>1649</v>
      </c>
      <c r="O13" s="87" t="s">
        <v>1649</v>
      </c>
      <c r="P13" s="87" t="s">
        <v>1649</v>
      </c>
      <c r="Q13" s="244">
        <v>0</v>
      </c>
      <c r="R13" s="244">
        <v>0</v>
      </c>
      <c r="S13" s="244">
        <v>0</v>
      </c>
      <c r="T13" s="244">
        <v>0</v>
      </c>
      <c r="U13" s="244">
        <v>0</v>
      </c>
      <c r="V13" s="244">
        <v>0</v>
      </c>
      <c r="W13" s="244">
        <v>0</v>
      </c>
      <c r="X13" s="244">
        <v>0</v>
      </c>
      <c r="Y13" s="244">
        <v>0</v>
      </c>
      <c r="Z13" s="244">
        <v>0</v>
      </c>
      <c r="AA13" s="87" t="s">
        <v>1648</v>
      </c>
      <c r="AB13" s="87" t="s">
        <v>1649</v>
      </c>
      <c r="AC13" s="244">
        <v>0</v>
      </c>
      <c r="AD13" s="87" t="s">
        <v>1648</v>
      </c>
      <c r="AE13" s="244">
        <v>78</v>
      </c>
      <c r="AF13" s="87" t="s">
        <v>1651</v>
      </c>
      <c r="AG13" s="87" t="s">
        <v>1648</v>
      </c>
      <c r="AH13" s="87" t="s">
        <v>1648</v>
      </c>
      <c r="AI13" s="87" t="s">
        <v>1649</v>
      </c>
      <c r="AJ13" s="87" t="s">
        <v>1649</v>
      </c>
    </row>
    <row r="14" spans="1:36" ht="13.5" thickBot="1" x14ac:dyDescent="0.25">
      <c r="A14" s="48" t="s">
        <v>156</v>
      </c>
      <c r="B14" s="347" t="s">
        <v>155</v>
      </c>
      <c r="C14" s="48" t="s">
        <v>3059</v>
      </c>
      <c r="D14" s="48" t="s">
        <v>34</v>
      </c>
      <c r="E14" s="48" t="s">
        <v>1949</v>
      </c>
      <c r="F14" s="257" t="s">
        <v>1648</v>
      </c>
      <c r="G14" s="87" t="s">
        <v>1649</v>
      </c>
      <c r="H14" s="244">
        <v>0</v>
      </c>
      <c r="I14" s="87" t="s">
        <v>1649</v>
      </c>
      <c r="J14" s="244">
        <v>0</v>
      </c>
      <c r="K14" s="87" t="s">
        <v>1649</v>
      </c>
      <c r="L14" s="87" t="s">
        <v>1649</v>
      </c>
      <c r="M14" s="244">
        <v>0</v>
      </c>
      <c r="N14" s="87" t="s">
        <v>1649</v>
      </c>
      <c r="O14" s="87" t="s">
        <v>1649</v>
      </c>
      <c r="P14" s="87" t="s">
        <v>1649</v>
      </c>
      <c r="Q14" s="244">
        <v>0</v>
      </c>
      <c r="R14" s="244">
        <v>0</v>
      </c>
      <c r="S14" s="244">
        <v>0</v>
      </c>
      <c r="T14" s="244">
        <v>0</v>
      </c>
      <c r="U14" s="244">
        <v>0</v>
      </c>
      <c r="V14" s="244">
        <v>0</v>
      </c>
      <c r="W14" s="244">
        <v>0</v>
      </c>
      <c r="X14" s="244">
        <v>0</v>
      </c>
      <c r="Y14" s="244">
        <v>0</v>
      </c>
      <c r="Z14" s="244">
        <v>0</v>
      </c>
      <c r="AA14" s="87" t="s">
        <v>1649</v>
      </c>
      <c r="AB14" s="87" t="s">
        <v>1649</v>
      </c>
      <c r="AC14" s="244">
        <v>0</v>
      </c>
      <c r="AD14" s="87" t="s">
        <v>1649</v>
      </c>
      <c r="AE14" s="244">
        <v>1527</v>
      </c>
      <c r="AF14" s="87" t="s">
        <v>1650</v>
      </c>
      <c r="AG14" s="87" t="s">
        <v>1649</v>
      </c>
      <c r="AH14" s="87" t="s">
        <v>1649</v>
      </c>
      <c r="AI14" s="87" t="s">
        <v>1649</v>
      </c>
      <c r="AJ14" s="87" t="s">
        <v>1649</v>
      </c>
    </row>
    <row r="15" spans="1:36" ht="13.5" thickBot="1" x14ac:dyDescent="0.25">
      <c r="A15" s="48" t="s">
        <v>164</v>
      </c>
      <c r="B15" s="347" t="s">
        <v>163</v>
      </c>
      <c r="C15" s="48" t="s">
        <v>3059</v>
      </c>
      <c r="D15" s="48" t="s">
        <v>34</v>
      </c>
      <c r="E15" s="48" t="s">
        <v>1919</v>
      </c>
      <c r="F15" s="87" t="s">
        <v>1648</v>
      </c>
      <c r="G15" s="87" t="s">
        <v>1648</v>
      </c>
      <c r="H15" s="244">
        <v>54</v>
      </c>
      <c r="I15" s="87" t="s">
        <v>1648</v>
      </c>
      <c r="J15" s="244">
        <v>297</v>
      </c>
      <c r="K15" s="87" t="s">
        <v>1649</v>
      </c>
      <c r="L15" s="87" t="s">
        <v>1649</v>
      </c>
      <c r="M15" s="244">
        <v>0</v>
      </c>
      <c r="N15" s="87" t="s">
        <v>1649</v>
      </c>
      <c r="O15" s="87" t="s">
        <v>1649</v>
      </c>
      <c r="P15" s="87" t="s">
        <v>1648</v>
      </c>
      <c r="Q15" s="244">
        <v>8</v>
      </c>
      <c r="R15" s="244">
        <v>0</v>
      </c>
      <c r="S15" s="244">
        <v>0</v>
      </c>
      <c r="T15" s="244">
        <v>0</v>
      </c>
      <c r="U15" s="244">
        <v>0</v>
      </c>
      <c r="V15" s="244">
        <v>0</v>
      </c>
      <c r="W15" s="244">
        <v>0</v>
      </c>
      <c r="X15" s="244">
        <v>0</v>
      </c>
      <c r="Y15" s="244">
        <v>8</v>
      </c>
      <c r="Z15" s="244">
        <v>0</v>
      </c>
      <c r="AA15" s="87" t="s">
        <v>1648</v>
      </c>
      <c r="AB15" s="87" t="s">
        <v>1649</v>
      </c>
      <c r="AC15" s="87" t="s">
        <v>1660</v>
      </c>
      <c r="AD15" s="87" t="s">
        <v>1648</v>
      </c>
      <c r="AE15" s="244">
        <v>518</v>
      </c>
      <c r="AF15" s="87" t="s">
        <v>1650</v>
      </c>
      <c r="AG15" s="87" t="s">
        <v>1648</v>
      </c>
      <c r="AH15" s="87" t="s">
        <v>1648</v>
      </c>
      <c r="AI15" s="87" t="s">
        <v>1649</v>
      </c>
      <c r="AJ15" s="87" t="s">
        <v>1649</v>
      </c>
    </row>
    <row r="16" spans="1:36" ht="13.5" thickBot="1" x14ac:dyDescent="0.25">
      <c r="A16" s="48" t="s">
        <v>176</v>
      </c>
      <c r="B16" s="347" t="s">
        <v>175</v>
      </c>
      <c r="C16" s="48" t="s">
        <v>3061</v>
      </c>
      <c r="D16" s="48" t="s">
        <v>34</v>
      </c>
      <c r="E16" s="48" t="s">
        <v>1919</v>
      </c>
      <c r="F16" s="87" t="s">
        <v>1648</v>
      </c>
      <c r="G16" s="87" t="s">
        <v>1648</v>
      </c>
      <c r="H16" s="244">
        <v>423</v>
      </c>
      <c r="I16" s="87" t="s">
        <v>1648</v>
      </c>
      <c r="J16" s="244">
        <v>435</v>
      </c>
      <c r="K16" s="87" t="s">
        <v>1649</v>
      </c>
      <c r="L16" s="87" t="s">
        <v>1649</v>
      </c>
      <c r="M16" s="244">
        <v>0</v>
      </c>
      <c r="N16" s="87" t="s">
        <v>1648</v>
      </c>
      <c r="O16" s="87" t="s">
        <v>1648</v>
      </c>
      <c r="P16" s="87" t="s">
        <v>1648</v>
      </c>
      <c r="Q16" s="244">
        <v>12</v>
      </c>
      <c r="R16" s="244">
        <v>104</v>
      </c>
      <c r="S16" s="244">
        <v>0</v>
      </c>
      <c r="T16" s="244">
        <v>0</v>
      </c>
      <c r="U16" s="244">
        <v>5</v>
      </c>
      <c r="V16" s="244">
        <v>14</v>
      </c>
      <c r="W16" s="244">
        <v>0</v>
      </c>
      <c r="X16" s="244">
        <v>0</v>
      </c>
      <c r="Y16" s="244">
        <v>25</v>
      </c>
      <c r="Z16" s="244">
        <v>1070</v>
      </c>
      <c r="AA16" s="87" t="s">
        <v>1648</v>
      </c>
      <c r="AB16" s="87" t="s">
        <v>1648</v>
      </c>
      <c r="AC16" s="87" t="s">
        <v>1660</v>
      </c>
      <c r="AD16" s="87" t="s">
        <v>1648</v>
      </c>
      <c r="AE16" s="244">
        <v>2500</v>
      </c>
      <c r="AF16" s="87" t="s">
        <v>1650</v>
      </c>
      <c r="AG16" s="87" t="s">
        <v>1648</v>
      </c>
      <c r="AH16" s="87" t="s">
        <v>1648</v>
      </c>
      <c r="AI16" s="87" t="s">
        <v>1649</v>
      </c>
      <c r="AJ16" s="87" t="s">
        <v>1649</v>
      </c>
    </row>
    <row r="17" spans="1:36" ht="13.5" thickBot="1" x14ac:dyDescent="0.25">
      <c r="A17" s="48" t="s">
        <v>184</v>
      </c>
      <c r="B17" s="347" t="s">
        <v>183</v>
      </c>
      <c r="C17" s="48" t="s">
        <v>3061</v>
      </c>
      <c r="D17" s="48" t="s">
        <v>34</v>
      </c>
      <c r="E17" s="48" t="s">
        <v>1919</v>
      </c>
      <c r="F17" s="87" t="s">
        <v>1648</v>
      </c>
      <c r="G17" s="87" t="s">
        <v>1648</v>
      </c>
      <c r="H17" s="244">
        <v>1</v>
      </c>
      <c r="I17" s="87" t="s">
        <v>1649</v>
      </c>
      <c r="J17" s="244">
        <v>0</v>
      </c>
      <c r="K17" s="87" t="s">
        <v>1649</v>
      </c>
      <c r="L17" s="87" t="s">
        <v>1649</v>
      </c>
      <c r="M17" s="244">
        <v>0</v>
      </c>
      <c r="N17" s="87" t="s">
        <v>1648</v>
      </c>
      <c r="O17" s="87" t="s">
        <v>1648</v>
      </c>
      <c r="P17" s="87" t="s">
        <v>1648</v>
      </c>
      <c r="Q17" s="244">
        <v>3</v>
      </c>
      <c r="R17" s="244">
        <v>50</v>
      </c>
      <c r="S17" s="244">
        <v>0</v>
      </c>
      <c r="T17" s="244">
        <v>0</v>
      </c>
      <c r="U17" s="244">
        <v>0</v>
      </c>
      <c r="V17" s="244">
        <v>0</v>
      </c>
      <c r="W17" s="244">
        <v>0</v>
      </c>
      <c r="X17" s="244">
        <v>0</v>
      </c>
      <c r="Y17" s="244">
        <v>0</v>
      </c>
      <c r="Z17" s="244">
        <v>0</v>
      </c>
      <c r="AA17" s="87" t="s">
        <v>1649</v>
      </c>
      <c r="AB17" s="87" t="s">
        <v>1649</v>
      </c>
      <c r="AC17" s="244">
        <v>0</v>
      </c>
      <c r="AD17" s="87" t="s">
        <v>1648</v>
      </c>
      <c r="AE17" s="244">
        <v>2000</v>
      </c>
      <c r="AF17" s="87" t="s">
        <v>1650</v>
      </c>
      <c r="AG17" s="87" t="s">
        <v>1648</v>
      </c>
      <c r="AH17" s="87" t="s">
        <v>1648</v>
      </c>
      <c r="AI17" s="87" t="s">
        <v>1649</v>
      </c>
      <c r="AJ17" s="87" t="s">
        <v>1649</v>
      </c>
    </row>
    <row r="18" spans="1:36" ht="13.5" thickBot="1" x14ac:dyDescent="0.25">
      <c r="A18" s="48" t="s">
        <v>186</v>
      </c>
      <c r="B18" s="347" t="s">
        <v>185</v>
      </c>
      <c r="C18" s="48" t="s">
        <v>3058</v>
      </c>
      <c r="D18" s="48" t="s">
        <v>34</v>
      </c>
      <c r="E18" s="48" t="s">
        <v>1919</v>
      </c>
      <c r="F18" s="87" t="s">
        <v>1648</v>
      </c>
      <c r="G18" s="87" t="s">
        <v>1648</v>
      </c>
      <c r="H18" s="244">
        <v>494</v>
      </c>
      <c r="I18" s="87" t="s">
        <v>1648</v>
      </c>
      <c r="J18" s="244">
        <v>164</v>
      </c>
      <c r="K18" s="87" t="s">
        <v>1649</v>
      </c>
      <c r="L18" s="87" t="s">
        <v>1649</v>
      </c>
      <c r="M18" s="244">
        <v>0</v>
      </c>
      <c r="N18" s="87" t="s">
        <v>1649</v>
      </c>
      <c r="O18" s="87" t="s">
        <v>1649</v>
      </c>
      <c r="P18" s="87" t="s">
        <v>1649</v>
      </c>
      <c r="Q18" s="244">
        <v>0</v>
      </c>
      <c r="R18" s="244">
        <v>0</v>
      </c>
      <c r="S18" s="244">
        <v>0</v>
      </c>
      <c r="T18" s="244">
        <v>0</v>
      </c>
      <c r="U18" s="244">
        <v>0</v>
      </c>
      <c r="V18" s="244">
        <v>0</v>
      </c>
      <c r="W18" s="244">
        <v>0</v>
      </c>
      <c r="X18" s="244">
        <v>0</v>
      </c>
      <c r="Y18" s="244">
        <v>0</v>
      </c>
      <c r="Z18" s="244">
        <v>0</v>
      </c>
      <c r="AA18" s="87" t="s">
        <v>1648</v>
      </c>
      <c r="AB18" s="87" t="s">
        <v>1648</v>
      </c>
      <c r="AC18" s="244">
        <v>99</v>
      </c>
      <c r="AD18" s="87" t="s">
        <v>1648</v>
      </c>
      <c r="AE18" s="244">
        <v>200</v>
      </c>
      <c r="AF18" s="87" t="s">
        <v>1651</v>
      </c>
      <c r="AG18" s="87" t="s">
        <v>1648</v>
      </c>
      <c r="AH18" s="87" t="s">
        <v>1649</v>
      </c>
      <c r="AI18" s="87" t="s">
        <v>1649</v>
      </c>
      <c r="AJ18" s="87" t="s">
        <v>1649</v>
      </c>
    </row>
    <row r="19" spans="1:36" ht="13.5" thickBot="1" x14ac:dyDescent="0.25">
      <c r="A19" s="48" t="s">
        <v>202</v>
      </c>
      <c r="B19" s="347" t="s">
        <v>201</v>
      </c>
      <c r="C19" s="48" t="s">
        <v>3077</v>
      </c>
      <c r="D19" s="48" t="s">
        <v>34</v>
      </c>
      <c r="E19" s="48" t="s">
        <v>1949</v>
      </c>
      <c r="F19" s="87" t="s">
        <v>1648</v>
      </c>
      <c r="G19" s="87" t="s">
        <v>1648</v>
      </c>
      <c r="H19" s="244">
        <v>8</v>
      </c>
      <c r="I19" s="87" t="s">
        <v>1649</v>
      </c>
      <c r="J19" s="244">
        <v>0</v>
      </c>
      <c r="K19" s="87" t="s">
        <v>1649</v>
      </c>
      <c r="L19" s="87" t="s">
        <v>1649</v>
      </c>
      <c r="M19" s="87" t="s">
        <v>1660</v>
      </c>
      <c r="N19" s="87" t="s">
        <v>1648</v>
      </c>
      <c r="O19" s="87" t="s">
        <v>1649</v>
      </c>
      <c r="P19" s="87" t="s">
        <v>1649</v>
      </c>
      <c r="Q19" s="244">
        <v>0</v>
      </c>
      <c r="R19" s="244">
        <v>0</v>
      </c>
      <c r="S19" s="244">
        <v>0</v>
      </c>
      <c r="T19" s="244">
        <v>0</v>
      </c>
      <c r="U19" s="244">
        <v>0</v>
      </c>
      <c r="V19" s="244">
        <v>0</v>
      </c>
      <c r="W19" s="244">
        <v>0</v>
      </c>
      <c r="X19" s="244">
        <v>0</v>
      </c>
      <c r="Y19" s="244">
        <v>0</v>
      </c>
      <c r="Z19" s="244">
        <v>0</v>
      </c>
      <c r="AA19" s="87" t="s">
        <v>1648</v>
      </c>
      <c r="AB19" s="87" t="s">
        <v>1649</v>
      </c>
      <c r="AC19" s="244">
        <v>0</v>
      </c>
      <c r="AD19" s="87" t="s">
        <v>1649</v>
      </c>
      <c r="AE19" s="244">
        <v>1248</v>
      </c>
      <c r="AF19" s="87" t="s">
        <v>1650</v>
      </c>
      <c r="AG19" s="87" t="s">
        <v>1648</v>
      </c>
      <c r="AH19" s="87" t="s">
        <v>1648</v>
      </c>
      <c r="AI19" s="87" t="s">
        <v>1649</v>
      </c>
      <c r="AJ19" s="87" t="s">
        <v>1649</v>
      </c>
    </row>
    <row r="20" spans="1:36" ht="13.5" thickBot="1" x14ac:dyDescent="0.25">
      <c r="A20" s="48" t="s">
        <v>204</v>
      </c>
      <c r="B20" s="347" t="s">
        <v>203</v>
      </c>
      <c r="C20" s="48" t="s">
        <v>3074</v>
      </c>
      <c r="D20" s="48" t="s">
        <v>34</v>
      </c>
      <c r="E20" s="48" t="s">
        <v>1919</v>
      </c>
      <c r="F20" s="87" t="s">
        <v>1648</v>
      </c>
      <c r="G20" s="87" t="s">
        <v>1648</v>
      </c>
      <c r="H20" s="244">
        <v>385</v>
      </c>
      <c r="I20" s="87" t="s">
        <v>1649</v>
      </c>
      <c r="J20" s="244">
        <v>0</v>
      </c>
      <c r="K20" s="87" t="s">
        <v>1649</v>
      </c>
      <c r="L20" s="87" t="s">
        <v>1649</v>
      </c>
      <c r="M20" s="244">
        <v>0</v>
      </c>
      <c r="N20" s="87" t="s">
        <v>1649</v>
      </c>
      <c r="O20" s="87" t="s">
        <v>1648</v>
      </c>
      <c r="P20" s="87" t="s">
        <v>1648</v>
      </c>
      <c r="Q20" s="244">
        <v>62</v>
      </c>
      <c r="R20" s="244">
        <v>60</v>
      </c>
      <c r="S20" s="244">
        <v>0</v>
      </c>
      <c r="T20" s="244">
        <v>0</v>
      </c>
      <c r="U20" s="244">
        <v>3</v>
      </c>
      <c r="V20" s="244">
        <v>15</v>
      </c>
      <c r="W20" s="244">
        <v>0</v>
      </c>
      <c r="X20" s="244">
        <v>0</v>
      </c>
      <c r="Y20" s="244">
        <v>65</v>
      </c>
      <c r="Z20" s="244">
        <v>75</v>
      </c>
      <c r="AA20" s="87" t="s">
        <v>1648</v>
      </c>
      <c r="AB20" s="87" t="s">
        <v>1648</v>
      </c>
      <c r="AC20" s="244">
        <v>4</v>
      </c>
      <c r="AD20" s="87" t="s">
        <v>1648</v>
      </c>
      <c r="AE20" s="244">
        <v>963</v>
      </c>
      <c r="AF20" s="87" t="s">
        <v>1651</v>
      </c>
      <c r="AG20" s="87" t="s">
        <v>1648</v>
      </c>
      <c r="AH20" s="87" t="s">
        <v>1648</v>
      </c>
      <c r="AI20" s="87" t="s">
        <v>1649</v>
      </c>
      <c r="AJ20" s="87" t="s">
        <v>1648</v>
      </c>
    </row>
    <row r="21" spans="1:36" ht="13.5" thickBot="1" x14ac:dyDescent="0.25">
      <c r="A21" s="48" t="s">
        <v>206</v>
      </c>
      <c r="B21" s="347" t="s">
        <v>205</v>
      </c>
      <c r="C21" s="48" t="s">
        <v>3053</v>
      </c>
      <c r="D21" s="48" t="s">
        <v>34</v>
      </c>
      <c r="E21" s="48" t="s">
        <v>1949</v>
      </c>
      <c r="F21" s="87" t="s">
        <v>1648</v>
      </c>
      <c r="G21" s="87" t="s">
        <v>1648</v>
      </c>
      <c r="H21" s="244">
        <v>150</v>
      </c>
      <c r="I21" s="87" t="s">
        <v>1649</v>
      </c>
      <c r="J21" s="244">
        <v>1000</v>
      </c>
      <c r="K21" s="87" t="s">
        <v>1649</v>
      </c>
      <c r="L21" s="87" t="s">
        <v>1649</v>
      </c>
      <c r="M21" s="244">
        <v>0</v>
      </c>
      <c r="N21" s="87" t="s">
        <v>1648</v>
      </c>
      <c r="O21" s="87" t="s">
        <v>1648</v>
      </c>
      <c r="P21" s="87" t="s">
        <v>1648</v>
      </c>
      <c r="Q21" s="244">
        <v>1</v>
      </c>
      <c r="R21" s="244">
        <v>14</v>
      </c>
      <c r="S21" s="244">
        <v>4</v>
      </c>
      <c r="T21" s="244">
        <v>16</v>
      </c>
      <c r="U21" s="244">
        <v>6</v>
      </c>
      <c r="V21" s="244">
        <v>60</v>
      </c>
      <c r="W21" s="244">
        <v>11</v>
      </c>
      <c r="X21" s="244">
        <v>90</v>
      </c>
      <c r="Y21" s="244">
        <v>3</v>
      </c>
      <c r="Z21" s="244">
        <v>44</v>
      </c>
      <c r="AA21" s="87" t="s">
        <v>1648</v>
      </c>
      <c r="AB21" s="87" t="s">
        <v>1648</v>
      </c>
      <c r="AC21" s="244">
        <v>0</v>
      </c>
      <c r="AD21" s="87" t="s">
        <v>1648</v>
      </c>
      <c r="AE21" s="244">
        <v>930</v>
      </c>
      <c r="AF21" s="87" t="s">
        <v>1651</v>
      </c>
      <c r="AG21" s="87" t="s">
        <v>1648</v>
      </c>
      <c r="AH21" s="87" t="s">
        <v>1649</v>
      </c>
      <c r="AI21" s="87" t="s">
        <v>1649</v>
      </c>
      <c r="AJ21" s="87" t="s">
        <v>1648</v>
      </c>
    </row>
    <row r="22" spans="1:36" ht="13.5" thickBot="1" x14ac:dyDescent="0.25">
      <c r="A22" s="48" t="s">
        <v>208</v>
      </c>
      <c r="B22" s="347" t="s">
        <v>207</v>
      </c>
      <c r="C22" s="48" t="s">
        <v>3053</v>
      </c>
      <c r="D22" s="48" t="s">
        <v>34</v>
      </c>
      <c r="E22" s="48" t="s">
        <v>1919</v>
      </c>
      <c r="F22" s="87" t="s">
        <v>1648</v>
      </c>
      <c r="G22" s="87" t="s">
        <v>1648</v>
      </c>
      <c r="H22" s="244">
        <v>405</v>
      </c>
      <c r="I22" s="87" t="s">
        <v>1649</v>
      </c>
      <c r="J22" s="244">
        <v>6</v>
      </c>
      <c r="K22" s="87" t="s">
        <v>1649</v>
      </c>
      <c r="L22" s="87" t="s">
        <v>1648</v>
      </c>
      <c r="M22" s="244">
        <v>4448</v>
      </c>
      <c r="N22" s="87" t="s">
        <v>1648</v>
      </c>
      <c r="O22" s="87" t="s">
        <v>1649</v>
      </c>
      <c r="P22" s="87" t="s">
        <v>1649</v>
      </c>
      <c r="Q22" s="244">
        <v>0</v>
      </c>
      <c r="R22" s="244">
        <v>0</v>
      </c>
      <c r="S22" s="244">
        <v>0</v>
      </c>
      <c r="T22" s="244">
        <v>0</v>
      </c>
      <c r="U22" s="244">
        <v>0</v>
      </c>
      <c r="V22" s="244">
        <v>0</v>
      </c>
      <c r="W22" s="244">
        <v>0</v>
      </c>
      <c r="X22" s="244">
        <v>0</v>
      </c>
      <c r="Y22" s="244">
        <v>0</v>
      </c>
      <c r="Z22" s="244">
        <v>0</v>
      </c>
      <c r="AA22" s="87" t="s">
        <v>1649</v>
      </c>
      <c r="AB22" s="87" t="s">
        <v>1649</v>
      </c>
      <c r="AC22" s="244">
        <v>0</v>
      </c>
      <c r="AD22" s="87" t="s">
        <v>1648</v>
      </c>
      <c r="AE22" s="244">
        <v>1743</v>
      </c>
      <c r="AF22" s="87" t="s">
        <v>1650</v>
      </c>
      <c r="AG22" s="87" t="s">
        <v>1648</v>
      </c>
      <c r="AH22" s="87" t="s">
        <v>1648</v>
      </c>
      <c r="AI22" s="87" t="s">
        <v>1649</v>
      </c>
      <c r="AJ22" s="87" t="s">
        <v>1649</v>
      </c>
    </row>
    <row r="23" spans="1:36" ht="13.5" thickBot="1" x14ac:dyDescent="0.25">
      <c r="A23" s="48" t="s">
        <v>210</v>
      </c>
      <c r="B23" s="347" t="s">
        <v>209</v>
      </c>
      <c r="C23" s="48" t="s">
        <v>3059</v>
      </c>
      <c r="D23" s="48" t="s">
        <v>34</v>
      </c>
      <c r="E23" s="48" t="s">
        <v>2066</v>
      </c>
      <c r="F23" s="87" t="s">
        <v>1648</v>
      </c>
      <c r="G23" s="87" t="s">
        <v>1648</v>
      </c>
      <c r="H23" s="244">
        <v>45</v>
      </c>
      <c r="I23" s="87" t="s">
        <v>1648</v>
      </c>
      <c r="J23" s="244">
        <v>761</v>
      </c>
      <c r="K23" s="87" t="s">
        <v>1649</v>
      </c>
      <c r="L23" s="87" t="s">
        <v>1648</v>
      </c>
      <c r="M23" s="244">
        <v>7000</v>
      </c>
      <c r="N23" s="87" t="s">
        <v>1648</v>
      </c>
      <c r="O23" s="87" t="s">
        <v>1649</v>
      </c>
      <c r="P23" s="87" t="s">
        <v>1649</v>
      </c>
      <c r="Q23" s="244">
        <v>0</v>
      </c>
      <c r="R23" s="244">
        <v>0</v>
      </c>
      <c r="S23" s="244">
        <v>0</v>
      </c>
      <c r="T23" s="244">
        <v>0</v>
      </c>
      <c r="U23" s="244">
        <v>0</v>
      </c>
      <c r="V23" s="244">
        <v>0</v>
      </c>
      <c r="W23" s="244">
        <v>0</v>
      </c>
      <c r="X23" s="244">
        <v>0</v>
      </c>
      <c r="Y23" s="244">
        <v>0</v>
      </c>
      <c r="Z23" s="244">
        <v>0</v>
      </c>
      <c r="AA23" s="87" t="s">
        <v>1648</v>
      </c>
      <c r="AB23" s="87" t="s">
        <v>1649</v>
      </c>
      <c r="AC23" s="244">
        <v>0</v>
      </c>
      <c r="AD23" s="87" t="s">
        <v>1649</v>
      </c>
      <c r="AE23" s="244">
        <v>2718</v>
      </c>
      <c r="AF23" s="87" t="s">
        <v>1651</v>
      </c>
      <c r="AG23" s="87" t="s">
        <v>1648</v>
      </c>
      <c r="AH23" s="87" t="s">
        <v>1649</v>
      </c>
      <c r="AI23" s="87" t="s">
        <v>1649</v>
      </c>
      <c r="AJ23" s="87" t="s">
        <v>1649</v>
      </c>
    </row>
    <row r="24" spans="1:36" ht="13.5" thickBot="1" x14ac:dyDescent="0.25">
      <c r="A24" s="48" t="s">
        <v>256</v>
      </c>
      <c r="B24" s="347" t="s">
        <v>255</v>
      </c>
      <c r="C24" s="48" t="s">
        <v>3058</v>
      </c>
      <c r="D24" s="48" t="s">
        <v>34</v>
      </c>
      <c r="E24" s="48" t="s">
        <v>1919</v>
      </c>
      <c r="F24" s="87" t="s">
        <v>1648</v>
      </c>
      <c r="G24" s="87" t="s">
        <v>1649</v>
      </c>
      <c r="H24" s="244">
        <v>0</v>
      </c>
      <c r="I24" s="87" t="s">
        <v>1649</v>
      </c>
      <c r="J24" s="244">
        <v>0</v>
      </c>
      <c r="K24" s="87" t="s">
        <v>1649</v>
      </c>
      <c r="L24" s="87" t="s">
        <v>1649</v>
      </c>
      <c r="M24" s="244">
        <v>0</v>
      </c>
      <c r="N24" s="87" t="s">
        <v>1649</v>
      </c>
      <c r="O24" s="87" t="s">
        <v>1649</v>
      </c>
      <c r="P24" s="87" t="s">
        <v>1649</v>
      </c>
      <c r="Q24" s="244">
        <v>0</v>
      </c>
      <c r="R24" s="244">
        <v>0</v>
      </c>
      <c r="S24" s="244">
        <v>0</v>
      </c>
      <c r="T24" s="244">
        <v>0</v>
      </c>
      <c r="U24" s="244">
        <v>0</v>
      </c>
      <c r="V24" s="244">
        <v>0</v>
      </c>
      <c r="W24" s="244">
        <v>0</v>
      </c>
      <c r="X24" s="244">
        <v>0</v>
      </c>
      <c r="Y24" s="244">
        <v>0</v>
      </c>
      <c r="Z24" s="244">
        <v>0</v>
      </c>
      <c r="AA24" s="87" t="s">
        <v>1649</v>
      </c>
      <c r="AB24" s="87" t="s">
        <v>1649</v>
      </c>
      <c r="AC24" s="244">
        <v>0</v>
      </c>
      <c r="AD24" s="87" t="s">
        <v>1649</v>
      </c>
      <c r="AE24" s="244">
        <v>50</v>
      </c>
      <c r="AF24" s="87" t="s">
        <v>1650</v>
      </c>
      <c r="AG24" s="87" t="s">
        <v>1649</v>
      </c>
      <c r="AH24" s="87" t="s">
        <v>1649</v>
      </c>
      <c r="AI24" s="87" t="s">
        <v>1649</v>
      </c>
      <c r="AJ24" s="87" t="s">
        <v>1649</v>
      </c>
    </row>
    <row r="25" spans="1:36" ht="13.5" thickBot="1" x14ac:dyDescent="0.25">
      <c r="A25" s="48" t="s">
        <v>258</v>
      </c>
      <c r="B25" s="347" t="s">
        <v>257</v>
      </c>
      <c r="C25" s="48" t="s">
        <v>3058</v>
      </c>
      <c r="D25" s="48" t="s">
        <v>34</v>
      </c>
      <c r="E25" s="48" t="s">
        <v>1949</v>
      </c>
      <c r="F25" s="87" t="s">
        <v>1648</v>
      </c>
      <c r="G25" s="87" t="s">
        <v>1649</v>
      </c>
      <c r="H25" s="244">
        <v>0</v>
      </c>
      <c r="I25" s="87" t="s">
        <v>1648</v>
      </c>
      <c r="J25" s="244">
        <v>252</v>
      </c>
      <c r="K25" s="87" t="s">
        <v>1649</v>
      </c>
      <c r="L25" s="87" t="s">
        <v>1648</v>
      </c>
      <c r="M25" s="244">
        <v>0</v>
      </c>
      <c r="N25" s="87" t="s">
        <v>1648</v>
      </c>
      <c r="O25" s="87" t="s">
        <v>1649</v>
      </c>
      <c r="P25" s="87" t="s">
        <v>1648</v>
      </c>
      <c r="Q25" s="244">
        <v>0</v>
      </c>
      <c r="R25" s="244">
        <v>0</v>
      </c>
      <c r="S25" s="244">
        <v>0</v>
      </c>
      <c r="T25" s="244">
        <v>0</v>
      </c>
      <c r="U25" s="244">
        <v>0</v>
      </c>
      <c r="V25" s="244">
        <v>0</v>
      </c>
      <c r="W25" s="244">
        <v>0</v>
      </c>
      <c r="X25" s="244">
        <v>0</v>
      </c>
      <c r="Y25" s="244">
        <v>42</v>
      </c>
      <c r="Z25" s="244">
        <v>969</v>
      </c>
      <c r="AA25" s="87" t="s">
        <v>1649</v>
      </c>
      <c r="AB25" s="87" t="s">
        <v>1649</v>
      </c>
      <c r="AC25" s="244">
        <v>0</v>
      </c>
      <c r="AD25" s="87" t="s">
        <v>1649</v>
      </c>
      <c r="AE25" s="244">
        <v>3012</v>
      </c>
      <c r="AF25" s="87" t="s">
        <v>1650</v>
      </c>
      <c r="AG25" s="87" t="s">
        <v>1648</v>
      </c>
      <c r="AH25" s="87" t="s">
        <v>1648</v>
      </c>
      <c r="AI25" s="87" t="s">
        <v>1649</v>
      </c>
      <c r="AJ25" s="87" t="s">
        <v>1649</v>
      </c>
    </row>
    <row r="26" spans="1:36" ht="13.5" thickBot="1" x14ac:dyDescent="0.25">
      <c r="A26" s="48" t="s">
        <v>264</v>
      </c>
      <c r="B26" s="347" t="s">
        <v>263</v>
      </c>
      <c r="C26" s="48" t="s">
        <v>3058</v>
      </c>
      <c r="D26" s="48" t="s">
        <v>34</v>
      </c>
      <c r="E26" s="48" t="s">
        <v>1949</v>
      </c>
      <c r="F26" s="87" t="s">
        <v>1648</v>
      </c>
      <c r="G26" s="87" t="s">
        <v>1649</v>
      </c>
      <c r="H26" s="244">
        <v>0</v>
      </c>
      <c r="I26" s="87" t="s">
        <v>1648</v>
      </c>
      <c r="J26" s="244">
        <v>40</v>
      </c>
      <c r="K26" s="87" t="s">
        <v>1649</v>
      </c>
      <c r="L26" s="87" t="s">
        <v>1649</v>
      </c>
      <c r="M26" s="244">
        <v>0</v>
      </c>
      <c r="N26" s="87" t="s">
        <v>1648</v>
      </c>
      <c r="O26" s="87" t="s">
        <v>1648</v>
      </c>
      <c r="P26" s="87" t="s">
        <v>1649</v>
      </c>
      <c r="Q26" s="244">
        <v>3</v>
      </c>
      <c r="R26" s="244">
        <v>8</v>
      </c>
      <c r="S26" s="244">
        <v>0</v>
      </c>
      <c r="T26" s="244">
        <v>0</v>
      </c>
      <c r="U26" s="244">
        <v>0</v>
      </c>
      <c r="V26" s="244">
        <v>0</v>
      </c>
      <c r="W26" s="244">
        <v>0</v>
      </c>
      <c r="X26" s="244">
        <v>0</v>
      </c>
      <c r="Y26" s="244">
        <v>0</v>
      </c>
      <c r="Z26" s="244">
        <v>0</v>
      </c>
      <c r="AA26" s="87" t="s">
        <v>1648</v>
      </c>
      <c r="AB26" s="87" t="s">
        <v>1648</v>
      </c>
      <c r="AC26" s="244">
        <v>65</v>
      </c>
      <c r="AD26" s="87" t="s">
        <v>1648</v>
      </c>
      <c r="AE26" s="244">
        <v>1125</v>
      </c>
      <c r="AF26" s="87" t="s">
        <v>1650</v>
      </c>
      <c r="AG26" s="87" t="s">
        <v>1648</v>
      </c>
      <c r="AH26" s="87" t="s">
        <v>1648</v>
      </c>
      <c r="AI26" s="87" t="s">
        <v>1649</v>
      </c>
      <c r="AJ26" s="87" t="s">
        <v>1649</v>
      </c>
    </row>
    <row r="27" spans="1:36" ht="13.5" thickBot="1" x14ac:dyDescent="0.25">
      <c r="A27" s="48" t="s">
        <v>272</v>
      </c>
      <c r="B27" s="347" t="s">
        <v>271</v>
      </c>
      <c r="C27" s="48" t="s">
        <v>3077</v>
      </c>
      <c r="D27" s="48" t="s">
        <v>34</v>
      </c>
      <c r="E27" s="48" t="s">
        <v>1919</v>
      </c>
      <c r="F27" s="87" t="s">
        <v>1648</v>
      </c>
      <c r="G27" s="87" t="s">
        <v>1649</v>
      </c>
      <c r="H27" s="244">
        <v>0</v>
      </c>
      <c r="I27" s="87" t="s">
        <v>1648</v>
      </c>
      <c r="J27" s="244">
        <v>1040</v>
      </c>
      <c r="K27" s="87" t="s">
        <v>1649</v>
      </c>
      <c r="L27" s="87" t="s">
        <v>1649</v>
      </c>
      <c r="M27" s="244">
        <v>0</v>
      </c>
      <c r="N27" s="87" t="s">
        <v>1649</v>
      </c>
      <c r="O27" s="87" t="s">
        <v>1649</v>
      </c>
      <c r="P27" s="87" t="s">
        <v>1649</v>
      </c>
      <c r="Q27" s="244">
        <v>0</v>
      </c>
      <c r="R27" s="244">
        <v>0</v>
      </c>
      <c r="S27" s="244">
        <v>0</v>
      </c>
      <c r="T27" s="244">
        <v>0</v>
      </c>
      <c r="U27" s="244">
        <v>0</v>
      </c>
      <c r="V27" s="244">
        <v>0</v>
      </c>
      <c r="W27" s="244">
        <v>0</v>
      </c>
      <c r="X27" s="244">
        <v>0</v>
      </c>
      <c r="Y27" s="244">
        <v>0</v>
      </c>
      <c r="Z27" s="244">
        <v>0</v>
      </c>
      <c r="AA27" s="87" t="s">
        <v>1648</v>
      </c>
      <c r="AB27" s="87" t="s">
        <v>1649</v>
      </c>
      <c r="AC27" s="244">
        <v>0</v>
      </c>
      <c r="AD27" s="87" t="s">
        <v>1648</v>
      </c>
      <c r="AE27" s="244">
        <v>9400</v>
      </c>
      <c r="AF27" s="87" t="s">
        <v>1650</v>
      </c>
      <c r="AG27" s="87" t="s">
        <v>1648</v>
      </c>
      <c r="AH27" s="87" t="s">
        <v>1648</v>
      </c>
      <c r="AI27" s="87" t="s">
        <v>1649</v>
      </c>
      <c r="AJ27" s="87" t="s">
        <v>1648</v>
      </c>
    </row>
    <row r="28" spans="1:36" ht="13.5" thickBot="1" x14ac:dyDescent="0.25">
      <c r="A28" s="48" t="s">
        <v>286</v>
      </c>
      <c r="B28" s="347" t="s">
        <v>285</v>
      </c>
      <c r="C28" s="48" t="s">
        <v>3098</v>
      </c>
      <c r="D28" s="48" t="s">
        <v>34</v>
      </c>
      <c r="E28" s="48" t="s">
        <v>2066</v>
      </c>
      <c r="F28" s="87" t="s">
        <v>1648</v>
      </c>
      <c r="G28" s="87" t="s">
        <v>1648</v>
      </c>
      <c r="H28" s="244">
        <v>648</v>
      </c>
      <c r="I28" s="87" t="s">
        <v>1649</v>
      </c>
      <c r="J28" s="244">
        <v>0</v>
      </c>
      <c r="K28" s="87" t="s">
        <v>1649</v>
      </c>
      <c r="L28" s="87" t="s">
        <v>1649</v>
      </c>
      <c r="M28" s="244">
        <v>0</v>
      </c>
      <c r="N28" s="87" t="s">
        <v>1648</v>
      </c>
      <c r="O28" s="87" t="s">
        <v>1648</v>
      </c>
      <c r="P28" s="87" t="s">
        <v>1649</v>
      </c>
      <c r="Q28" s="244">
        <v>3</v>
      </c>
      <c r="R28" s="244">
        <v>55</v>
      </c>
      <c r="S28" s="244">
        <v>0</v>
      </c>
      <c r="T28" s="244">
        <v>0</v>
      </c>
      <c r="U28" s="244">
        <v>8</v>
      </c>
      <c r="V28" s="244">
        <v>148</v>
      </c>
      <c r="W28" s="244">
        <v>0</v>
      </c>
      <c r="X28" s="244">
        <v>0</v>
      </c>
      <c r="Y28" s="244">
        <v>0</v>
      </c>
      <c r="Z28" s="244">
        <v>0</v>
      </c>
      <c r="AA28" s="87" t="s">
        <v>1649</v>
      </c>
      <c r="AB28" s="87" t="s">
        <v>1649</v>
      </c>
      <c r="AC28" s="244">
        <v>0</v>
      </c>
      <c r="AD28" s="87" t="s">
        <v>1648</v>
      </c>
      <c r="AE28" s="244">
        <v>1080</v>
      </c>
      <c r="AF28" s="87" t="s">
        <v>1650</v>
      </c>
      <c r="AG28" s="87" t="s">
        <v>1649</v>
      </c>
      <c r="AH28" s="87" t="s">
        <v>1649</v>
      </c>
      <c r="AI28" s="87" t="s">
        <v>1649</v>
      </c>
      <c r="AJ28" s="87" t="s">
        <v>1648</v>
      </c>
    </row>
    <row r="29" spans="1:36" ht="13.5" thickBot="1" x14ac:dyDescent="0.25">
      <c r="A29" s="48" t="s">
        <v>298</v>
      </c>
      <c r="B29" s="347" t="s">
        <v>297</v>
      </c>
      <c r="C29" s="48" t="s">
        <v>3072</v>
      </c>
      <c r="D29" s="48" t="s">
        <v>34</v>
      </c>
      <c r="E29" s="48" t="s">
        <v>1919</v>
      </c>
      <c r="F29" s="87" t="s">
        <v>1648</v>
      </c>
      <c r="G29" s="87" t="s">
        <v>1648</v>
      </c>
      <c r="H29" s="244">
        <v>28</v>
      </c>
      <c r="I29" s="87" t="s">
        <v>1649</v>
      </c>
      <c r="J29" s="244">
        <v>300</v>
      </c>
      <c r="K29" s="87" t="s">
        <v>1649</v>
      </c>
      <c r="L29" s="87" t="s">
        <v>1649</v>
      </c>
      <c r="M29" s="244">
        <v>0</v>
      </c>
      <c r="N29" s="87" t="s">
        <v>1649</v>
      </c>
      <c r="O29" s="87" t="s">
        <v>1649</v>
      </c>
      <c r="P29" s="87" t="s">
        <v>1649</v>
      </c>
      <c r="Q29" s="244">
        <v>0</v>
      </c>
      <c r="R29" s="244">
        <v>0</v>
      </c>
      <c r="S29" s="244">
        <v>0</v>
      </c>
      <c r="T29" s="244">
        <v>0</v>
      </c>
      <c r="U29" s="244">
        <v>0</v>
      </c>
      <c r="V29" s="244">
        <v>0</v>
      </c>
      <c r="W29" s="244">
        <v>0</v>
      </c>
      <c r="X29" s="244">
        <v>0</v>
      </c>
      <c r="Y29" s="244">
        <v>0</v>
      </c>
      <c r="Z29" s="244">
        <v>0</v>
      </c>
      <c r="AA29" s="87" t="s">
        <v>1648</v>
      </c>
      <c r="AB29" s="87" t="s">
        <v>1649</v>
      </c>
      <c r="AC29" s="244">
        <v>0</v>
      </c>
      <c r="AD29" s="87" t="s">
        <v>1648</v>
      </c>
      <c r="AE29" s="244">
        <v>367</v>
      </c>
      <c r="AF29" s="87" t="s">
        <v>1651</v>
      </c>
      <c r="AG29" s="87" t="s">
        <v>1648</v>
      </c>
      <c r="AH29" s="87" t="s">
        <v>1648</v>
      </c>
      <c r="AI29" s="87" t="s">
        <v>1649</v>
      </c>
      <c r="AJ29" s="87" t="s">
        <v>1649</v>
      </c>
    </row>
    <row r="30" spans="1:36" ht="13.5" thickBot="1" x14ac:dyDescent="0.25">
      <c r="A30" s="48" t="s">
        <v>306</v>
      </c>
      <c r="B30" s="347" t="s">
        <v>305</v>
      </c>
      <c r="C30" s="48" t="s">
        <v>3061</v>
      </c>
      <c r="D30" s="48" t="s">
        <v>34</v>
      </c>
      <c r="E30" s="48" t="s">
        <v>1919</v>
      </c>
      <c r="F30" s="257" t="s">
        <v>1648</v>
      </c>
      <c r="G30" s="87" t="s">
        <v>1648</v>
      </c>
      <c r="H30" s="244">
        <v>0</v>
      </c>
      <c r="I30" s="87" t="s">
        <v>1649</v>
      </c>
      <c r="J30" s="244">
        <v>0</v>
      </c>
      <c r="K30" s="87" t="s">
        <v>1649</v>
      </c>
      <c r="L30" s="87" t="s">
        <v>1649</v>
      </c>
      <c r="M30" s="244">
        <v>0</v>
      </c>
      <c r="N30" s="87" t="s">
        <v>1648</v>
      </c>
      <c r="O30" s="87" t="s">
        <v>1649</v>
      </c>
      <c r="P30" s="87" t="s">
        <v>1649</v>
      </c>
      <c r="Q30" s="244">
        <v>0</v>
      </c>
      <c r="R30" s="244">
        <v>0</v>
      </c>
      <c r="S30" s="244">
        <v>0</v>
      </c>
      <c r="T30" s="244">
        <v>0</v>
      </c>
      <c r="U30" s="244">
        <v>0</v>
      </c>
      <c r="V30" s="244">
        <v>0</v>
      </c>
      <c r="W30" s="244">
        <v>0</v>
      </c>
      <c r="X30" s="244">
        <v>0</v>
      </c>
      <c r="Y30" s="244">
        <v>0</v>
      </c>
      <c r="Z30" s="244">
        <v>0</v>
      </c>
      <c r="AA30" s="87" t="s">
        <v>1648</v>
      </c>
      <c r="AB30" s="87" t="s">
        <v>1648</v>
      </c>
      <c r="AC30" s="244">
        <v>40</v>
      </c>
      <c r="AD30" s="87" t="s">
        <v>1648</v>
      </c>
      <c r="AE30" s="244">
        <v>0</v>
      </c>
      <c r="AF30" s="87" t="s">
        <v>1651</v>
      </c>
      <c r="AG30" s="87" t="s">
        <v>1648</v>
      </c>
      <c r="AH30" s="87" t="s">
        <v>1648</v>
      </c>
      <c r="AI30" s="87" t="s">
        <v>1649</v>
      </c>
      <c r="AJ30" s="87" t="s">
        <v>1649</v>
      </c>
    </row>
    <row r="31" spans="1:36" ht="13.5" thickBot="1" x14ac:dyDescent="0.25">
      <c r="A31" s="48" t="s">
        <v>314</v>
      </c>
      <c r="B31" s="347" t="s">
        <v>313</v>
      </c>
      <c r="C31" s="48" t="s">
        <v>3059</v>
      </c>
      <c r="D31" s="48" t="s">
        <v>34</v>
      </c>
      <c r="E31" s="48" t="s">
        <v>1949</v>
      </c>
      <c r="F31" s="87" t="s">
        <v>1648</v>
      </c>
      <c r="G31" s="87" t="s">
        <v>1648</v>
      </c>
      <c r="H31" s="244">
        <v>0</v>
      </c>
      <c r="I31" s="87" t="s">
        <v>1649</v>
      </c>
      <c r="J31" s="244">
        <v>0</v>
      </c>
      <c r="K31" s="87" t="s">
        <v>1649</v>
      </c>
      <c r="L31" s="87" t="s">
        <v>1649</v>
      </c>
      <c r="M31" s="244">
        <v>0</v>
      </c>
      <c r="N31" s="87" t="s">
        <v>1648</v>
      </c>
      <c r="O31" s="87" t="s">
        <v>1648</v>
      </c>
      <c r="P31" s="87" t="s">
        <v>1648</v>
      </c>
      <c r="Q31" s="244">
        <v>4</v>
      </c>
      <c r="R31" s="244">
        <v>85</v>
      </c>
      <c r="S31" s="244">
        <v>0</v>
      </c>
      <c r="T31" s="244">
        <v>0</v>
      </c>
      <c r="U31" s="244">
        <v>6</v>
      </c>
      <c r="V31" s="244">
        <v>120</v>
      </c>
      <c r="W31" s="244">
        <v>0</v>
      </c>
      <c r="X31" s="244">
        <v>0</v>
      </c>
      <c r="Y31" s="244">
        <v>0</v>
      </c>
      <c r="Z31" s="244">
        <v>0</v>
      </c>
      <c r="AA31" s="87" t="s">
        <v>1648</v>
      </c>
      <c r="AB31" s="87" t="s">
        <v>1649</v>
      </c>
      <c r="AC31" s="244">
        <v>0</v>
      </c>
      <c r="AD31" s="87" t="s">
        <v>1648</v>
      </c>
      <c r="AE31" s="244">
        <v>300</v>
      </c>
      <c r="AF31" s="87" t="s">
        <v>1650</v>
      </c>
      <c r="AG31" s="87" t="s">
        <v>1648</v>
      </c>
      <c r="AH31" s="87" t="s">
        <v>1648</v>
      </c>
      <c r="AI31" s="87" t="s">
        <v>1649</v>
      </c>
      <c r="AJ31" s="87" t="s">
        <v>1648</v>
      </c>
    </row>
    <row r="32" spans="1:36" ht="13.5" thickBot="1" x14ac:dyDescent="0.25">
      <c r="A32" s="48" t="s">
        <v>316</v>
      </c>
      <c r="B32" s="347" t="s">
        <v>315</v>
      </c>
      <c r="C32" s="48" t="s">
        <v>3055</v>
      </c>
      <c r="D32" s="48" t="s">
        <v>34</v>
      </c>
      <c r="E32" s="48" t="s">
        <v>1919</v>
      </c>
      <c r="F32" s="87" t="s">
        <v>1648</v>
      </c>
      <c r="G32" s="87" t="s">
        <v>1648</v>
      </c>
      <c r="H32" s="244">
        <v>40</v>
      </c>
      <c r="I32" s="87" t="s">
        <v>1649</v>
      </c>
      <c r="J32" s="244">
        <v>0</v>
      </c>
      <c r="K32" s="87" t="s">
        <v>1649</v>
      </c>
      <c r="L32" s="87" t="s">
        <v>1649</v>
      </c>
      <c r="M32" s="244">
        <v>0</v>
      </c>
      <c r="N32" s="87" t="s">
        <v>1649</v>
      </c>
      <c r="O32" s="87" t="s">
        <v>1649</v>
      </c>
      <c r="P32" s="87" t="s">
        <v>1649</v>
      </c>
      <c r="Q32" s="244">
        <v>0</v>
      </c>
      <c r="R32" s="244">
        <v>0</v>
      </c>
      <c r="S32" s="244">
        <v>0</v>
      </c>
      <c r="T32" s="244">
        <v>0</v>
      </c>
      <c r="U32" s="244">
        <v>0</v>
      </c>
      <c r="V32" s="244">
        <v>0</v>
      </c>
      <c r="W32" s="244">
        <v>0</v>
      </c>
      <c r="X32" s="244">
        <v>0</v>
      </c>
      <c r="Y32" s="244">
        <v>0</v>
      </c>
      <c r="Z32" s="244">
        <v>0</v>
      </c>
      <c r="AA32" s="87" t="s">
        <v>1648</v>
      </c>
      <c r="AB32" s="87" t="s">
        <v>1649</v>
      </c>
      <c r="AC32" s="244">
        <v>0</v>
      </c>
      <c r="AD32" s="87" t="s">
        <v>1648</v>
      </c>
      <c r="AE32" s="244">
        <v>179</v>
      </c>
      <c r="AF32" s="87" t="s">
        <v>1651</v>
      </c>
      <c r="AG32" s="87" t="s">
        <v>1648</v>
      </c>
      <c r="AH32" s="87" t="s">
        <v>1648</v>
      </c>
      <c r="AI32" s="87" t="s">
        <v>1649</v>
      </c>
      <c r="AJ32" s="87" t="s">
        <v>1649</v>
      </c>
    </row>
    <row r="33" spans="1:36" ht="13.5" thickBot="1" x14ac:dyDescent="0.25">
      <c r="A33" s="48" t="s">
        <v>364</v>
      </c>
      <c r="B33" s="347" t="s">
        <v>363</v>
      </c>
      <c r="C33" s="48" t="s">
        <v>3061</v>
      </c>
      <c r="D33" s="48" t="s">
        <v>34</v>
      </c>
      <c r="E33" s="48" t="s">
        <v>2066</v>
      </c>
      <c r="F33" s="87" t="s">
        <v>1648</v>
      </c>
      <c r="G33" s="87" t="s">
        <v>1648</v>
      </c>
      <c r="H33" s="244">
        <v>40</v>
      </c>
      <c r="I33" s="87" t="s">
        <v>1648</v>
      </c>
      <c r="J33" s="244">
        <v>20</v>
      </c>
      <c r="K33" s="87" t="s">
        <v>1649</v>
      </c>
      <c r="L33" s="87" t="s">
        <v>1648</v>
      </c>
      <c r="M33" s="244">
        <v>6000</v>
      </c>
      <c r="N33" s="87" t="s">
        <v>1648</v>
      </c>
      <c r="O33" s="87" t="s">
        <v>1649</v>
      </c>
      <c r="P33" s="87" t="s">
        <v>1648</v>
      </c>
      <c r="Q33" s="244">
        <v>0</v>
      </c>
      <c r="R33" s="244">
        <v>0</v>
      </c>
      <c r="S33" s="244">
        <v>0</v>
      </c>
      <c r="T33" s="244">
        <v>0</v>
      </c>
      <c r="U33" s="244">
        <v>0</v>
      </c>
      <c r="V33" s="244">
        <v>0</v>
      </c>
      <c r="W33" s="244">
        <v>0</v>
      </c>
      <c r="X33" s="244">
        <v>0</v>
      </c>
      <c r="Y33" s="244">
        <v>0</v>
      </c>
      <c r="Z33" s="244">
        <v>0</v>
      </c>
      <c r="AA33" s="87" t="s">
        <v>1648</v>
      </c>
      <c r="AB33" s="87" t="s">
        <v>1649</v>
      </c>
      <c r="AC33" s="244">
        <v>0</v>
      </c>
      <c r="AD33" s="87" t="s">
        <v>1648</v>
      </c>
      <c r="AE33" s="244">
        <v>7170</v>
      </c>
      <c r="AF33" s="87" t="s">
        <v>1650</v>
      </c>
      <c r="AG33" s="87" t="s">
        <v>1648</v>
      </c>
      <c r="AH33" s="87" t="s">
        <v>1648</v>
      </c>
      <c r="AI33" s="87" t="s">
        <v>1649</v>
      </c>
      <c r="AJ33" s="87" t="s">
        <v>1649</v>
      </c>
    </row>
    <row r="34" spans="1:36" ht="13.5" thickBot="1" x14ac:dyDescent="0.25">
      <c r="A34" s="48" t="s">
        <v>380</v>
      </c>
      <c r="B34" s="347" t="s">
        <v>379</v>
      </c>
      <c r="C34" s="48" t="s">
        <v>3077</v>
      </c>
      <c r="D34" s="48" t="s">
        <v>34</v>
      </c>
      <c r="E34" s="48" t="s">
        <v>1919</v>
      </c>
      <c r="F34" s="87" t="s">
        <v>1648</v>
      </c>
      <c r="G34" s="87" t="s">
        <v>1648</v>
      </c>
      <c r="H34" s="244">
        <v>80</v>
      </c>
      <c r="I34" s="87" t="s">
        <v>1649</v>
      </c>
      <c r="J34" s="244">
        <v>0</v>
      </c>
      <c r="K34" s="87" t="s">
        <v>1649</v>
      </c>
      <c r="L34" s="87" t="s">
        <v>1649</v>
      </c>
      <c r="M34" s="244">
        <v>0</v>
      </c>
      <c r="N34" s="87" t="s">
        <v>1649</v>
      </c>
      <c r="O34" s="87" t="s">
        <v>1649</v>
      </c>
      <c r="P34" s="87" t="s">
        <v>1649</v>
      </c>
      <c r="Q34" s="244">
        <v>0</v>
      </c>
      <c r="R34" s="244">
        <v>0</v>
      </c>
      <c r="S34" s="244">
        <v>0</v>
      </c>
      <c r="T34" s="244">
        <v>0</v>
      </c>
      <c r="U34" s="244">
        <v>0</v>
      </c>
      <c r="V34" s="244">
        <v>0</v>
      </c>
      <c r="W34" s="244">
        <v>0</v>
      </c>
      <c r="X34" s="244">
        <v>0</v>
      </c>
      <c r="Y34" s="244">
        <v>0</v>
      </c>
      <c r="Z34" s="244">
        <v>0</v>
      </c>
      <c r="AA34" s="87" t="s">
        <v>1648</v>
      </c>
      <c r="AB34" s="87" t="s">
        <v>1649</v>
      </c>
      <c r="AC34" s="244">
        <v>0</v>
      </c>
      <c r="AD34" s="87" t="s">
        <v>1648</v>
      </c>
      <c r="AE34" s="244">
        <v>2600</v>
      </c>
      <c r="AF34" s="87" t="s">
        <v>1650</v>
      </c>
      <c r="AG34" s="87" t="s">
        <v>1648</v>
      </c>
      <c r="AH34" s="87" t="s">
        <v>1649</v>
      </c>
      <c r="AI34" s="87" t="s">
        <v>1649</v>
      </c>
      <c r="AJ34" s="87" t="s">
        <v>1649</v>
      </c>
    </row>
    <row r="35" spans="1:36" ht="13.5" thickBot="1" x14ac:dyDescent="0.25">
      <c r="A35" s="48" t="s">
        <v>412</v>
      </c>
      <c r="B35" s="347" t="s">
        <v>411</v>
      </c>
      <c r="C35" s="48" t="s">
        <v>3053</v>
      </c>
      <c r="D35" s="48" t="s">
        <v>34</v>
      </c>
      <c r="E35" s="48" t="s">
        <v>2133</v>
      </c>
      <c r="F35" s="87" t="s">
        <v>1648</v>
      </c>
      <c r="G35" s="87" t="s">
        <v>1648</v>
      </c>
      <c r="H35" s="244">
        <v>5</v>
      </c>
      <c r="I35" s="87" t="s">
        <v>1648</v>
      </c>
      <c r="J35" s="244">
        <v>30</v>
      </c>
      <c r="K35" s="87" t="s">
        <v>1649</v>
      </c>
      <c r="L35" s="87" t="s">
        <v>1649</v>
      </c>
      <c r="M35" s="244">
        <v>0</v>
      </c>
      <c r="N35" s="87" t="s">
        <v>1648</v>
      </c>
      <c r="O35" s="87" t="s">
        <v>1649</v>
      </c>
      <c r="P35" s="87" t="s">
        <v>1649</v>
      </c>
      <c r="Q35" s="244">
        <v>0</v>
      </c>
      <c r="R35" s="244">
        <v>0</v>
      </c>
      <c r="S35" s="244">
        <v>0</v>
      </c>
      <c r="T35" s="244">
        <v>0</v>
      </c>
      <c r="U35" s="244">
        <v>0</v>
      </c>
      <c r="V35" s="244">
        <v>0</v>
      </c>
      <c r="W35" s="244">
        <v>0</v>
      </c>
      <c r="X35" s="244">
        <v>0</v>
      </c>
      <c r="Y35" s="244">
        <v>0</v>
      </c>
      <c r="Z35" s="244">
        <v>0</v>
      </c>
      <c r="AA35" s="87" t="s">
        <v>1649</v>
      </c>
      <c r="AB35" s="87" t="s">
        <v>1649</v>
      </c>
      <c r="AC35" s="244">
        <v>0</v>
      </c>
      <c r="AD35" s="87" t="s">
        <v>1648</v>
      </c>
      <c r="AE35" s="244">
        <v>125</v>
      </c>
      <c r="AF35" s="87" t="s">
        <v>1650</v>
      </c>
      <c r="AG35" s="87" t="s">
        <v>1648</v>
      </c>
      <c r="AH35" s="87" t="s">
        <v>1648</v>
      </c>
      <c r="AI35" s="87" t="s">
        <v>1649</v>
      </c>
      <c r="AJ35" s="87" t="s">
        <v>1649</v>
      </c>
    </row>
    <row r="36" spans="1:36" ht="13.5" thickBot="1" x14ac:dyDescent="0.25">
      <c r="A36" s="48" t="s">
        <v>419</v>
      </c>
      <c r="B36" s="347" t="s">
        <v>418</v>
      </c>
      <c r="C36" s="48" t="s">
        <v>3072</v>
      </c>
      <c r="D36" s="48" t="s">
        <v>34</v>
      </c>
      <c r="E36" s="48" t="s">
        <v>2066</v>
      </c>
      <c r="F36" s="87" t="s">
        <v>1648</v>
      </c>
      <c r="G36" s="87" t="s">
        <v>1648</v>
      </c>
      <c r="H36" s="244">
        <v>60</v>
      </c>
      <c r="I36" s="87" t="s">
        <v>1649</v>
      </c>
      <c r="J36" s="244">
        <v>0</v>
      </c>
      <c r="K36" s="87" t="s">
        <v>1649</v>
      </c>
      <c r="L36" s="87" t="s">
        <v>1649</v>
      </c>
      <c r="M36" s="244">
        <v>0</v>
      </c>
      <c r="N36" s="87" t="s">
        <v>1648</v>
      </c>
      <c r="O36" s="87" t="s">
        <v>1649</v>
      </c>
      <c r="P36" s="87" t="s">
        <v>1649</v>
      </c>
      <c r="Q36" s="244">
        <v>0</v>
      </c>
      <c r="R36" s="244">
        <v>0</v>
      </c>
      <c r="S36" s="244">
        <v>0</v>
      </c>
      <c r="T36" s="244">
        <v>0</v>
      </c>
      <c r="U36" s="244">
        <v>0</v>
      </c>
      <c r="V36" s="244">
        <v>0</v>
      </c>
      <c r="W36" s="244">
        <v>0</v>
      </c>
      <c r="X36" s="244">
        <v>0</v>
      </c>
      <c r="Y36" s="244">
        <v>0</v>
      </c>
      <c r="Z36" s="244">
        <v>0</v>
      </c>
      <c r="AA36" s="87" t="s">
        <v>1649</v>
      </c>
      <c r="AB36" s="87" t="s">
        <v>1649</v>
      </c>
      <c r="AC36" s="244">
        <v>0</v>
      </c>
      <c r="AD36" s="87" t="s">
        <v>1648</v>
      </c>
      <c r="AE36" s="244">
        <v>40</v>
      </c>
      <c r="AF36" s="87" t="s">
        <v>1650</v>
      </c>
      <c r="AG36" s="87" t="s">
        <v>1648</v>
      </c>
      <c r="AH36" s="87" t="s">
        <v>1648</v>
      </c>
      <c r="AI36" s="87" t="s">
        <v>1649</v>
      </c>
      <c r="AJ36" s="87" t="s">
        <v>1649</v>
      </c>
    </row>
    <row r="37" spans="1:36" ht="13.5" thickBot="1" x14ac:dyDescent="0.25">
      <c r="A37" s="48" t="s">
        <v>421</v>
      </c>
      <c r="B37" s="347" t="s">
        <v>420</v>
      </c>
      <c r="C37" s="48" t="s">
        <v>3072</v>
      </c>
      <c r="D37" s="48" t="s">
        <v>34</v>
      </c>
      <c r="E37" s="48" t="s">
        <v>2066</v>
      </c>
      <c r="F37" s="87" t="s">
        <v>1648</v>
      </c>
      <c r="G37" s="87" t="s">
        <v>1648</v>
      </c>
      <c r="H37" s="244">
        <v>390</v>
      </c>
      <c r="I37" s="87" t="s">
        <v>1648</v>
      </c>
      <c r="J37" s="244">
        <v>736</v>
      </c>
      <c r="K37" s="87" t="s">
        <v>1649</v>
      </c>
      <c r="L37" s="87" t="s">
        <v>1648</v>
      </c>
      <c r="M37" s="244">
        <v>60000</v>
      </c>
      <c r="N37" s="87" t="s">
        <v>1649</v>
      </c>
      <c r="O37" s="87" t="s">
        <v>1649</v>
      </c>
      <c r="P37" s="87" t="s">
        <v>1649</v>
      </c>
      <c r="Q37" s="244">
        <v>0</v>
      </c>
      <c r="R37" s="244">
        <v>0</v>
      </c>
      <c r="S37" s="244">
        <v>0</v>
      </c>
      <c r="T37" s="244">
        <v>0</v>
      </c>
      <c r="U37" s="244">
        <v>0</v>
      </c>
      <c r="V37" s="244">
        <v>0</v>
      </c>
      <c r="W37" s="244">
        <v>0</v>
      </c>
      <c r="X37" s="244">
        <v>0</v>
      </c>
      <c r="Y37" s="244">
        <v>0</v>
      </c>
      <c r="Z37" s="244">
        <v>0</v>
      </c>
      <c r="AA37" s="87" t="s">
        <v>1649</v>
      </c>
      <c r="AB37" s="87" t="s">
        <v>1649</v>
      </c>
      <c r="AC37" s="244">
        <v>0</v>
      </c>
      <c r="AD37" s="87" t="s">
        <v>1649</v>
      </c>
      <c r="AE37" s="244">
        <v>251</v>
      </c>
      <c r="AF37" s="87" t="s">
        <v>1651</v>
      </c>
      <c r="AG37" s="87" t="s">
        <v>1648</v>
      </c>
      <c r="AH37" s="87" t="s">
        <v>1648</v>
      </c>
      <c r="AI37" s="87" t="s">
        <v>1649</v>
      </c>
      <c r="AJ37" s="87" t="s">
        <v>1649</v>
      </c>
    </row>
    <row r="38" spans="1:36" ht="13.5" thickBot="1" x14ac:dyDescent="0.25">
      <c r="A38" s="48" t="s">
        <v>425</v>
      </c>
      <c r="B38" s="347" t="s">
        <v>424</v>
      </c>
      <c r="C38" s="48" t="s">
        <v>3059</v>
      </c>
      <c r="D38" s="48" t="s">
        <v>34</v>
      </c>
      <c r="E38" s="48" t="s">
        <v>1919</v>
      </c>
      <c r="F38" s="87" t="s">
        <v>1648</v>
      </c>
      <c r="G38" s="87" t="s">
        <v>1648</v>
      </c>
      <c r="H38" s="244">
        <v>100</v>
      </c>
      <c r="I38" s="87" t="s">
        <v>1649</v>
      </c>
      <c r="J38" s="244">
        <v>0</v>
      </c>
      <c r="K38" s="87" t="s">
        <v>1649</v>
      </c>
      <c r="L38" s="87" t="s">
        <v>1649</v>
      </c>
      <c r="M38" s="244">
        <v>0</v>
      </c>
      <c r="N38" s="87" t="s">
        <v>1648</v>
      </c>
      <c r="O38" s="87" t="s">
        <v>1648</v>
      </c>
      <c r="P38" s="87" t="s">
        <v>1648</v>
      </c>
      <c r="Q38" s="244">
        <v>0</v>
      </c>
      <c r="R38" s="244">
        <v>0</v>
      </c>
      <c r="S38" s="244">
        <v>0</v>
      </c>
      <c r="T38" s="244">
        <v>0</v>
      </c>
      <c r="U38" s="244">
        <v>3</v>
      </c>
      <c r="V38" s="244">
        <v>42</v>
      </c>
      <c r="W38" s="244">
        <v>0</v>
      </c>
      <c r="X38" s="244">
        <v>0</v>
      </c>
      <c r="Y38" s="244">
        <v>8</v>
      </c>
      <c r="Z38" s="244">
        <v>72</v>
      </c>
      <c r="AA38" s="87" t="s">
        <v>1648</v>
      </c>
      <c r="AB38" s="87" t="s">
        <v>1649</v>
      </c>
      <c r="AC38" s="244">
        <v>0</v>
      </c>
      <c r="AD38" s="87" t="s">
        <v>1648</v>
      </c>
      <c r="AE38" s="244">
        <v>2157</v>
      </c>
      <c r="AF38" s="87" t="s">
        <v>1650</v>
      </c>
      <c r="AG38" s="87" t="s">
        <v>1648</v>
      </c>
      <c r="AH38" s="87" t="s">
        <v>1648</v>
      </c>
      <c r="AI38" s="87" t="s">
        <v>1649</v>
      </c>
      <c r="AJ38" s="87" t="s">
        <v>1649</v>
      </c>
    </row>
    <row r="39" spans="1:36" ht="13.5" thickBot="1" x14ac:dyDescent="0.25">
      <c r="A39" s="48" t="s">
        <v>435</v>
      </c>
      <c r="B39" s="347" t="s">
        <v>434</v>
      </c>
      <c r="C39" s="48" t="s">
        <v>3059</v>
      </c>
      <c r="D39" s="48" t="s">
        <v>34</v>
      </c>
      <c r="E39" s="48" t="s">
        <v>1949</v>
      </c>
      <c r="F39" s="87" t="s">
        <v>1648</v>
      </c>
      <c r="G39" s="87" t="s">
        <v>1648</v>
      </c>
      <c r="H39" s="244">
        <v>52</v>
      </c>
      <c r="I39" s="87" t="s">
        <v>1648</v>
      </c>
      <c r="J39" s="244">
        <v>351</v>
      </c>
      <c r="K39" s="87" t="s">
        <v>1649</v>
      </c>
      <c r="L39" s="87" t="s">
        <v>1649</v>
      </c>
      <c r="M39" s="244">
        <v>0</v>
      </c>
      <c r="N39" s="87" t="s">
        <v>1649</v>
      </c>
      <c r="O39" s="87" t="s">
        <v>1649</v>
      </c>
      <c r="P39" s="87" t="s">
        <v>1649</v>
      </c>
      <c r="Q39" s="244">
        <v>0</v>
      </c>
      <c r="R39" s="244">
        <v>0</v>
      </c>
      <c r="S39" s="244">
        <v>0</v>
      </c>
      <c r="T39" s="244">
        <v>0</v>
      </c>
      <c r="U39" s="244">
        <v>0</v>
      </c>
      <c r="V39" s="244">
        <v>0</v>
      </c>
      <c r="W39" s="244">
        <v>0</v>
      </c>
      <c r="X39" s="244">
        <v>0</v>
      </c>
      <c r="Y39" s="244">
        <v>0</v>
      </c>
      <c r="Z39" s="244">
        <v>0</v>
      </c>
      <c r="AA39" s="87" t="s">
        <v>1648</v>
      </c>
      <c r="AB39" s="87" t="s">
        <v>1649</v>
      </c>
      <c r="AC39" s="87" t="s">
        <v>1660</v>
      </c>
      <c r="AD39" s="87" t="s">
        <v>1648</v>
      </c>
      <c r="AE39" s="244">
        <v>272</v>
      </c>
      <c r="AF39" s="87" t="s">
        <v>1650</v>
      </c>
      <c r="AG39" s="87" t="s">
        <v>1648</v>
      </c>
      <c r="AH39" s="87" t="s">
        <v>1648</v>
      </c>
      <c r="AI39" s="87" t="s">
        <v>1649</v>
      </c>
      <c r="AJ39" s="87" t="s">
        <v>1648</v>
      </c>
    </row>
    <row r="40" spans="1:36" ht="13.5" thickBot="1" x14ac:dyDescent="0.25">
      <c r="A40" s="48" t="s">
        <v>441</v>
      </c>
      <c r="B40" s="347" t="s">
        <v>440</v>
      </c>
      <c r="C40" s="48" t="s">
        <v>3061</v>
      </c>
      <c r="D40" s="48" t="s">
        <v>34</v>
      </c>
      <c r="E40" s="48" t="s">
        <v>1949</v>
      </c>
      <c r="F40" s="87" t="s">
        <v>1648</v>
      </c>
      <c r="G40" s="87" t="s">
        <v>1648</v>
      </c>
      <c r="H40" s="244">
        <v>10</v>
      </c>
      <c r="I40" s="87" t="s">
        <v>1648</v>
      </c>
      <c r="J40" s="244">
        <v>24</v>
      </c>
      <c r="K40" s="87" t="s">
        <v>1649</v>
      </c>
      <c r="L40" s="87" t="s">
        <v>1649</v>
      </c>
      <c r="M40" s="244">
        <v>0</v>
      </c>
      <c r="N40" s="87" t="s">
        <v>1648</v>
      </c>
      <c r="O40" s="87" t="s">
        <v>1649</v>
      </c>
      <c r="P40" s="87" t="s">
        <v>1648</v>
      </c>
      <c r="Q40" s="244">
        <v>0</v>
      </c>
      <c r="R40" s="244">
        <v>0</v>
      </c>
      <c r="S40" s="244">
        <v>0</v>
      </c>
      <c r="T40" s="244">
        <v>0</v>
      </c>
      <c r="U40" s="244">
        <v>0</v>
      </c>
      <c r="V40" s="244">
        <v>0</v>
      </c>
      <c r="W40" s="244">
        <v>0</v>
      </c>
      <c r="X40" s="244">
        <v>0</v>
      </c>
      <c r="Y40" s="244">
        <v>2</v>
      </c>
      <c r="Z40" s="244">
        <v>253</v>
      </c>
      <c r="AA40" s="87" t="s">
        <v>1649</v>
      </c>
      <c r="AB40" s="87" t="s">
        <v>1648</v>
      </c>
      <c r="AC40" s="244">
        <v>1</v>
      </c>
      <c r="AD40" s="87" t="s">
        <v>1648</v>
      </c>
      <c r="AE40" s="244">
        <v>381</v>
      </c>
      <c r="AF40" s="87" t="s">
        <v>1651</v>
      </c>
      <c r="AG40" s="87" t="s">
        <v>1648</v>
      </c>
      <c r="AH40" s="87" t="s">
        <v>1648</v>
      </c>
      <c r="AI40" s="87" t="s">
        <v>1649</v>
      </c>
      <c r="AJ40" s="87" t="s">
        <v>1648</v>
      </c>
    </row>
    <row r="41" spans="1:36" ht="13.5" thickBot="1" x14ac:dyDescent="0.25">
      <c r="A41" s="48" t="s">
        <v>454</v>
      </c>
      <c r="B41" s="347" t="s">
        <v>453</v>
      </c>
      <c r="C41" s="48" t="s">
        <v>3061</v>
      </c>
      <c r="D41" s="48" t="s">
        <v>34</v>
      </c>
      <c r="E41" s="48" t="s">
        <v>1949</v>
      </c>
      <c r="F41" s="87" t="s">
        <v>1648</v>
      </c>
      <c r="G41" s="87" t="s">
        <v>1649</v>
      </c>
      <c r="H41" s="244">
        <v>0</v>
      </c>
      <c r="I41" s="87" t="s">
        <v>1649</v>
      </c>
      <c r="J41" s="244">
        <v>0</v>
      </c>
      <c r="K41" s="87" t="s">
        <v>1649</v>
      </c>
      <c r="L41" s="87" t="s">
        <v>1649</v>
      </c>
      <c r="M41" s="244">
        <v>0</v>
      </c>
      <c r="N41" s="87" t="s">
        <v>1649</v>
      </c>
      <c r="O41" s="87" t="s">
        <v>1649</v>
      </c>
      <c r="P41" s="87" t="s">
        <v>1649</v>
      </c>
      <c r="Q41" s="244">
        <v>0</v>
      </c>
      <c r="R41" s="244">
        <v>0</v>
      </c>
      <c r="S41" s="244">
        <v>0</v>
      </c>
      <c r="T41" s="244">
        <v>0</v>
      </c>
      <c r="U41" s="244">
        <v>0</v>
      </c>
      <c r="V41" s="244">
        <v>0</v>
      </c>
      <c r="W41" s="244">
        <v>0</v>
      </c>
      <c r="X41" s="244">
        <v>0</v>
      </c>
      <c r="Y41" s="244">
        <v>0</v>
      </c>
      <c r="Z41" s="244">
        <v>0</v>
      </c>
      <c r="AA41" s="87" t="s">
        <v>1649</v>
      </c>
      <c r="AB41" s="87" t="s">
        <v>1649</v>
      </c>
      <c r="AC41" s="244">
        <v>0</v>
      </c>
      <c r="AD41" s="87" t="s">
        <v>1649</v>
      </c>
      <c r="AE41" s="244">
        <v>500</v>
      </c>
      <c r="AF41" s="87" t="s">
        <v>1650</v>
      </c>
      <c r="AG41" s="87" t="s">
        <v>1649</v>
      </c>
      <c r="AH41" s="87" t="s">
        <v>1649</v>
      </c>
      <c r="AI41" s="87" t="s">
        <v>1649</v>
      </c>
      <c r="AJ41" s="87" t="s">
        <v>1649</v>
      </c>
    </row>
    <row r="42" spans="1:36" ht="13.5" thickBot="1" x14ac:dyDescent="0.25">
      <c r="A42" s="48" t="s">
        <v>460</v>
      </c>
      <c r="B42" s="347" t="s">
        <v>459</v>
      </c>
      <c r="C42" s="48" t="s">
        <v>3053</v>
      </c>
      <c r="D42" s="48" t="s">
        <v>34</v>
      </c>
      <c r="E42" s="48" t="s">
        <v>890</v>
      </c>
      <c r="F42" s="87" t="s">
        <v>1648</v>
      </c>
      <c r="G42" s="87" t="s">
        <v>1649</v>
      </c>
      <c r="H42" s="244">
        <v>0</v>
      </c>
      <c r="I42" s="87" t="s">
        <v>1649</v>
      </c>
      <c r="J42" s="244">
        <v>0</v>
      </c>
      <c r="K42" s="87" t="s">
        <v>1649</v>
      </c>
      <c r="L42" s="87" t="s">
        <v>1649</v>
      </c>
      <c r="M42" s="244">
        <v>0</v>
      </c>
      <c r="N42" s="87" t="s">
        <v>1649</v>
      </c>
      <c r="O42" s="87" t="s">
        <v>1649</v>
      </c>
      <c r="P42" s="87" t="s">
        <v>1649</v>
      </c>
      <c r="Q42" s="244">
        <v>0</v>
      </c>
      <c r="R42" s="244">
        <v>0</v>
      </c>
      <c r="S42" s="244">
        <v>0</v>
      </c>
      <c r="T42" s="244">
        <v>0</v>
      </c>
      <c r="U42" s="244">
        <v>0</v>
      </c>
      <c r="V42" s="244">
        <v>0</v>
      </c>
      <c r="W42" s="244">
        <v>0</v>
      </c>
      <c r="X42" s="244">
        <v>0</v>
      </c>
      <c r="Y42" s="244">
        <v>0</v>
      </c>
      <c r="Z42" s="244">
        <v>0</v>
      </c>
      <c r="AA42" s="87" t="s">
        <v>1649</v>
      </c>
      <c r="AB42" s="87" t="s">
        <v>1649</v>
      </c>
      <c r="AC42" s="244">
        <v>0</v>
      </c>
      <c r="AD42" s="87" t="s">
        <v>1649</v>
      </c>
      <c r="AE42" s="244">
        <v>763</v>
      </c>
      <c r="AF42" s="87" t="s">
        <v>1650</v>
      </c>
      <c r="AG42" s="87" t="s">
        <v>1648</v>
      </c>
      <c r="AH42" s="87" t="s">
        <v>1648</v>
      </c>
      <c r="AI42" s="87" t="s">
        <v>1649</v>
      </c>
      <c r="AJ42" s="87" t="s">
        <v>1649</v>
      </c>
    </row>
    <row r="43" spans="1:36" ht="13.5" thickBot="1" x14ac:dyDescent="0.25">
      <c r="A43" s="48" t="s">
        <v>476</v>
      </c>
      <c r="B43" s="347" t="s">
        <v>475</v>
      </c>
      <c r="C43" s="48" t="s">
        <v>3058</v>
      </c>
      <c r="D43" s="48" t="s">
        <v>34</v>
      </c>
      <c r="E43" s="48" t="s">
        <v>2066</v>
      </c>
      <c r="F43" s="257" t="s">
        <v>1648</v>
      </c>
      <c r="G43" s="87" t="s">
        <v>1649</v>
      </c>
      <c r="H43" s="244">
        <v>0</v>
      </c>
      <c r="I43" s="87" t="s">
        <v>1649</v>
      </c>
      <c r="J43" s="244">
        <v>0</v>
      </c>
      <c r="K43" s="87" t="s">
        <v>1649</v>
      </c>
      <c r="L43" s="87" t="s">
        <v>1649</v>
      </c>
      <c r="M43" s="244">
        <v>0</v>
      </c>
      <c r="N43" s="87" t="s">
        <v>1649</v>
      </c>
      <c r="O43" s="87" t="s">
        <v>1649</v>
      </c>
      <c r="P43" s="87" t="s">
        <v>1649</v>
      </c>
      <c r="Q43" s="244">
        <v>0</v>
      </c>
      <c r="R43" s="244">
        <v>0</v>
      </c>
      <c r="S43" s="244">
        <v>0</v>
      </c>
      <c r="T43" s="244">
        <v>0</v>
      </c>
      <c r="U43" s="244">
        <v>0</v>
      </c>
      <c r="V43" s="244">
        <v>0</v>
      </c>
      <c r="W43" s="244">
        <v>0</v>
      </c>
      <c r="X43" s="244">
        <v>0</v>
      </c>
      <c r="Y43" s="244">
        <v>0</v>
      </c>
      <c r="Z43" s="244">
        <v>0</v>
      </c>
      <c r="AA43" s="87" t="s">
        <v>1649</v>
      </c>
      <c r="AB43" s="87" t="s">
        <v>1649</v>
      </c>
      <c r="AC43" s="244">
        <v>0</v>
      </c>
      <c r="AD43" s="87" t="s">
        <v>1649</v>
      </c>
      <c r="AE43" s="244">
        <v>0</v>
      </c>
      <c r="AF43" s="87" t="s">
        <v>1650</v>
      </c>
      <c r="AG43" s="87" t="s">
        <v>1649</v>
      </c>
      <c r="AH43" s="87" t="s">
        <v>1648</v>
      </c>
      <c r="AI43" s="87" t="s">
        <v>1649</v>
      </c>
      <c r="AJ43" s="87" t="s">
        <v>1649</v>
      </c>
    </row>
    <row r="44" spans="1:36" ht="13.5" thickBot="1" x14ac:dyDescent="0.25">
      <c r="A44" s="48" t="s">
        <v>498</v>
      </c>
      <c r="B44" s="347" t="s">
        <v>497</v>
      </c>
      <c r="C44" s="48" t="s">
        <v>3058</v>
      </c>
      <c r="D44" s="48" t="s">
        <v>34</v>
      </c>
      <c r="E44" s="48" t="s">
        <v>1949</v>
      </c>
      <c r="F44" s="87" t="s">
        <v>1648</v>
      </c>
      <c r="G44" s="87" t="s">
        <v>1648</v>
      </c>
      <c r="H44" s="244">
        <v>65</v>
      </c>
      <c r="I44" s="87" t="s">
        <v>1649</v>
      </c>
      <c r="J44" s="244">
        <v>0</v>
      </c>
      <c r="K44" s="87" t="s">
        <v>1649</v>
      </c>
      <c r="L44" s="87" t="s">
        <v>1648</v>
      </c>
      <c r="M44" s="244">
        <v>10000</v>
      </c>
      <c r="N44" s="87" t="s">
        <v>1649</v>
      </c>
      <c r="O44" s="87" t="s">
        <v>1648</v>
      </c>
      <c r="P44" s="87" t="s">
        <v>1648</v>
      </c>
      <c r="Q44" s="244">
        <v>2</v>
      </c>
      <c r="R44" s="244">
        <v>8</v>
      </c>
      <c r="S44" s="244">
        <v>0</v>
      </c>
      <c r="T44" s="244">
        <v>0</v>
      </c>
      <c r="U44" s="244">
        <v>4</v>
      </c>
      <c r="V44" s="244">
        <v>28</v>
      </c>
      <c r="W44" s="244">
        <v>4</v>
      </c>
      <c r="X44" s="244">
        <v>29</v>
      </c>
      <c r="Y44" s="244">
        <v>10</v>
      </c>
      <c r="Z44" s="244">
        <v>978</v>
      </c>
      <c r="AA44" s="87" t="s">
        <v>1648</v>
      </c>
      <c r="AB44" s="87" t="s">
        <v>1649</v>
      </c>
      <c r="AC44" s="244">
        <v>0</v>
      </c>
      <c r="AD44" s="87" t="s">
        <v>1648</v>
      </c>
      <c r="AE44" s="244">
        <v>742</v>
      </c>
      <c r="AF44" s="87" t="s">
        <v>1651</v>
      </c>
      <c r="AG44" s="87" t="s">
        <v>1648</v>
      </c>
      <c r="AH44" s="87" t="s">
        <v>1648</v>
      </c>
      <c r="AI44" s="87" t="s">
        <v>1648</v>
      </c>
      <c r="AJ44" s="87" t="s">
        <v>1648</v>
      </c>
    </row>
    <row r="45" spans="1:36" ht="13.5" thickBot="1" x14ac:dyDescent="0.25">
      <c r="A45" s="48" t="s">
        <v>518</v>
      </c>
      <c r="B45" s="347" t="s">
        <v>517</v>
      </c>
      <c r="C45" s="48" t="s">
        <v>3061</v>
      </c>
      <c r="D45" s="48" t="s">
        <v>34</v>
      </c>
      <c r="E45" s="48" t="s">
        <v>1949</v>
      </c>
      <c r="F45" s="87" t="s">
        <v>1648</v>
      </c>
      <c r="G45" s="87" t="s">
        <v>1649</v>
      </c>
      <c r="H45" s="244">
        <v>0</v>
      </c>
      <c r="I45" s="87" t="s">
        <v>1649</v>
      </c>
      <c r="J45" s="244">
        <v>20</v>
      </c>
      <c r="K45" s="87" t="s">
        <v>1649</v>
      </c>
      <c r="L45" s="87" t="s">
        <v>1649</v>
      </c>
      <c r="M45" s="244">
        <v>0</v>
      </c>
      <c r="N45" s="87" t="s">
        <v>1649</v>
      </c>
      <c r="O45" s="87" t="s">
        <v>1648</v>
      </c>
      <c r="P45" s="87" t="s">
        <v>1649</v>
      </c>
      <c r="Q45" s="244">
        <v>0</v>
      </c>
      <c r="R45" s="244">
        <v>0</v>
      </c>
      <c r="S45" s="244">
        <v>0</v>
      </c>
      <c r="T45" s="244">
        <v>0</v>
      </c>
      <c r="U45" s="244">
        <v>0</v>
      </c>
      <c r="V45" s="244">
        <v>0</v>
      </c>
      <c r="W45" s="244">
        <v>0</v>
      </c>
      <c r="X45" s="244">
        <v>0</v>
      </c>
      <c r="Y45" s="244">
        <v>0</v>
      </c>
      <c r="Z45" s="244">
        <v>0</v>
      </c>
      <c r="AA45" s="87" t="s">
        <v>1649</v>
      </c>
      <c r="AB45" s="87" t="s">
        <v>1649</v>
      </c>
      <c r="AC45" s="244">
        <v>0</v>
      </c>
      <c r="AD45" s="87" t="s">
        <v>1648</v>
      </c>
      <c r="AE45" s="244">
        <v>96</v>
      </c>
      <c r="AF45" s="87" t="s">
        <v>1651</v>
      </c>
      <c r="AG45" s="87" t="s">
        <v>1648</v>
      </c>
      <c r="AH45" s="87" t="s">
        <v>1649</v>
      </c>
      <c r="AI45" s="87" t="s">
        <v>1649</v>
      </c>
      <c r="AJ45" s="87" t="s">
        <v>1648</v>
      </c>
    </row>
    <row r="46" spans="1:36" ht="13.5" thickBot="1" x14ac:dyDescent="0.25">
      <c r="A46" s="48" t="s">
        <v>534</v>
      </c>
      <c r="B46" s="347" t="s">
        <v>533</v>
      </c>
      <c r="C46" s="48" t="s">
        <v>3055</v>
      </c>
      <c r="D46" s="48" t="s">
        <v>34</v>
      </c>
      <c r="E46" s="48" t="s">
        <v>1919</v>
      </c>
      <c r="F46" s="87" t="s">
        <v>1648</v>
      </c>
      <c r="G46" s="87" t="s">
        <v>1648</v>
      </c>
      <c r="H46" s="244">
        <v>20</v>
      </c>
      <c r="I46" s="87" t="s">
        <v>1649</v>
      </c>
      <c r="J46" s="244">
        <v>20</v>
      </c>
      <c r="K46" s="87" t="s">
        <v>1649</v>
      </c>
      <c r="L46" s="87" t="s">
        <v>1649</v>
      </c>
      <c r="M46" s="244">
        <v>0</v>
      </c>
      <c r="N46" s="87" t="s">
        <v>1649</v>
      </c>
      <c r="O46" s="87" t="s">
        <v>1648</v>
      </c>
      <c r="P46" s="87" t="s">
        <v>1648</v>
      </c>
      <c r="Q46" s="244">
        <v>4</v>
      </c>
      <c r="R46" s="244">
        <v>15</v>
      </c>
      <c r="S46" s="244">
        <v>0</v>
      </c>
      <c r="T46" s="244">
        <v>0</v>
      </c>
      <c r="U46" s="244">
        <v>0</v>
      </c>
      <c r="V46" s="244">
        <v>0</v>
      </c>
      <c r="W46" s="244">
        <v>0</v>
      </c>
      <c r="X46" s="244">
        <v>0</v>
      </c>
      <c r="Y46" s="244">
        <v>2</v>
      </c>
      <c r="Z46" s="244">
        <v>120</v>
      </c>
      <c r="AA46" s="87" t="s">
        <v>1648</v>
      </c>
      <c r="AB46" s="87" t="s">
        <v>1649</v>
      </c>
      <c r="AC46" s="244">
        <v>0</v>
      </c>
      <c r="AD46" s="87" t="s">
        <v>1648</v>
      </c>
      <c r="AE46" s="244">
        <v>10800</v>
      </c>
      <c r="AF46" s="87" t="s">
        <v>1650</v>
      </c>
      <c r="AG46" s="87" t="s">
        <v>1648</v>
      </c>
      <c r="AH46" s="87" t="s">
        <v>1648</v>
      </c>
      <c r="AI46" s="87" t="s">
        <v>1649</v>
      </c>
      <c r="AJ46" s="87" t="s">
        <v>1649</v>
      </c>
    </row>
    <row r="47" spans="1:36" ht="13.5" thickBot="1" x14ac:dyDescent="0.25">
      <c r="A47" s="48" t="s">
        <v>548</v>
      </c>
      <c r="B47" s="347" t="s">
        <v>547</v>
      </c>
      <c r="C47" s="48" t="s">
        <v>3053</v>
      </c>
      <c r="D47" s="48" t="s">
        <v>34</v>
      </c>
      <c r="E47" s="48" t="s">
        <v>1919</v>
      </c>
      <c r="F47" s="87" t="s">
        <v>1648</v>
      </c>
      <c r="G47" s="87" t="s">
        <v>1648</v>
      </c>
      <c r="H47" s="244">
        <v>34</v>
      </c>
      <c r="I47" s="87" t="s">
        <v>1648</v>
      </c>
      <c r="J47" s="244">
        <v>100</v>
      </c>
      <c r="K47" s="87" t="s">
        <v>1649</v>
      </c>
      <c r="L47" s="87" t="s">
        <v>1649</v>
      </c>
      <c r="M47" s="244">
        <v>0</v>
      </c>
      <c r="N47" s="87" t="s">
        <v>1649</v>
      </c>
      <c r="O47" s="87" t="s">
        <v>1648</v>
      </c>
      <c r="P47" s="87" t="s">
        <v>1649</v>
      </c>
      <c r="Q47" s="244">
        <v>0</v>
      </c>
      <c r="R47" s="244">
        <v>0</v>
      </c>
      <c r="S47" s="244">
        <v>0</v>
      </c>
      <c r="T47" s="244">
        <v>0</v>
      </c>
      <c r="U47" s="244">
        <v>4</v>
      </c>
      <c r="V47" s="244">
        <v>26</v>
      </c>
      <c r="W47" s="244">
        <v>0</v>
      </c>
      <c r="X47" s="244">
        <v>0</v>
      </c>
      <c r="Y47" s="244">
        <v>0</v>
      </c>
      <c r="Z47" s="244">
        <v>0</v>
      </c>
      <c r="AA47" s="87" t="s">
        <v>1648</v>
      </c>
      <c r="AB47" s="87" t="s">
        <v>1649</v>
      </c>
      <c r="AC47" s="87" t="s">
        <v>1660</v>
      </c>
      <c r="AD47" s="87" t="s">
        <v>1649</v>
      </c>
      <c r="AE47" s="244">
        <v>1820</v>
      </c>
      <c r="AF47" s="87" t="s">
        <v>1650</v>
      </c>
      <c r="AG47" s="87" t="s">
        <v>1648</v>
      </c>
      <c r="AH47" s="87" t="s">
        <v>1648</v>
      </c>
      <c r="AI47" s="87" t="s">
        <v>1649</v>
      </c>
      <c r="AJ47" s="87" t="s">
        <v>1648</v>
      </c>
    </row>
    <row r="48" spans="1:36" ht="13.5" thickBot="1" x14ac:dyDescent="0.25">
      <c r="A48" s="48" t="s">
        <v>552</v>
      </c>
      <c r="B48" s="347" t="s">
        <v>551</v>
      </c>
      <c r="C48" s="48" t="s">
        <v>3053</v>
      </c>
      <c r="D48" s="48" t="s">
        <v>34</v>
      </c>
      <c r="E48" s="48" t="s">
        <v>2133</v>
      </c>
      <c r="F48" s="87" t="s">
        <v>1648</v>
      </c>
      <c r="G48" s="87" t="s">
        <v>1648</v>
      </c>
      <c r="H48" s="244">
        <v>75</v>
      </c>
      <c r="I48" s="87" t="s">
        <v>1649</v>
      </c>
      <c r="J48" s="244">
        <v>75</v>
      </c>
      <c r="K48" s="87" t="s">
        <v>1648</v>
      </c>
      <c r="L48" s="87" t="s">
        <v>1648</v>
      </c>
      <c r="M48" s="244">
        <v>8000</v>
      </c>
      <c r="N48" s="87" t="s">
        <v>1649</v>
      </c>
      <c r="O48" s="87" t="s">
        <v>1649</v>
      </c>
      <c r="P48" s="87" t="s">
        <v>1649</v>
      </c>
      <c r="Q48" s="244">
        <v>0</v>
      </c>
      <c r="R48" s="244">
        <v>0</v>
      </c>
      <c r="S48" s="244">
        <v>0</v>
      </c>
      <c r="T48" s="244">
        <v>0</v>
      </c>
      <c r="U48" s="244">
        <v>0</v>
      </c>
      <c r="V48" s="244">
        <v>0</v>
      </c>
      <c r="W48" s="244">
        <v>0</v>
      </c>
      <c r="X48" s="244">
        <v>0</v>
      </c>
      <c r="Y48" s="244">
        <v>0</v>
      </c>
      <c r="Z48" s="244">
        <v>0</v>
      </c>
      <c r="AA48" s="87" t="s">
        <v>1648</v>
      </c>
      <c r="AB48" s="87" t="s">
        <v>1649</v>
      </c>
      <c r="AC48" s="244">
        <v>0</v>
      </c>
      <c r="AD48" s="87" t="s">
        <v>1649</v>
      </c>
      <c r="AE48" s="244">
        <v>40</v>
      </c>
      <c r="AF48" s="87" t="s">
        <v>1650</v>
      </c>
      <c r="AG48" s="87" t="s">
        <v>1649</v>
      </c>
      <c r="AH48" s="87" t="s">
        <v>1649</v>
      </c>
      <c r="AI48" s="87" t="s">
        <v>1649</v>
      </c>
      <c r="AJ48" s="87" t="s">
        <v>1649</v>
      </c>
    </row>
    <row r="49" spans="1:36" ht="13.5" thickBot="1" x14ac:dyDescent="0.25">
      <c r="A49" s="48" t="s">
        <v>574</v>
      </c>
      <c r="B49" s="347" t="s">
        <v>573</v>
      </c>
      <c r="C49" s="48" t="s">
        <v>3059</v>
      </c>
      <c r="D49" s="48" t="s">
        <v>34</v>
      </c>
      <c r="E49" s="48" t="s">
        <v>1919</v>
      </c>
      <c r="F49" s="87" t="s">
        <v>1648</v>
      </c>
      <c r="G49" s="87" t="s">
        <v>1648</v>
      </c>
      <c r="H49" s="244">
        <v>615</v>
      </c>
      <c r="I49" s="87" t="s">
        <v>1649</v>
      </c>
      <c r="J49" s="244">
        <v>0</v>
      </c>
      <c r="K49" s="87" t="s">
        <v>1649</v>
      </c>
      <c r="L49" s="87" t="s">
        <v>1649</v>
      </c>
      <c r="M49" s="244">
        <v>0</v>
      </c>
      <c r="N49" s="87" t="s">
        <v>1649</v>
      </c>
      <c r="O49" s="87" t="s">
        <v>1649</v>
      </c>
      <c r="P49" s="87" t="s">
        <v>1649</v>
      </c>
      <c r="Q49" s="244">
        <v>0</v>
      </c>
      <c r="R49" s="244">
        <v>0</v>
      </c>
      <c r="S49" s="244">
        <v>0</v>
      </c>
      <c r="T49" s="244">
        <v>0</v>
      </c>
      <c r="U49" s="244">
        <v>0</v>
      </c>
      <c r="V49" s="244">
        <v>0</v>
      </c>
      <c r="W49" s="244">
        <v>0</v>
      </c>
      <c r="X49" s="244">
        <v>0</v>
      </c>
      <c r="Y49" s="244">
        <v>0</v>
      </c>
      <c r="Z49" s="244">
        <v>0</v>
      </c>
      <c r="AA49" s="87" t="s">
        <v>1648</v>
      </c>
      <c r="AB49" s="87" t="s">
        <v>1649</v>
      </c>
      <c r="AC49" s="244">
        <v>0</v>
      </c>
      <c r="AD49" s="87" t="s">
        <v>1648</v>
      </c>
      <c r="AE49" s="244">
        <v>382</v>
      </c>
      <c r="AF49" s="87" t="s">
        <v>1650</v>
      </c>
      <c r="AG49" s="87" t="s">
        <v>1648</v>
      </c>
      <c r="AH49" s="87" t="s">
        <v>1648</v>
      </c>
      <c r="AI49" s="87" t="s">
        <v>1649</v>
      </c>
      <c r="AJ49" s="87" t="s">
        <v>1648</v>
      </c>
    </row>
    <row r="50" spans="1:36" ht="13.5" thickBot="1" x14ac:dyDescent="0.25">
      <c r="A50" s="48" t="s">
        <v>612</v>
      </c>
      <c r="B50" s="347" t="s">
        <v>611</v>
      </c>
      <c r="C50" s="48" t="s">
        <v>3144</v>
      </c>
      <c r="D50" s="48" t="s">
        <v>34</v>
      </c>
      <c r="E50" s="48" t="s">
        <v>1919</v>
      </c>
      <c r="F50" s="87" t="s">
        <v>1648</v>
      </c>
      <c r="G50" s="87" t="s">
        <v>1649</v>
      </c>
      <c r="H50" s="244">
        <v>0</v>
      </c>
      <c r="I50" s="87" t="s">
        <v>1649</v>
      </c>
      <c r="J50" s="244">
        <v>31</v>
      </c>
      <c r="K50" s="87" t="s">
        <v>1649</v>
      </c>
      <c r="L50" s="87" t="s">
        <v>1649</v>
      </c>
      <c r="M50" s="244">
        <v>0</v>
      </c>
      <c r="N50" s="87" t="s">
        <v>1649</v>
      </c>
      <c r="O50" s="87" t="s">
        <v>1648</v>
      </c>
      <c r="P50" s="87" t="s">
        <v>1648</v>
      </c>
      <c r="Q50" s="244">
        <v>0</v>
      </c>
      <c r="R50" s="244">
        <v>0</v>
      </c>
      <c r="S50" s="244">
        <v>0</v>
      </c>
      <c r="T50" s="244">
        <v>0</v>
      </c>
      <c r="U50" s="244">
        <v>0</v>
      </c>
      <c r="V50" s="244">
        <v>0</v>
      </c>
      <c r="W50" s="244">
        <v>0</v>
      </c>
      <c r="X50" s="244">
        <v>0</v>
      </c>
      <c r="Y50" s="244">
        <v>2</v>
      </c>
      <c r="Z50" s="244">
        <v>705</v>
      </c>
      <c r="AA50" s="87" t="s">
        <v>1649</v>
      </c>
      <c r="AB50" s="87" t="s">
        <v>1649</v>
      </c>
      <c r="AC50" s="244">
        <v>0</v>
      </c>
      <c r="AD50" s="87" t="s">
        <v>1648</v>
      </c>
      <c r="AE50" s="244">
        <v>1270</v>
      </c>
      <c r="AF50" s="87" t="s">
        <v>1651</v>
      </c>
      <c r="AG50" s="87" t="s">
        <v>1648</v>
      </c>
      <c r="AH50" s="87" t="s">
        <v>1648</v>
      </c>
      <c r="AI50" s="87" t="s">
        <v>1649</v>
      </c>
      <c r="AJ50" s="87" t="s">
        <v>1648</v>
      </c>
    </row>
    <row r="51" spans="1:36" ht="13.5" thickBot="1" x14ac:dyDescent="0.25">
      <c r="A51" s="48" t="s">
        <v>622</v>
      </c>
      <c r="B51" s="347" t="s">
        <v>621</v>
      </c>
      <c r="C51" s="48" t="s">
        <v>3053</v>
      </c>
      <c r="D51" s="48" t="s">
        <v>34</v>
      </c>
      <c r="E51" s="48" t="s">
        <v>2133</v>
      </c>
      <c r="F51" s="87" t="s">
        <v>1648</v>
      </c>
      <c r="G51" s="87" t="s">
        <v>1649</v>
      </c>
      <c r="H51" s="244">
        <v>0</v>
      </c>
      <c r="I51" s="87" t="s">
        <v>1649</v>
      </c>
      <c r="J51" s="244">
        <v>0</v>
      </c>
      <c r="K51" s="87" t="s">
        <v>1649</v>
      </c>
      <c r="L51" s="87" t="s">
        <v>1649</v>
      </c>
      <c r="M51" s="244">
        <v>0</v>
      </c>
      <c r="N51" s="87" t="s">
        <v>1649</v>
      </c>
      <c r="O51" s="87" t="s">
        <v>1649</v>
      </c>
      <c r="P51" s="87" t="s">
        <v>1649</v>
      </c>
      <c r="Q51" s="244">
        <v>0</v>
      </c>
      <c r="R51" s="244">
        <v>0</v>
      </c>
      <c r="S51" s="244">
        <v>0</v>
      </c>
      <c r="T51" s="244">
        <v>0</v>
      </c>
      <c r="U51" s="244">
        <v>0</v>
      </c>
      <c r="V51" s="244">
        <v>0</v>
      </c>
      <c r="W51" s="244">
        <v>0</v>
      </c>
      <c r="X51" s="244">
        <v>0</v>
      </c>
      <c r="Y51" s="244">
        <v>0</v>
      </c>
      <c r="Z51" s="244">
        <v>0</v>
      </c>
      <c r="AA51" s="87" t="s">
        <v>1649</v>
      </c>
      <c r="AB51" s="87" t="s">
        <v>1649</v>
      </c>
      <c r="AC51" s="244">
        <v>0</v>
      </c>
      <c r="AD51" s="87" t="s">
        <v>1649</v>
      </c>
      <c r="AE51" s="244">
        <v>4</v>
      </c>
      <c r="AF51" s="87" t="s">
        <v>1651</v>
      </c>
      <c r="AG51" s="87" t="s">
        <v>1649</v>
      </c>
      <c r="AH51" s="87" t="s">
        <v>1649</v>
      </c>
      <c r="AI51" s="87" t="s">
        <v>1649</v>
      </c>
      <c r="AJ51" s="87" t="s">
        <v>1649</v>
      </c>
    </row>
    <row r="52" spans="1:36" ht="13.5" thickBot="1" x14ac:dyDescent="0.25">
      <c r="A52" s="48" t="s">
        <v>624</v>
      </c>
      <c r="B52" s="347" t="s">
        <v>623</v>
      </c>
      <c r="C52" s="48" t="s">
        <v>3059</v>
      </c>
      <c r="D52" s="48" t="s">
        <v>34</v>
      </c>
      <c r="E52" s="48" t="s">
        <v>1919</v>
      </c>
      <c r="F52" s="87" t="s">
        <v>1648</v>
      </c>
      <c r="G52" s="87" t="s">
        <v>1648</v>
      </c>
      <c r="H52" s="244">
        <v>62</v>
      </c>
      <c r="I52" s="87" t="s">
        <v>1648</v>
      </c>
      <c r="J52" s="244">
        <v>6</v>
      </c>
      <c r="K52" s="87" t="s">
        <v>1649</v>
      </c>
      <c r="L52" s="87" t="s">
        <v>1649</v>
      </c>
      <c r="M52" s="244">
        <v>0</v>
      </c>
      <c r="N52" s="87" t="s">
        <v>1648</v>
      </c>
      <c r="O52" s="87" t="s">
        <v>1649</v>
      </c>
      <c r="P52" s="87" t="s">
        <v>1649</v>
      </c>
      <c r="Q52" s="244">
        <v>0</v>
      </c>
      <c r="R52" s="244">
        <v>0</v>
      </c>
      <c r="S52" s="244">
        <v>0</v>
      </c>
      <c r="T52" s="244">
        <v>0</v>
      </c>
      <c r="U52" s="244">
        <v>0</v>
      </c>
      <c r="V52" s="244">
        <v>0</v>
      </c>
      <c r="W52" s="244">
        <v>0</v>
      </c>
      <c r="X52" s="244">
        <v>0</v>
      </c>
      <c r="Y52" s="244">
        <v>0</v>
      </c>
      <c r="Z52" s="244">
        <v>0</v>
      </c>
      <c r="AA52" s="87" t="s">
        <v>1649</v>
      </c>
      <c r="AB52" s="87" t="s">
        <v>1649</v>
      </c>
      <c r="AC52" s="244">
        <v>0</v>
      </c>
      <c r="AD52" s="87" t="s">
        <v>1648</v>
      </c>
      <c r="AE52" s="244">
        <v>-1</v>
      </c>
      <c r="AF52" s="87" t="s">
        <v>1650</v>
      </c>
      <c r="AG52" s="87" t="s">
        <v>1648</v>
      </c>
      <c r="AH52" s="87" t="s">
        <v>1649</v>
      </c>
      <c r="AI52" s="87" t="s">
        <v>1649</v>
      </c>
      <c r="AJ52" s="87" t="s">
        <v>1649</v>
      </c>
    </row>
    <row r="53" spans="1:36" ht="13.5" thickBot="1" x14ac:dyDescent="0.25">
      <c r="A53" s="48" t="s">
        <v>628</v>
      </c>
      <c r="B53" s="347" t="s">
        <v>627</v>
      </c>
      <c r="C53" s="48" t="s">
        <v>3059</v>
      </c>
      <c r="D53" s="48" t="s">
        <v>34</v>
      </c>
      <c r="E53" s="48" t="s">
        <v>1919</v>
      </c>
      <c r="F53" s="87" t="s">
        <v>1648</v>
      </c>
      <c r="G53" s="87" t="s">
        <v>1648</v>
      </c>
      <c r="H53" s="244">
        <v>10</v>
      </c>
      <c r="I53" s="87" t="s">
        <v>1648</v>
      </c>
      <c r="J53" s="244">
        <v>564</v>
      </c>
      <c r="K53" s="87" t="s">
        <v>1649</v>
      </c>
      <c r="L53" s="87" t="s">
        <v>1648</v>
      </c>
      <c r="M53" s="244">
        <v>2620</v>
      </c>
      <c r="N53" s="87" t="s">
        <v>1648</v>
      </c>
      <c r="O53" s="87" t="s">
        <v>1649</v>
      </c>
      <c r="P53" s="87" t="s">
        <v>1649</v>
      </c>
      <c r="Q53" s="244">
        <v>0</v>
      </c>
      <c r="R53" s="244">
        <v>0</v>
      </c>
      <c r="S53" s="244">
        <v>0</v>
      </c>
      <c r="T53" s="244">
        <v>0</v>
      </c>
      <c r="U53" s="244">
        <v>0</v>
      </c>
      <c r="V53" s="244">
        <v>0</v>
      </c>
      <c r="W53" s="244">
        <v>0</v>
      </c>
      <c r="X53" s="244">
        <v>0</v>
      </c>
      <c r="Y53" s="244">
        <v>0</v>
      </c>
      <c r="Z53" s="244">
        <v>0</v>
      </c>
      <c r="AA53" s="87" t="s">
        <v>1648</v>
      </c>
      <c r="AB53" s="87" t="s">
        <v>1648</v>
      </c>
      <c r="AC53" s="244">
        <v>0</v>
      </c>
      <c r="AD53" s="87" t="s">
        <v>1648</v>
      </c>
      <c r="AE53" s="244">
        <v>464</v>
      </c>
      <c r="AF53" s="87" t="s">
        <v>1651</v>
      </c>
      <c r="AG53" s="87" t="s">
        <v>1648</v>
      </c>
      <c r="AH53" s="87" t="s">
        <v>1648</v>
      </c>
      <c r="AI53" s="87" t="s">
        <v>1649</v>
      </c>
      <c r="AJ53" s="87" t="s">
        <v>1649</v>
      </c>
    </row>
    <row r="54" spans="1:36" ht="13.5" thickBot="1" x14ac:dyDescent="0.25">
      <c r="A54" s="48" t="s">
        <v>630</v>
      </c>
      <c r="B54" s="347" t="s">
        <v>629</v>
      </c>
      <c r="C54" s="48" t="s">
        <v>3053</v>
      </c>
      <c r="D54" s="48" t="s">
        <v>34</v>
      </c>
      <c r="E54" s="48" t="s">
        <v>1919</v>
      </c>
      <c r="F54" s="87" t="s">
        <v>1648</v>
      </c>
      <c r="G54" s="87" t="s">
        <v>1649</v>
      </c>
      <c r="H54" s="244">
        <v>74</v>
      </c>
      <c r="I54" s="87" t="s">
        <v>1649</v>
      </c>
      <c r="J54" s="244">
        <v>34</v>
      </c>
      <c r="K54" s="87" t="s">
        <v>1649</v>
      </c>
      <c r="L54" s="87" t="s">
        <v>1649</v>
      </c>
      <c r="M54" s="244">
        <v>0</v>
      </c>
      <c r="N54" s="87" t="s">
        <v>1649</v>
      </c>
      <c r="O54" s="87" t="s">
        <v>1648</v>
      </c>
      <c r="P54" s="87" t="s">
        <v>1648</v>
      </c>
      <c r="Q54" s="244">
        <v>3</v>
      </c>
      <c r="R54" s="244">
        <v>32</v>
      </c>
      <c r="S54" s="244">
        <v>0</v>
      </c>
      <c r="T54" s="244">
        <v>0</v>
      </c>
      <c r="U54" s="244">
        <v>0</v>
      </c>
      <c r="V54" s="244">
        <v>0</v>
      </c>
      <c r="W54" s="244">
        <v>0</v>
      </c>
      <c r="X54" s="244">
        <v>0</v>
      </c>
      <c r="Y54" s="244">
        <v>2</v>
      </c>
      <c r="Z54" s="244">
        <v>2</v>
      </c>
      <c r="AA54" s="87" t="s">
        <v>1648</v>
      </c>
      <c r="AB54" s="87" t="s">
        <v>1649</v>
      </c>
      <c r="AC54" s="244">
        <v>0</v>
      </c>
      <c r="AD54" s="87" t="s">
        <v>1648</v>
      </c>
      <c r="AE54" s="244">
        <v>378</v>
      </c>
      <c r="AF54" s="87" t="s">
        <v>1651</v>
      </c>
      <c r="AG54" s="87" t="s">
        <v>1648</v>
      </c>
      <c r="AH54" s="87" t="s">
        <v>1648</v>
      </c>
      <c r="AI54" s="87" t="s">
        <v>1649</v>
      </c>
      <c r="AJ54" s="87" t="s">
        <v>1649</v>
      </c>
    </row>
    <row r="55" spans="1:36" ht="13.5" thickBot="1" x14ac:dyDescent="0.25">
      <c r="A55" s="48" t="s">
        <v>674</v>
      </c>
      <c r="B55" s="347" t="s">
        <v>673</v>
      </c>
      <c r="C55" s="48" t="s">
        <v>3061</v>
      </c>
      <c r="D55" s="48" t="s">
        <v>34</v>
      </c>
      <c r="E55" s="48" t="s">
        <v>2066</v>
      </c>
      <c r="F55" s="87" t="s">
        <v>1648</v>
      </c>
      <c r="G55" s="87" t="s">
        <v>1648</v>
      </c>
      <c r="H55" s="244">
        <v>323</v>
      </c>
      <c r="I55" s="87" t="s">
        <v>1648</v>
      </c>
      <c r="J55" s="244">
        <v>927</v>
      </c>
      <c r="K55" s="87" t="s">
        <v>1649</v>
      </c>
      <c r="L55" s="87" t="s">
        <v>1649</v>
      </c>
      <c r="M55" s="244">
        <v>0</v>
      </c>
      <c r="N55" s="87" t="s">
        <v>1649</v>
      </c>
      <c r="O55" s="87" t="s">
        <v>1648</v>
      </c>
      <c r="P55" s="87" t="s">
        <v>1648</v>
      </c>
      <c r="Q55" s="244">
        <v>0</v>
      </c>
      <c r="R55" s="244">
        <v>0</v>
      </c>
      <c r="S55" s="244">
        <v>0</v>
      </c>
      <c r="T55" s="244">
        <v>0</v>
      </c>
      <c r="U55" s="244">
        <v>0</v>
      </c>
      <c r="V55" s="244">
        <v>0</v>
      </c>
      <c r="W55" s="244">
        <v>0</v>
      </c>
      <c r="X55" s="244">
        <v>0</v>
      </c>
      <c r="Y55" s="244">
        <v>19</v>
      </c>
      <c r="Z55" s="244">
        <v>816</v>
      </c>
      <c r="AA55" s="87" t="s">
        <v>1648</v>
      </c>
      <c r="AB55" s="87" t="s">
        <v>1648</v>
      </c>
      <c r="AC55" s="244">
        <v>3</v>
      </c>
      <c r="AD55" s="87" t="s">
        <v>1648</v>
      </c>
      <c r="AE55" s="244">
        <v>791</v>
      </c>
      <c r="AF55" s="87" t="s">
        <v>1650</v>
      </c>
      <c r="AG55" s="87" t="s">
        <v>1648</v>
      </c>
      <c r="AH55" s="87" t="s">
        <v>1648</v>
      </c>
      <c r="AI55" s="87" t="s">
        <v>1649</v>
      </c>
      <c r="AJ55" s="87" t="s">
        <v>1648</v>
      </c>
    </row>
    <row r="56" spans="1:36" ht="13.5" thickBot="1" x14ac:dyDescent="0.25">
      <c r="A56" s="48" t="s">
        <v>680</v>
      </c>
      <c r="B56" s="347" t="s">
        <v>679</v>
      </c>
      <c r="C56" s="48" t="s">
        <v>3059</v>
      </c>
      <c r="D56" s="48" t="s">
        <v>34</v>
      </c>
      <c r="E56" s="48" t="s">
        <v>1919</v>
      </c>
      <c r="F56" s="87" t="s">
        <v>1648</v>
      </c>
      <c r="G56" s="87" t="s">
        <v>1648</v>
      </c>
      <c r="H56" s="244">
        <v>260</v>
      </c>
      <c r="I56" s="87" t="s">
        <v>1648</v>
      </c>
      <c r="J56" s="244">
        <v>156</v>
      </c>
      <c r="K56" s="87" t="s">
        <v>1649</v>
      </c>
      <c r="L56" s="87" t="s">
        <v>1649</v>
      </c>
      <c r="M56" s="244">
        <v>0</v>
      </c>
      <c r="N56" s="87" t="s">
        <v>1649</v>
      </c>
      <c r="O56" s="87" t="s">
        <v>1648</v>
      </c>
      <c r="P56" s="87" t="s">
        <v>1649</v>
      </c>
      <c r="Q56" s="244">
        <v>-1</v>
      </c>
      <c r="R56" s="244">
        <v>-1</v>
      </c>
      <c r="S56" s="244">
        <v>1</v>
      </c>
      <c r="T56" s="244">
        <v>4</v>
      </c>
      <c r="U56" s="244">
        <v>0</v>
      </c>
      <c r="V56" s="244">
        <v>0</v>
      </c>
      <c r="W56" s="244">
        <v>1</v>
      </c>
      <c r="X56" s="244">
        <v>4</v>
      </c>
      <c r="Y56" s="244">
        <v>-1</v>
      </c>
      <c r="Z56" s="244">
        <v>-1</v>
      </c>
      <c r="AA56" s="87" t="s">
        <v>1648</v>
      </c>
      <c r="AB56" s="87" t="s">
        <v>1648</v>
      </c>
      <c r="AC56" s="244">
        <v>11</v>
      </c>
      <c r="AD56" s="87" t="s">
        <v>1648</v>
      </c>
      <c r="AE56" s="244">
        <v>3800</v>
      </c>
      <c r="AF56" s="87" t="s">
        <v>1650</v>
      </c>
      <c r="AG56" s="87" t="s">
        <v>1648</v>
      </c>
      <c r="AH56" s="87" t="s">
        <v>1648</v>
      </c>
      <c r="AI56" s="87" t="s">
        <v>1649</v>
      </c>
      <c r="AJ56" s="87" t="s">
        <v>1649</v>
      </c>
    </row>
    <row r="57" spans="1:36" ht="13.5" thickBot="1" x14ac:dyDescent="0.25">
      <c r="A57" s="48" t="s">
        <v>690</v>
      </c>
      <c r="B57" s="347" t="s">
        <v>689</v>
      </c>
      <c r="C57" s="48" t="s">
        <v>3058</v>
      </c>
      <c r="D57" s="48" t="s">
        <v>34</v>
      </c>
      <c r="E57" s="48" t="s">
        <v>2066</v>
      </c>
      <c r="F57" s="87" t="s">
        <v>1648</v>
      </c>
      <c r="G57" s="87" t="s">
        <v>1648</v>
      </c>
      <c r="H57" s="244">
        <v>200</v>
      </c>
      <c r="I57" s="87" t="s">
        <v>1648</v>
      </c>
      <c r="J57" s="244">
        <v>1080</v>
      </c>
      <c r="K57" s="87" t="s">
        <v>1649</v>
      </c>
      <c r="L57" s="87" t="s">
        <v>1649</v>
      </c>
      <c r="M57" s="244">
        <v>0</v>
      </c>
      <c r="N57" s="87" t="s">
        <v>1649</v>
      </c>
      <c r="O57" s="87" t="s">
        <v>1649</v>
      </c>
      <c r="P57" s="87" t="s">
        <v>1648</v>
      </c>
      <c r="Q57" s="244">
        <v>0</v>
      </c>
      <c r="R57" s="244">
        <v>0</v>
      </c>
      <c r="S57" s="244">
        <v>0</v>
      </c>
      <c r="T57" s="244">
        <v>0</v>
      </c>
      <c r="U57" s="244">
        <v>0</v>
      </c>
      <c r="V57" s="244">
        <v>0</v>
      </c>
      <c r="W57" s="244">
        <v>0</v>
      </c>
      <c r="X57" s="244">
        <v>0</v>
      </c>
      <c r="Y57" s="244">
        <v>5</v>
      </c>
      <c r="Z57" s="244">
        <v>35</v>
      </c>
      <c r="AA57" s="87" t="s">
        <v>1648</v>
      </c>
      <c r="AB57" s="87" t="s">
        <v>1649</v>
      </c>
      <c r="AC57" s="244">
        <v>0</v>
      </c>
      <c r="AD57" s="87" t="s">
        <v>1648</v>
      </c>
      <c r="AE57" s="244">
        <v>765</v>
      </c>
      <c r="AF57" s="87" t="s">
        <v>1650</v>
      </c>
      <c r="AG57" s="87" t="s">
        <v>1648</v>
      </c>
      <c r="AH57" s="87" t="s">
        <v>1648</v>
      </c>
      <c r="AI57" s="87" t="s">
        <v>1649</v>
      </c>
      <c r="AJ57" s="87" t="s">
        <v>1649</v>
      </c>
    </row>
    <row r="58" spans="1:36" ht="13.5" thickBot="1" x14ac:dyDescent="0.25">
      <c r="A58" s="48" t="s">
        <v>692</v>
      </c>
      <c r="B58" s="347" t="s">
        <v>691</v>
      </c>
      <c r="C58" s="48" t="s">
        <v>3072</v>
      </c>
      <c r="D58" s="48" t="s">
        <v>34</v>
      </c>
      <c r="E58" s="48" t="s">
        <v>1919</v>
      </c>
      <c r="F58" s="87" t="s">
        <v>1648</v>
      </c>
      <c r="G58" s="87" t="s">
        <v>1649</v>
      </c>
      <c r="H58" s="244">
        <v>0</v>
      </c>
      <c r="I58" s="87" t="s">
        <v>1649</v>
      </c>
      <c r="J58" s="244">
        <v>0</v>
      </c>
      <c r="K58" s="87" t="s">
        <v>1649</v>
      </c>
      <c r="L58" s="87" t="s">
        <v>1648</v>
      </c>
      <c r="M58" s="244">
        <v>4000</v>
      </c>
      <c r="N58" s="87" t="s">
        <v>1649</v>
      </c>
      <c r="O58" s="87" t="s">
        <v>1649</v>
      </c>
      <c r="P58" s="87" t="s">
        <v>1649</v>
      </c>
      <c r="Q58" s="244">
        <v>0</v>
      </c>
      <c r="R58" s="244">
        <v>0</v>
      </c>
      <c r="S58" s="244">
        <v>0</v>
      </c>
      <c r="T58" s="244">
        <v>0</v>
      </c>
      <c r="U58" s="244">
        <v>0</v>
      </c>
      <c r="V58" s="244">
        <v>0</v>
      </c>
      <c r="W58" s="244">
        <v>0</v>
      </c>
      <c r="X58" s="244">
        <v>0</v>
      </c>
      <c r="Y58" s="244">
        <v>0</v>
      </c>
      <c r="Z58" s="244">
        <v>0</v>
      </c>
      <c r="AA58" s="87" t="s">
        <v>1649</v>
      </c>
      <c r="AB58" s="87" t="s">
        <v>1649</v>
      </c>
      <c r="AC58" s="244">
        <v>0</v>
      </c>
      <c r="AD58" s="87" t="s">
        <v>1649</v>
      </c>
      <c r="AE58" s="244">
        <v>101</v>
      </c>
      <c r="AF58" s="87" t="s">
        <v>1650</v>
      </c>
      <c r="AG58" s="87" t="s">
        <v>1648</v>
      </c>
      <c r="AH58" s="87" t="s">
        <v>1648</v>
      </c>
      <c r="AI58" s="87" t="s">
        <v>1649</v>
      </c>
      <c r="AJ58" s="87" t="s">
        <v>1649</v>
      </c>
    </row>
    <row r="59" spans="1:36" ht="13.5" thickBot="1" x14ac:dyDescent="0.25">
      <c r="A59" s="48" t="s">
        <v>714</v>
      </c>
      <c r="B59" s="347" t="s">
        <v>713</v>
      </c>
      <c r="C59" s="48" t="s">
        <v>3061</v>
      </c>
      <c r="D59" s="48" t="s">
        <v>34</v>
      </c>
      <c r="E59" s="48" t="s">
        <v>1949</v>
      </c>
      <c r="F59" s="87" t="s">
        <v>1648</v>
      </c>
      <c r="G59" s="87" t="s">
        <v>1648</v>
      </c>
      <c r="H59" s="244">
        <v>84</v>
      </c>
      <c r="I59" s="87" t="s">
        <v>1649</v>
      </c>
      <c r="J59" s="244">
        <v>0</v>
      </c>
      <c r="K59" s="87" t="s">
        <v>1649</v>
      </c>
      <c r="L59" s="87" t="s">
        <v>1649</v>
      </c>
      <c r="M59" s="244">
        <v>0</v>
      </c>
      <c r="N59" s="87" t="s">
        <v>1649</v>
      </c>
      <c r="O59" s="87" t="s">
        <v>1649</v>
      </c>
      <c r="P59" s="87" t="s">
        <v>1649</v>
      </c>
      <c r="Q59" s="244">
        <v>0</v>
      </c>
      <c r="R59" s="244">
        <v>0</v>
      </c>
      <c r="S59" s="244">
        <v>0</v>
      </c>
      <c r="T59" s="244">
        <v>0</v>
      </c>
      <c r="U59" s="244">
        <v>0</v>
      </c>
      <c r="V59" s="244">
        <v>0</v>
      </c>
      <c r="W59" s="244">
        <v>0</v>
      </c>
      <c r="X59" s="244">
        <v>0</v>
      </c>
      <c r="Y59" s="244">
        <v>0</v>
      </c>
      <c r="Z59" s="244">
        <v>0</v>
      </c>
      <c r="AA59" s="87" t="s">
        <v>1648</v>
      </c>
      <c r="AB59" s="87" t="s">
        <v>1649</v>
      </c>
      <c r="AC59" s="244">
        <v>0</v>
      </c>
      <c r="AD59" s="87" t="s">
        <v>1648</v>
      </c>
      <c r="AE59" s="244">
        <v>1095</v>
      </c>
      <c r="AF59" s="87" t="s">
        <v>1650</v>
      </c>
      <c r="AG59" s="87" t="s">
        <v>1648</v>
      </c>
      <c r="AH59" s="87" t="s">
        <v>1648</v>
      </c>
      <c r="AI59" s="87" t="s">
        <v>1649</v>
      </c>
      <c r="AJ59" s="87" t="s">
        <v>1649</v>
      </c>
    </row>
    <row r="60" spans="1:36" ht="13.5" thickBot="1" x14ac:dyDescent="0.25">
      <c r="A60" s="48" t="s">
        <v>732</v>
      </c>
      <c r="B60" s="347" t="s">
        <v>731</v>
      </c>
      <c r="C60" s="48" t="s">
        <v>3061</v>
      </c>
      <c r="D60" s="48" t="s">
        <v>34</v>
      </c>
      <c r="E60" s="48" t="s">
        <v>1919</v>
      </c>
      <c r="F60" s="87" t="s">
        <v>1648</v>
      </c>
      <c r="G60" s="87" t="s">
        <v>1649</v>
      </c>
      <c r="H60" s="244">
        <v>0</v>
      </c>
      <c r="I60" s="87" t="s">
        <v>1648</v>
      </c>
      <c r="J60" s="244">
        <v>52</v>
      </c>
      <c r="K60" s="87" t="s">
        <v>1649</v>
      </c>
      <c r="L60" s="87" t="s">
        <v>1649</v>
      </c>
      <c r="M60" s="244">
        <v>0</v>
      </c>
      <c r="N60" s="87" t="s">
        <v>1649</v>
      </c>
      <c r="O60" s="87" t="s">
        <v>1649</v>
      </c>
      <c r="P60" s="87" t="s">
        <v>1649</v>
      </c>
      <c r="Q60" s="244">
        <v>0</v>
      </c>
      <c r="R60" s="244">
        <v>0</v>
      </c>
      <c r="S60" s="244">
        <v>0</v>
      </c>
      <c r="T60" s="244">
        <v>0</v>
      </c>
      <c r="U60" s="244">
        <v>0</v>
      </c>
      <c r="V60" s="244">
        <v>0</v>
      </c>
      <c r="W60" s="244">
        <v>0</v>
      </c>
      <c r="X60" s="244">
        <v>0</v>
      </c>
      <c r="Y60" s="244">
        <v>0</v>
      </c>
      <c r="Z60" s="244">
        <v>0</v>
      </c>
      <c r="AA60" s="87" t="s">
        <v>1649</v>
      </c>
      <c r="AB60" s="87" t="s">
        <v>1649</v>
      </c>
      <c r="AC60" s="244">
        <v>0</v>
      </c>
      <c r="AD60" s="87" t="s">
        <v>1649</v>
      </c>
      <c r="AE60" s="244">
        <v>310</v>
      </c>
      <c r="AF60" s="87" t="s">
        <v>1650</v>
      </c>
      <c r="AG60" s="87" t="s">
        <v>1648</v>
      </c>
      <c r="AH60" s="87" t="s">
        <v>1648</v>
      </c>
      <c r="AI60" s="87" t="s">
        <v>1649</v>
      </c>
      <c r="AJ60" s="87" t="s">
        <v>1649</v>
      </c>
    </row>
    <row r="61" spans="1:36" ht="13.5" thickBot="1" x14ac:dyDescent="0.25">
      <c r="A61" s="48" t="s">
        <v>750</v>
      </c>
      <c r="B61" s="347" t="s">
        <v>749</v>
      </c>
      <c r="C61" s="48" t="s">
        <v>3077</v>
      </c>
      <c r="D61" s="48" t="s">
        <v>34</v>
      </c>
      <c r="E61" s="48" t="s">
        <v>1919</v>
      </c>
      <c r="F61" s="87" t="s">
        <v>1648</v>
      </c>
      <c r="G61" s="87" t="s">
        <v>1649</v>
      </c>
      <c r="H61" s="244">
        <v>0</v>
      </c>
      <c r="I61" s="87" t="s">
        <v>1648</v>
      </c>
      <c r="J61" s="244">
        <v>495</v>
      </c>
      <c r="K61" s="87" t="s">
        <v>1649</v>
      </c>
      <c r="L61" s="87" t="s">
        <v>1649</v>
      </c>
      <c r="M61" s="244">
        <v>0</v>
      </c>
      <c r="N61" s="87" t="s">
        <v>1649</v>
      </c>
      <c r="O61" s="87" t="s">
        <v>1649</v>
      </c>
      <c r="P61" s="87" t="s">
        <v>1649</v>
      </c>
      <c r="Q61" s="244">
        <v>0</v>
      </c>
      <c r="R61" s="244">
        <v>0</v>
      </c>
      <c r="S61" s="244">
        <v>0</v>
      </c>
      <c r="T61" s="244">
        <v>0</v>
      </c>
      <c r="U61" s="244">
        <v>0</v>
      </c>
      <c r="V61" s="244">
        <v>0</v>
      </c>
      <c r="W61" s="244">
        <v>0</v>
      </c>
      <c r="X61" s="244">
        <v>0</v>
      </c>
      <c r="Y61" s="244">
        <v>0</v>
      </c>
      <c r="Z61" s="244">
        <v>0</v>
      </c>
      <c r="AA61" s="87" t="s">
        <v>1649</v>
      </c>
      <c r="AB61" s="87" t="s">
        <v>1649</v>
      </c>
      <c r="AC61" s="244">
        <v>0</v>
      </c>
      <c r="AD61" s="87" t="s">
        <v>1649</v>
      </c>
      <c r="AE61" s="244">
        <v>270</v>
      </c>
      <c r="AF61" s="87" t="s">
        <v>1650</v>
      </c>
      <c r="AG61" s="87" t="s">
        <v>1648</v>
      </c>
      <c r="AH61" s="87" t="s">
        <v>1648</v>
      </c>
      <c r="AI61" s="87" t="s">
        <v>1649</v>
      </c>
      <c r="AJ61" s="87" t="s">
        <v>1649</v>
      </c>
    </row>
    <row r="62" spans="1:36" ht="13.5" thickBot="1" x14ac:dyDescent="0.25">
      <c r="A62" s="48" t="s">
        <v>762</v>
      </c>
      <c r="B62" s="347" t="s">
        <v>761</v>
      </c>
      <c r="C62" s="48" t="s">
        <v>3061</v>
      </c>
      <c r="D62" s="48" t="s">
        <v>34</v>
      </c>
      <c r="E62" s="48" t="s">
        <v>1919</v>
      </c>
      <c r="F62" s="87" t="s">
        <v>1648</v>
      </c>
      <c r="G62" s="87" t="s">
        <v>1648</v>
      </c>
      <c r="H62" s="244">
        <v>10</v>
      </c>
      <c r="I62" s="87" t="s">
        <v>1648</v>
      </c>
      <c r="J62" s="244">
        <v>180</v>
      </c>
      <c r="K62" s="87" t="s">
        <v>1649</v>
      </c>
      <c r="L62" s="87" t="s">
        <v>1649</v>
      </c>
      <c r="M62" s="244">
        <v>0</v>
      </c>
      <c r="N62" s="87" t="s">
        <v>1649</v>
      </c>
      <c r="O62" s="87" t="s">
        <v>1649</v>
      </c>
      <c r="P62" s="87" t="s">
        <v>1649</v>
      </c>
      <c r="Q62" s="244">
        <v>0</v>
      </c>
      <c r="R62" s="244">
        <v>0</v>
      </c>
      <c r="S62" s="244">
        <v>0</v>
      </c>
      <c r="T62" s="244">
        <v>0</v>
      </c>
      <c r="U62" s="244">
        <v>0</v>
      </c>
      <c r="V62" s="244">
        <v>0</v>
      </c>
      <c r="W62" s="244">
        <v>0</v>
      </c>
      <c r="X62" s="244">
        <v>0</v>
      </c>
      <c r="Y62" s="244">
        <v>0</v>
      </c>
      <c r="Z62" s="244">
        <v>0</v>
      </c>
      <c r="AA62" s="87" t="s">
        <v>1649</v>
      </c>
      <c r="AB62" s="87" t="s">
        <v>1648</v>
      </c>
      <c r="AC62" s="244">
        <v>10</v>
      </c>
      <c r="AD62" s="87" t="s">
        <v>1648</v>
      </c>
      <c r="AE62" s="244">
        <v>600</v>
      </c>
      <c r="AF62" s="87" t="s">
        <v>1650</v>
      </c>
      <c r="AG62" s="87" t="s">
        <v>1648</v>
      </c>
      <c r="AH62" s="87" t="s">
        <v>1648</v>
      </c>
      <c r="AI62" s="87" t="s">
        <v>1649</v>
      </c>
      <c r="AJ62" s="87" t="s">
        <v>1648</v>
      </c>
    </row>
    <row r="63" spans="1:36" ht="13.5" thickBot="1" x14ac:dyDescent="0.25">
      <c r="A63" s="48" t="s">
        <v>768</v>
      </c>
      <c r="B63" s="347" t="s">
        <v>767</v>
      </c>
      <c r="C63" s="48" t="s">
        <v>3053</v>
      </c>
      <c r="D63" s="48" t="s">
        <v>34</v>
      </c>
      <c r="E63" s="48" t="s">
        <v>890</v>
      </c>
      <c r="F63" s="87" t="s">
        <v>1648</v>
      </c>
      <c r="G63" s="87" t="s">
        <v>1648</v>
      </c>
      <c r="H63" s="244">
        <v>40</v>
      </c>
      <c r="I63" s="87" t="s">
        <v>1648</v>
      </c>
      <c r="J63" s="244">
        <v>390</v>
      </c>
      <c r="K63" s="87" t="s">
        <v>1649</v>
      </c>
      <c r="L63" s="87" t="s">
        <v>1649</v>
      </c>
      <c r="M63" s="244">
        <v>0</v>
      </c>
      <c r="N63" s="87" t="s">
        <v>1649</v>
      </c>
      <c r="O63" s="87" t="s">
        <v>1649</v>
      </c>
      <c r="P63" s="87" t="s">
        <v>1649</v>
      </c>
      <c r="Q63" s="244">
        <v>0</v>
      </c>
      <c r="R63" s="244">
        <v>0</v>
      </c>
      <c r="S63" s="244">
        <v>0</v>
      </c>
      <c r="T63" s="244">
        <v>0</v>
      </c>
      <c r="U63" s="244">
        <v>0</v>
      </c>
      <c r="V63" s="244">
        <v>0</v>
      </c>
      <c r="W63" s="244">
        <v>0</v>
      </c>
      <c r="X63" s="244">
        <v>0</v>
      </c>
      <c r="Y63" s="244">
        <v>0</v>
      </c>
      <c r="Z63" s="244">
        <v>0</v>
      </c>
      <c r="AA63" s="87" t="s">
        <v>1648</v>
      </c>
      <c r="AB63" s="87" t="s">
        <v>1649</v>
      </c>
      <c r="AC63" s="244">
        <v>0</v>
      </c>
      <c r="AD63" s="87" t="s">
        <v>1648</v>
      </c>
      <c r="AE63" s="244">
        <v>150</v>
      </c>
      <c r="AF63" s="87" t="s">
        <v>1650</v>
      </c>
      <c r="AG63" s="87" t="s">
        <v>1648</v>
      </c>
      <c r="AH63" s="87" t="s">
        <v>1648</v>
      </c>
      <c r="AI63" s="87" t="s">
        <v>1649</v>
      </c>
      <c r="AJ63" s="87" t="s">
        <v>1649</v>
      </c>
    </row>
    <row r="64" spans="1:36" ht="13.5" thickBot="1" x14ac:dyDescent="0.25">
      <c r="A64" s="48" t="s">
        <v>770</v>
      </c>
      <c r="B64" s="347" t="s">
        <v>769</v>
      </c>
      <c r="C64" s="48" t="s">
        <v>3061</v>
      </c>
      <c r="D64" s="48" t="s">
        <v>34</v>
      </c>
      <c r="E64" s="48" t="s">
        <v>1949</v>
      </c>
      <c r="F64" s="87" t="s">
        <v>1648</v>
      </c>
      <c r="G64" s="87" t="s">
        <v>1648</v>
      </c>
      <c r="H64" s="244">
        <v>250</v>
      </c>
      <c r="I64" s="87" t="s">
        <v>1649</v>
      </c>
      <c r="J64" s="244">
        <v>0</v>
      </c>
      <c r="K64" s="87" t="s">
        <v>1649</v>
      </c>
      <c r="L64" s="87" t="s">
        <v>1649</v>
      </c>
      <c r="M64" s="244">
        <v>0</v>
      </c>
      <c r="N64" s="87" t="s">
        <v>1648</v>
      </c>
      <c r="O64" s="87" t="s">
        <v>1649</v>
      </c>
      <c r="P64" s="87" t="s">
        <v>1649</v>
      </c>
      <c r="Q64" s="244">
        <v>0</v>
      </c>
      <c r="R64" s="244">
        <v>0</v>
      </c>
      <c r="S64" s="244">
        <v>0</v>
      </c>
      <c r="T64" s="244">
        <v>0</v>
      </c>
      <c r="U64" s="244">
        <v>0</v>
      </c>
      <c r="V64" s="244">
        <v>0</v>
      </c>
      <c r="W64" s="244">
        <v>0</v>
      </c>
      <c r="X64" s="244">
        <v>0</v>
      </c>
      <c r="Y64" s="244">
        <v>0</v>
      </c>
      <c r="Z64" s="244">
        <v>0</v>
      </c>
      <c r="AA64" s="87" t="s">
        <v>1649</v>
      </c>
      <c r="AB64" s="87" t="s">
        <v>1649</v>
      </c>
      <c r="AC64" s="244">
        <v>0</v>
      </c>
      <c r="AD64" s="87" t="s">
        <v>1648</v>
      </c>
      <c r="AE64" s="244">
        <v>4439</v>
      </c>
      <c r="AF64" s="87" t="s">
        <v>1651</v>
      </c>
      <c r="AG64" s="87" t="s">
        <v>1648</v>
      </c>
      <c r="AH64" s="87" t="s">
        <v>1648</v>
      </c>
      <c r="AI64" s="87" t="s">
        <v>1649</v>
      </c>
      <c r="AJ64" s="87" t="s">
        <v>1649</v>
      </c>
    </row>
    <row r="65" spans="1:36" ht="13.5" thickBot="1" x14ac:dyDescent="0.25">
      <c r="A65" s="48" t="s">
        <v>772</v>
      </c>
      <c r="B65" s="347" t="s">
        <v>771</v>
      </c>
      <c r="C65" s="48" t="s">
        <v>3059</v>
      </c>
      <c r="D65" s="48" t="s">
        <v>34</v>
      </c>
      <c r="E65" s="48" t="s">
        <v>2133</v>
      </c>
      <c r="F65" s="87" t="s">
        <v>1648</v>
      </c>
      <c r="G65" s="87" t="s">
        <v>1649</v>
      </c>
      <c r="H65" s="244">
        <v>0</v>
      </c>
      <c r="I65" s="87" t="s">
        <v>1648</v>
      </c>
      <c r="J65" s="244">
        <v>178</v>
      </c>
      <c r="K65" s="87" t="s">
        <v>1649</v>
      </c>
      <c r="L65" s="87" t="s">
        <v>1649</v>
      </c>
      <c r="M65" s="244">
        <v>0</v>
      </c>
      <c r="N65" s="87" t="s">
        <v>1649</v>
      </c>
      <c r="O65" s="87" t="s">
        <v>1649</v>
      </c>
      <c r="P65" s="87" t="s">
        <v>1649</v>
      </c>
      <c r="Q65" s="244">
        <v>0</v>
      </c>
      <c r="R65" s="244">
        <v>0</v>
      </c>
      <c r="S65" s="244">
        <v>0</v>
      </c>
      <c r="T65" s="244">
        <v>0</v>
      </c>
      <c r="U65" s="244">
        <v>0</v>
      </c>
      <c r="V65" s="244">
        <v>0</v>
      </c>
      <c r="W65" s="244">
        <v>0</v>
      </c>
      <c r="X65" s="244">
        <v>0</v>
      </c>
      <c r="Y65" s="244">
        <v>0</v>
      </c>
      <c r="Z65" s="244">
        <v>0</v>
      </c>
      <c r="AA65" s="87" t="s">
        <v>1649</v>
      </c>
      <c r="AB65" s="87" t="s">
        <v>1649</v>
      </c>
      <c r="AC65" s="244">
        <v>0</v>
      </c>
      <c r="AD65" s="87" t="s">
        <v>1649</v>
      </c>
      <c r="AE65" s="244">
        <v>3</v>
      </c>
      <c r="AF65" s="87" t="s">
        <v>1651</v>
      </c>
      <c r="AG65" s="87" t="s">
        <v>1649</v>
      </c>
      <c r="AH65" s="87" t="s">
        <v>1649</v>
      </c>
      <c r="AI65" s="87" t="s">
        <v>1649</v>
      </c>
      <c r="AJ65" s="87" t="s">
        <v>1649</v>
      </c>
    </row>
    <row r="66" spans="1:36" ht="13.5" thickBot="1" x14ac:dyDescent="0.25">
      <c r="A66" s="48" t="s">
        <v>782</v>
      </c>
      <c r="B66" s="347" t="s">
        <v>781</v>
      </c>
      <c r="C66" s="48" t="s">
        <v>3058</v>
      </c>
      <c r="D66" s="48" t="s">
        <v>34</v>
      </c>
      <c r="E66" s="48" t="s">
        <v>1919</v>
      </c>
      <c r="F66" s="257" t="s">
        <v>1648</v>
      </c>
      <c r="G66" s="87" t="s">
        <v>1648</v>
      </c>
      <c r="H66" s="244">
        <v>40</v>
      </c>
      <c r="I66" s="87" t="s">
        <v>1648</v>
      </c>
      <c r="J66" s="244">
        <v>400</v>
      </c>
      <c r="K66" s="87" t="s">
        <v>1649</v>
      </c>
      <c r="L66" s="87" t="s">
        <v>1649</v>
      </c>
      <c r="M66" s="244">
        <v>0</v>
      </c>
      <c r="N66" s="87" t="s">
        <v>1649</v>
      </c>
      <c r="O66" s="87" t="s">
        <v>1649</v>
      </c>
      <c r="P66" s="87" t="s">
        <v>1649</v>
      </c>
      <c r="Q66" s="244">
        <v>0</v>
      </c>
      <c r="R66" s="244">
        <v>0</v>
      </c>
      <c r="S66" s="244">
        <v>0</v>
      </c>
      <c r="T66" s="244">
        <v>0</v>
      </c>
      <c r="U66" s="244">
        <v>0</v>
      </c>
      <c r="V66" s="244">
        <v>0</v>
      </c>
      <c r="W66" s="244">
        <v>0</v>
      </c>
      <c r="X66" s="244">
        <v>0</v>
      </c>
      <c r="Y66" s="244">
        <v>0</v>
      </c>
      <c r="Z66" s="244">
        <v>0</v>
      </c>
      <c r="AA66" s="87" t="s">
        <v>1648</v>
      </c>
      <c r="AB66" s="87" t="s">
        <v>1649</v>
      </c>
      <c r="AC66" s="244">
        <v>0</v>
      </c>
      <c r="AD66" s="87" t="s">
        <v>1648</v>
      </c>
      <c r="AE66" s="244">
        <v>5</v>
      </c>
      <c r="AF66" s="87" t="s">
        <v>1651</v>
      </c>
      <c r="AG66" s="87" t="s">
        <v>1648</v>
      </c>
      <c r="AH66" s="87" t="s">
        <v>1648</v>
      </c>
      <c r="AI66" s="87" t="s">
        <v>1649</v>
      </c>
      <c r="AJ66" s="87" t="s">
        <v>1649</v>
      </c>
    </row>
    <row r="67" spans="1:36" ht="13.5" thickBot="1" x14ac:dyDescent="0.25">
      <c r="A67" s="48" t="s">
        <v>794</v>
      </c>
      <c r="B67" s="347" t="s">
        <v>793</v>
      </c>
      <c r="C67" s="48" t="s">
        <v>3059</v>
      </c>
      <c r="D67" s="48" t="s">
        <v>34</v>
      </c>
      <c r="E67" s="48" t="s">
        <v>1919</v>
      </c>
      <c r="F67" s="87" t="s">
        <v>1648</v>
      </c>
      <c r="G67" s="87" t="s">
        <v>1649</v>
      </c>
      <c r="H67" s="244">
        <v>0</v>
      </c>
      <c r="I67" s="87" t="s">
        <v>1649</v>
      </c>
      <c r="J67" s="244">
        <v>1296</v>
      </c>
      <c r="K67" s="87" t="s">
        <v>1649</v>
      </c>
      <c r="L67" s="87" t="s">
        <v>1649</v>
      </c>
      <c r="M67" s="244">
        <v>0</v>
      </c>
      <c r="N67" s="87" t="s">
        <v>1649</v>
      </c>
      <c r="O67" s="87" t="s">
        <v>1649</v>
      </c>
      <c r="P67" s="87" t="s">
        <v>1649</v>
      </c>
      <c r="Q67" s="244">
        <v>0</v>
      </c>
      <c r="R67" s="244">
        <v>0</v>
      </c>
      <c r="S67" s="244">
        <v>0</v>
      </c>
      <c r="T67" s="244">
        <v>0</v>
      </c>
      <c r="U67" s="244">
        <v>0</v>
      </c>
      <c r="V67" s="244">
        <v>0</v>
      </c>
      <c r="W67" s="244">
        <v>0</v>
      </c>
      <c r="X67" s="244">
        <v>0</v>
      </c>
      <c r="Y67" s="244">
        <v>0</v>
      </c>
      <c r="Z67" s="244">
        <v>0</v>
      </c>
      <c r="AA67" s="87" t="s">
        <v>1649</v>
      </c>
      <c r="AB67" s="87" t="s">
        <v>1649</v>
      </c>
      <c r="AC67" s="244">
        <v>0</v>
      </c>
      <c r="AD67" s="87" t="s">
        <v>1649</v>
      </c>
      <c r="AE67" s="244">
        <v>225</v>
      </c>
      <c r="AF67" s="87" t="s">
        <v>1650</v>
      </c>
      <c r="AG67" s="87" t="s">
        <v>1648</v>
      </c>
      <c r="AH67" s="87" t="s">
        <v>1649</v>
      </c>
      <c r="AI67" s="87" t="s">
        <v>1649</v>
      </c>
      <c r="AJ67" s="87" t="s">
        <v>1649</v>
      </c>
    </row>
    <row r="68" spans="1:36" ht="13.5" thickBot="1" x14ac:dyDescent="0.25">
      <c r="A68" s="48" t="s">
        <v>806</v>
      </c>
      <c r="B68" s="347" t="s">
        <v>805</v>
      </c>
      <c r="C68" s="48" t="s">
        <v>3053</v>
      </c>
      <c r="D68" s="48" t="s">
        <v>34</v>
      </c>
      <c r="E68" s="48" t="s">
        <v>1919</v>
      </c>
      <c r="F68" s="87" t="s">
        <v>1648</v>
      </c>
      <c r="G68" s="87" t="s">
        <v>1649</v>
      </c>
      <c r="H68" s="244">
        <v>0</v>
      </c>
      <c r="I68" s="87" t="s">
        <v>1648</v>
      </c>
      <c r="J68" s="244">
        <v>240</v>
      </c>
      <c r="K68" s="87" t="s">
        <v>1649</v>
      </c>
      <c r="L68" s="87" t="s">
        <v>1649</v>
      </c>
      <c r="M68" s="244">
        <v>0</v>
      </c>
      <c r="N68" s="87" t="s">
        <v>1649</v>
      </c>
      <c r="O68" s="87" t="s">
        <v>1649</v>
      </c>
      <c r="P68" s="87" t="s">
        <v>1649</v>
      </c>
      <c r="Q68" s="244">
        <v>0</v>
      </c>
      <c r="R68" s="244">
        <v>0</v>
      </c>
      <c r="S68" s="244">
        <v>0</v>
      </c>
      <c r="T68" s="244">
        <v>0</v>
      </c>
      <c r="U68" s="244">
        <v>0</v>
      </c>
      <c r="V68" s="244">
        <v>0</v>
      </c>
      <c r="W68" s="244">
        <v>0</v>
      </c>
      <c r="X68" s="244">
        <v>0</v>
      </c>
      <c r="Y68" s="244">
        <v>0</v>
      </c>
      <c r="Z68" s="244">
        <v>0</v>
      </c>
      <c r="AA68" s="87" t="s">
        <v>1649</v>
      </c>
      <c r="AB68" s="87" t="s">
        <v>1649</v>
      </c>
      <c r="AC68" s="244">
        <v>0</v>
      </c>
      <c r="AD68" s="87" t="s">
        <v>1649</v>
      </c>
      <c r="AE68" s="244">
        <v>21</v>
      </c>
      <c r="AF68" s="87" t="s">
        <v>1650</v>
      </c>
      <c r="AG68" s="87" t="s">
        <v>1648</v>
      </c>
      <c r="AH68" s="87" t="s">
        <v>1648</v>
      </c>
      <c r="AI68" s="87" t="s">
        <v>1649</v>
      </c>
      <c r="AJ68" s="87" t="s">
        <v>1649</v>
      </c>
    </row>
    <row r="69" spans="1:36" ht="13.5" thickBot="1" x14ac:dyDescent="0.25">
      <c r="A69" s="48" t="s">
        <v>814</v>
      </c>
      <c r="B69" s="347" t="s">
        <v>813</v>
      </c>
      <c r="C69" s="48" t="s">
        <v>3077</v>
      </c>
      <c r="D69" s="48" t="s">
        <v>34</v>
      </c>
      <c r="E69" s="48" t="s">
        <v>1949</v>
      </c>
      <c r="F69" s="87" t="s">
        <v>1648</v>
      </c>
      <c r="G69" s="87" t="s">
        <v>1648</v>
      </c>
      <c r="H69" s="244">
        <v>2</v>
      </c>
      <c r="I69" s="87" t="s">
        <v>1648</v>
      </c>
      <c r="J69" s="244">
        <v>49</v>
      </c>
      <c r="K69" s="87" t="s">
        <v>1649</v>
      </c>
      <c r="L69" s="87" t="s">
        <v>1649</v>
      </c>
      <c r="M69" s="244">
        <v>0</v>
      </c>
      <c r="N69" s="87" t="s">
        <v>1649</v>
      </c>
      <c r="O69" s="87" t="s">
        <v>1649</v>
      </c>
      <c r="P69" s="87" t="s">
        <v>1649</v>
      </c>
      <c r="Q69" s="244">
        <v>0</v>
      </c>
      <c r="R69" s="244">
        <v>0</v>
      </c>
      <c r="S69" s="244">
        <v>0</v>
      </c>
      <c r="T69" s="244">
        <v>0</v>
      </c>
      <c r="U69" s="244">
        <v>0</v>
      </c>
      <c r="V69" s="244">
        <v>0</v>
      </c>
      <c r="W69" s="244">
        <v>0</v>
      </c>
      <c r="X69" s="244">
        <v>0</v>
      </c>
      <c r="Y69" s="244">
        <v>0</v>
      </c>
      <c r="Z69" s="244">
        <v>0</v>
      </c>
      <c r="AA69" s="87" t="s">
        <v>1648</v>
      </c>
      <c r="AB69" s="87" t="s">
        <v>1649</v>
      </c>
      <c r="AC69" s="244">
        <v>0</v>
      </c>
      <c r="AD69" s="87" t="s">
        <v>1649</v>
      </c>
      <c r="AE69" s="244">
        <v>1162</v>
      </c>
      <c r="AF69" s="87" t="s">
        <v>1651</v>
      </c>
      <c r="AG69" s="87" t="s">
        <v>1649</v>
      </c>
      <c r="AH69" s="87" t="s">
        <v>1649</v>
      </c>
      <c r="AI69" s="87" t="s">
        <v>1649</v>
      </c>
      <c r="AJ69" s="87" t="s">
        <v>1649</v>
      </c>
    </row>
    <row r="70" spans="1:36" ht="13.5" thickBot="1" x14ac:dyDescent="0.25">
      <c r="A70" s="48" t="s">
        <v>14</v>
      </c>
      <c r="B70" s="347" t="s">
        <v>13</v>
      </c>
      <c r="C70" s="48" t="s">
        <v>3098</v>
      </c>
      <c r="D70" s="48" t="s">
        <v>17</v>
      </c>
      <c r="E70" s="48" t="s">
        <v>1919</v>
      </c>
      <c r="F70" s="87" t="s">
        <v>1648</v>
      </c>
      <c r="G70" s="87" t="s">
        <v>1648</v>
      </c>
      <c r="H70" s="244">
        <v>8</v>
      </c>
      <c r="I70" s="87" t="s">
        <v>1648</v>
      </c>
      <c r="J70" s="244">
        <v>8</v>
      </c>
      <c r="K70" s="87" t="s">
        <v>1649</v>
      </c>
      <c r="L70" s="87" t="s">
        <v>1649</v>
      </c>
      <c r="M70" s="244">
        <v>0</v>
      </c>
      <c r="N70" s="87" t="s">
        <v>1648</v>
      </c>
      <c r="O70" s="87" t="s">
        <v>1648</v>
      </c>
      <c r="P70" s="87" t="s">
        <v>1648</v>
      </c>
      <c r="Q70" s="244">
        <v>0</v>
      </c>
      <c r="R70" s="244">
        <v>0</v>
      </c>
      <c r="S70" s="244">
        <v>0</v>
      </c>
      <c r="T70" s="244">
        <v>0</v>
      </c>
      <c r="U70" s="244">
        <v>16</v>
      </c>
      <c r="V70" s="244">
        <v>80</v>
      </c>
      <c r="W70" s="244">
        <v>0</v>
      </c>
      <c r="X70" s="244">
        <v>0</v>
      </c>
      <c r="Y70" s="244">
        <v>12</v>
      </c>
      <c r="Z70" s="244">
        <v>72</v>
      </c>
      <c r="AA70" s="87" t="s">
        <v>1648</v>
      </c>
      <c r="AB70" s="87" t="s">
        <v>1649</v>
      </c>
      <c r="AC70" s="244">
        <v>0</v>
      </c>
      <c r="AD70" s="87" t="s">
        <v>1648</v>
      </c>
      <c r="AE70" s="244">
        <v>1000</v>
      </c>
      <c r="AF70" s="87" t="s">
        <v>1650</v>
      </c>
      <c r="AG70" s="87" t="s">
        <v>1648</v>
      </c>
      <c r="AH70" s="87" t="s">
        <v>1648</v>
      </c>
      <c r="AI70" s="87" t="s">
        <v>1649</v>
      </c>
      <c r="AJ70" s="87" t="s">
        <v>1648</v>
      </c>
    </row>
    <row r="71" spans="1:36" ht="13.5" thickBot="1" x14ac:dyDescent="0.25">
      <c r="A71" s="48" t="s">
        <v>45</v>
      </c>
      <c r="B71" s="347" t="s">
        <v>44</v>
      </c>
      <c r="C71" s="48" t="s">
        <v>3055</v>
      </c>
      <c r="D71" s="48" t="s">
        <v>17</v>
      </c>
      <c r="E71" s="48" t="s">
        <v>1949</v>
      </c>
      <c r="F71" s="87" t="s">
        <v>1648</v>
      </c>
      <c r="G71" s="87" t="s">
        <v>1649</v>
      </c>
      <c r="H71" s="244">
        <v>0</v>
      </c>
      <c r="I71" s="87" t="s">
        <v>1649</v>
      </c>
      <c r="J71" s="244">
        <v>0</v>
      </c>
      <c r="K71" s="87" t="s">
        <v>1649</v>
      </c>
      <c r="L71" s="87" t="s">
        <v>1649</v>
      </c>
      <c r="M71" s="244">
        <v>0</v>
      </c>
      <c r="N71" s="87" t="s">
        <v>1648</v>
      </c>
      <c r="O71" s="87" t="s">
        <v>1648</v>
      </c>
      <c r="P71" s="87" t="s">
        <v>1649</v>
      </c>
      <c r="Q71" s="244">
        <v>1</v>
      </c>
      <c r="R71" s="244">
        <v>18</v>
      </c>
      <c r="S71" s="87" t="s">
        <v>1660</v>
      </c>
      <c r="T71" s="244">
        <v>0</v>
      </c>
      <c r="U71" s="244">
        <v>0</v>
      </c>
      <c r="V71" s="244">
        <v>0</v>
      </c>
      <c r="W71" s="244">
        <v>0</v>
      </c>
      <c r="X71" s="244">
        <v>0</v>
      </c>
      <c r="Y71" s="244">
        <v>0</v>
      </c>
      <c r="Z71" s="244">
        <v>0</v>
      </c>
      <c r="AA71" s="87" t="s">
        <v>1649</v>
      </c>
      <c r="AB71" s="87" t="s">
        <v>1649</v>
      </c>
      <c r="AC71" s="244">
        <v>0</v>
      </c>
      <c r="AD71" s="87" t="s">
        <v>1648</v>
      </c>
      <c r="AE71" s="244">
        <v>1200</v>
      </c>
      <c r="AF71" s="87" t="s">
        <v>1650</v>
      </c>
      <c r="AG71" s="87" t="s">
        <v>1648</v>
      </c>
      <c r="AH71" s="87" t="s">
        <v>1648</v>
      </c>
      <c r="AI71" s="87" t="s">
        <v>1649</v>
      </c>
      <c r="AJ71" s="87" t="s">
        <v>1649</v>
      </c>
    </row>
    <row r="72" spans="1:36" ht="13.5" thickBot="1" x14ac:dyDescent="0.25">
      <c r="A72" s="48" t="s">
        <v>56</v>
      </c>
      <c r="B72" s="347" t="s">
        <v>55</v>
      </c>
      <c r="C72" s="48" t="s">
        <v>3144</v>
      </c>
      <c r="D72" s="48" t="s">
        <v>17</v>
      </c>
      <c r="E72" s="48" t="s">
        <v>1919</v>
      </c>
      <c r="F72" s="87" t="s">
        <v>1648</v>
      </c>
      <c r="G72" s="87" t="s">
        <v>1649</v>
      </c>
      <c r="H72" s="244">
        <v>0</v>
      </c>
      <c r="I72" s="87" t="s">
        <v>1649</v>
      </c>
      <c r="J72" s="244">
        <v>0</v>
      </c>
      <c r="K72" s="87" t="s">
        <v>1649</v>
      </c>
      <c r="L72" s="87" t="s">
        <v>1649</v>
      </c>
      <c r="M72" s="244">
        <v>0</v>
      </c>
      <c r="N72" s="87" t="s">
        <v>1649</v>
      </c>
      <c r="O72" s="87" t="s">
        <v>1648</v>
      </c>
      <c r="P72" s="87" t="s">
        <v>1648</v>
      </c>
      <c r="Q72" s="244">
        <v>1</v>
      </c>
      <c r="R72" s="244">
        <v>7</v>
      </c>
      <c r="S72" s="244">
        <v>0</v>
      </c>
      <c r="T72" s="244">
        <v>0</v>
      </c>
      <c r="U72" s="244">
        <v>0</v>
      </c>
      <c r="V72" s="244">
        <v>0</v>
      </c>
      <c r="W72" s="244">
        <v>8</v>
      </c>
      <c r="X72" s="244">
        <v>169</v>
      </c>
      <c r="Y72" s="244">
        <v>8</v>
      </c>
      <c r="Z72" s="244">
        <v>169</v>
      </c>
      <c r="AA72" s="87" t="s">
        <v>1649</v>
      </c>
      <c r="AB72" s="87" t="s">
        <v>1648</v>
      </c>
      <c r="AC72" s="244">
        <v>46</v>
      </c>
      <c r="AD72" s="87" t="s">
        <v>1649</v>
      </c>
      <c r="AE72" s="244">
        <v>2032</v>
      </c>
      <c r="AF72" s="87" t="s">
        <v>1651</v>
      </c>
      <c r="AG72" s="87" t="s">
        <v>1648</v>
      </c>
      <c r="AH72" s="87" t="s">
        <v>1649</v>
      </c>
      <c r="AI72" s="87" t="s">
        <v>1649</v>
      </c>
      <c r="AJ72" s="87" t="s">
        <v>1649</v>
      </c>
    </row>
    <row r="73" spans="1:36" ht="13.5" thickBot="1" x14ac:dyDescent="0.25">
      <c r="A73" s="48" t="s">
        <v>60</v>
      </c>
      <c r="B73" s="347" t="s">
        <v>59</v>
      </c>
      <c r="C73" s="48" t="s">
        <v>3061</v>
      </c>
      <c r="D73" s="48" t="s">
        <v>17</v>
      </c>
      <c r="E73" s="48" t="s">
        <v>1919</v>
      </c>
      <c r="F73" s="257" t="s">
        <v>1648</v>
      </c>
      <c r="G73" s="87" t="s">
        <v>1648</v>
      </c>
      <c r="H73" s="244">
        <v>12</v>
      </c>
      <c r="I73" s="87" t="s">
        <v>1649</v>
      </c>
      <c r="J73" s="244">
        <v>498</v>
      </c>
      <c r="K73" s="87" t="s">
        <v>1649</v>
      </c>
      <c r="L73" s="87" t="s">
        <v>1648</v>
      </c>
      <c r="M73" s="244">
        <v>2919</v>
      </c>
      <c r="N73" s="87" t="s">
        <v>1649</v>
      </c>
      <c r="O73" s="87" t="s">
        <v>1649</v>
      </c>
      <c r="P73" s="87" t="s">
        <v>1649</v>
      </c>
      <c r="Q73" s="244">
        <v>0</v>
      </c>
      <c r="R73" s="244">
        <v>0</v>
      </c>
      <c r="S73" s="244">
        <v>0</v>
      </c>
      <c r="T73" s="244">
        <v>0</v>
      </c>
      <c r="U73" s="244">
        <v>0</v>
      </c>
      <c r="V73" s="244">
        <v>0</v>
      </c>
      <c r="W73" s="244">
        <v>0</v>
      </c>
      <c r="X73" s="244">
        <v>0</v>
      </c>
      <c r="Y73" s="244">
        <v>0</v>
      </c>
      <c r="Z73" s="244">
        <v>0</v>
      </c>
      <c r="AA73" s="87" t="s">
        <v>1649</v>
      </c>
      <c r="AB73" s="87" t="s">
        <v>1649</v>
      </c>
      <c r="AC73" s="244">
        <v>0</v>
      </c>
      <c r="AD73" s="87" t="s">
        <v>1648</v>
      </c>
      <c r="AE73" s="244">
        <v>3690</v>
      </c>
      <c r="AF73" s="87" t="s">
        <v>1651</v>
      </c>
      <c r="AG73" s="87" t="s">
        <v>1648</v>
      </c>
      <c r="AH73" s="87" t="s">
        <v>1648</v>
      </c>
      <c r="AI73" s="87" t="s">
        <v>1648</v>
      </c>
      <c r="AJ73" s="87" t="s">
        <v>1649</v>
      </c>
    </row>
    <row r="74" spans="1:36" ht="13.5" thickBot="1" x14ac:dyDescent="0.25">
      <c r="A74" s="48" t="s">
        <v>70</v>
      </c>
      <c r="B74" s="347" t="s">
        <v>69</v>
      </c>
      <c r="C74" s="48" t="s">
        <v>3058</v>
      </c>
      <c r="D74" s="48" t="s">
        <v>17</v>
      </c>
      <c r="E74" s="48" t="s">
        <v>1949</v>
      </c>
      <c r="F74" s="87" t="s">
        <v>1648</v>
      </c>
      <c r="G74" s="87" t="s">
        <v>1648</v>
      </c>
      <c r="H74" s="244">
        <v>728</v>
      </c>
      <c r="I74" s="87" t="s">
        <v>1649</v>
      </c>
      <c r="J74" s="244">
        <v>0</v>
      </c>
      <c r="K74" s="87" t="s">
        <v>1649</v>
      </c>
      <c r="L74" s="87" t="s">
        <v>1649</v>
      </c>
      <c r="M74" s="244">
        <v>0</v>
      </c>
      <c r="N74" s="87" t="s">
        <v>1648</v>
      </c>
      <c r="O74" s="87" t="s">
        <v>1648</v>
      </c>
      <c r="P74" s="87" t="s">
        <v>1648</v>
      </c>
      <c r="Q74" s="244">
        <v>1</v>
      </c>
      <c r="R74" s="244">
        <v>5</v>
      </c>
      <c r="S74" s="244">
        <v>0</v>
      </c>
      <c r="T74" s="244">
        <v>0</v>
      </c>
      <c r="U74" s="244">
        <v>0</v>
      </c>
      <c r="V74" s="244">
        <v>0</v>
      </c>
      <c r="W74" s="244">
        <v>0</v>
      </c>
      <c r="X74" s="244">
        <v>0</v>
      </c>
      <c r="Y74" s="244">
        <v>15</v>
      </c>
      <c r="Z74" s="244">
        <v>107</v>
      </c>
      <c r="AA74" s="87" t="s">
        <v>1648</v>
      </c>
      <c r="AB74" s="87" t="s">
        <v>1648</v>
      </c>
      <c r="AC74" s="244">
        <v>40</v>
      </c>
      <c r="AD74" s="87" t="s">
        <v>1648</v>
      </c>
      <c r="AE74" s="244">
        <v>170</v>
      </c>
      <c r="AF74" s="87" t="s">
        <v>1650</v>
      </c>
      <c r="AG74" s="87" t="s">
        <v>1648</v>
      </c>
      <c r="AH74" s="87" t="s">
        <v>1649</v>
      </c>
      <c r="AI74" s="87" t="s">
        <v>1649</v>
      </c>
      <c r="AJ74" s="87" t="s">
        <v>1648</v>
      </c>
    </row>
    <row r="75" spans="1:36" ht="13.5" thickBot="1" x14ac:dyDescent="0.25">
      <c r="A75" s="48" t="s">
        <v>74</v>
      </c>
      <c r="B75" s="347" t="s">
        <v>73</v>
      </c>
      <c r="C75" s="48" t="s">
        <v>3059</v>
      </c>
      <c r="D75" s="48" t="s">
        <v>17</v>
      </c>
      <c r="E75" s="48" t="s">
        <v>1949</v>
      </c>
      <c r="F75" s="87" t="s">
        <v>1648</v>
      </c>
      <c r="G75" s="87" t="s">
        <v>1648</v>
      </c>
      <c r="H75" s="244">
        <v>250</v>
      </c>
      <c r="I75" s="87" t="s">
        <v>1648</v>
      </c>
      <c r="J75" s="244">
        <v>780</v>
      </c>
      <c r="K75" s="87" t="s">
        <v>1649</v>
      </c>
      <c r="L75" s="87" t="s">
        <v>1648</v>
      </c>
      <c r="M75" s="244">
        <v>4000</v>
      </c>
      <c r="N75" s="87" t="s">
        <v>1649</v>
      </c>
      <c r="O75" s="87" t="s">
        <v>1649</v>
      </c>
      <c r="P75" s="87" t="s">
        <v>1649</v>
      </c>
      <c r="Q75" s="244">
        <v>0</v>
      </c>
      <c r="R75" s="244">
        <v>0</v>
      </c>
      <c r="S75" s="244">
        <v>0</v>
      </c>
      <c r="T75" s="244">
        <v>0</v>
      </c>
      <c r="U75" s="244">
        <v>0</v>
      </c>
      <c r="V75" s="244">
        <v>0</v>
      </c>
      <c r="W75" s="244">
        <v>0</v>
      </c>
      <c r="X75" s="244">
        <v>0</v>
      </c>
      <c r="Y75" s="244">
        <v>0</v>
      </c>
      <c r="Z75" s="244">
        <v>0</v>
      </c>
      <c r="AA75" s="87" t="s">
        <v>1649</v>
      </c>
      <c r="AB75" s="87" t="s">
        <v>1649</v>
      </c>
      <c r="AC75" s="244">
        <v>0</v>
      </c>
      <c r="AD75" s="87" t="s">
        <v>1648</v>
      </c>
      <c r="AE75" s="244">
        <v>412</v>
      </c>
      <c r="AF75" s="87" t="s">
        <v>1650</v>
      </c>
      <c r="AG75" s="87" t="s">
        <v>1648</v>
      </c>
      <c r="AH75" s="87" t="s">
        <v>1648</v>
      </c>
      <c r="AI75" s="87" t="s">
        <v>1649</v>
      </c>
      <c r="AJ75" s="87" t="s">
        <v>1649</v>
      </c>
    </row>
    <row r="76" spans="1:36" ht="13.5" thickBot="1" x14ac:dyDescent="0.25">
      <c r="A76" s="48" t="s">
        <v>98</v>
      </c>
      <c r="B76" s="347" t="s">
        <v>97</v>
      </c>
      <c r="C76" s="48" t="s">
        <v>3053</v>
      </c>
      <c r="D76" s="48" t="s">
        <v>17</v>
      </c>
      <c r="E76" s="48" t="s">
        <v>890</v>
      </c>
      <c r="F76" s="87" t="s">
        <v>1648</v>
      </c>
      <c r="G76" s="87" t="s">
        <v>1649</v>
      </c>
      <c r="H76" s="244">
        <v>0</v>
      </c>
      <c r="I76" s="87" t="s">
        <v>1649</v>
      </c>
      <c r="J76" s="244">
        <v>0</v>
      </c>
      <c r="K76" s="87" t="s">
        <v>1649</v>
      </c>
      <c r="L76" s="87" t="s">
        <v>1648</v>
      </c>
      <c r="M76" s="244">
        <v>10135</v>
      </c>
      <c r="N76" s="87" t="s">
        <v>1649</v>
      </c>
      <c r="O76" s="87" t="s">
        <v>1649</v>
      </c>
      <c r="P76" s="87" t="s">
        <v>1649</v>
      </c>
      <c r="Q76" s="244">
        <v>0</v>
      </c>
      <c r="R76" s="244">
        <v>0</v>
      </c>
      <c r="S76" s="244">
        <v>0</v>
      </c>
      <c r="T76" s="244">
        <v>0</v>
      </c>
      <c r="U76" s="244">
        <v>0</v>
      </c>
      <c r="V76" s="244">
        <v>0</v>
      </c>
      <c r="W76" s="244">
        <v>0</v>
      </c>
      <c r="X76" s="244">
        <v>0</v>
      </c>
      <c r="Y76" s="244">
        <v>0</v>
      </c>
      <c r="Z76" s="244">
        <v>0</v>
      </c>
      <c r="AA76" s="87" t="s">
        <v>1648</v>
      </c>
      <c r="AB76" s="87" t="s">
        <v>1649</v>
      </c>
      <c r="AC76" s="244">
        <v>0</v>
      </c>
      <c r="AD76" s="87" t="s">
        <v>1648</v>
      </c>
      <c r="AE76" s="244">
        <v>1447</v>
      </c>
      <c r="AF76" s="87" t="s">
        <v>1651</v>
      </c>
      <c r="AG76" s="87" t="s">
        <v>1648</v>
      </c>
      <c r="AH76" s="87" t="s">
        <v>1649</v>
      </c>
      <c r="AI76" s="87" t="s">
        <v>1649</v>
      </c>
      <c r="AJ76" s="87" t="s">
        <v>1649</v>
      </c>
    </row>
    <row r="77" spans="1:36" ht="13.5" thickBot="1" x14ac:dyDescent="0.25">
      <c r="A77" s="48" t="s">
        <v>120</v>
      </c>
      <c r="B77" s="347" t="s">
        <v>119</v>
      </c>
      <c r="C77" s="48" t="s">
        <v>3072</v>
      </c>
      <c r="D77" s="48" t="s">
        <v>17</v>
      </c>
      <c r="E77" s="48" t="s">
        <v>890</v>
      </c>
      <c r="F77" s="87" t="s">
        <v>1648</v>
      </c>
      <c r="G77" s="87" t="s">
        <v>1648</v>
      </c>
      <c r="H77" s="244">
        <v>0</v>
      </c>
      <c r="I77" s="87" t="s">
        <v>1649</v>
      </c>
      <c r="J77" s="244">
        <v>0</v>
      </c>
      <c r="K77" s="87" t="s">
        <v>1649</v>
      </c>
      <c r="L77" s="87" t="s">
        <v>1649</v>
      </c>
      <c r="M77" s="244">
        <v>0</v>
      </c>
      <c r="N77" s="87" t="s">
        <v>1648</v>
      </c>
      <c r="O77" s="87" t="s">
        <v>1648</v>
      </c>
      <c r="P77" s="87" t="s">
        <v>1648</v>
      </c>
      <c r="Q77" s="244">
        <v>0</v>
      </c>
      <c r="R77" s="244">
        <v>0</v>
      </c>
      <c r="S77" s="244">
        <v>0</v>
      </c>
      <c r="T77" s="244">
        <v>0</v>
      </c>
      <c r="U77" s="244">
        <v>0</v>
      </c>
      <c r="V77" s="244">
        <v>0</v>
      </c>
      <c r="W77" s="244">
        <v>1</v>
      </c>
      <c r="X77" s="244">
        <v>50</v>
      </c>
      <c r="Y77" s="244">
        <v>0</v>
      </c>
      <c r="Z77" s="244">
        <v>0</v>
      </c>
      <c r="AA77" s="87" t="s">
        <v>1648</v>
      </c>
      <c r="AB77" s="87" t="s">
        <v>1648</v>
      </c>
      <c r="AC77" s="244">
        <v>281</v>
      </c>
      <c r="AD77" s="87" t="s">
        <v>1648</v>
      </c>
      <c r="AE77" s="244">
        <v>2847</v>
      </c>
      <c r="AF77" s="87" t="s">
        <v>1650</v>
      </c>
      <c r="AG77" s="87" t="s">
        <v>1648</v>
      </c>
      <c r="AH77" s="87" t="s">
        <v>1648</v>
      </c>
      <c r="AI77" s="87" t="s">
        <v>1649</v>
      </c>
      <c r="AJ77" s="87" t="s">
        <v>1648</v>
      </c>
    </row>
    <row r="78" spans="1:36" ht="13.5" thickBot="1" x14ac:dyDescent="0.25">
      <c r="A78" s="48" t="s">
        <v>126</v>
      </c>
      <c r="B78" s="347" t="s">
        <v>125</v>
      </c>
      <c r="C78" s="48" t="s">
        <v>3058</v>
      </c>
      <c r="D78" s="48" t="s">
        <v>17</v>
      </c>
      <c r="E78" s="48" t="s">
        <v>890</v>
      </c>
      <c r="F78" s="87" t="s">
        <v>1648</v>
      </c>
      <c r="G78" s="87" t="s">
        <v>1649</v>
      </c>
      <c r="H78" s="244">
        <v>0</v>
      </c>
      <c r="I78" s="87" t="s">
        <v>1648</v>
      </c>
      <c r="J78" s="244">
        <v>214</v>
      </c>
      <c r="K78" s="87" t="s">
        <v>1649</v>
      </c>
      <c r="L78" s="87" t="s">
        <v>1649</v>
      </c>
      <c r="M78" s="244">
        <v>0</v>
      </c>
      <c r="N78" s="87" t="s">
        <v>1649</v>
      </c>
      <c r="O78" s="87" t="s">
        <v>1649</v>
      </c>
      <c r="P78" s="87" t="s">
        <v>1649</v>
      </c>
      <c r="Q78" s="244">
        <v>0</v>
      </c>
      <c r="R78" s="244">
        <v>0</v>
      </c>
      <c r="S78" s="244">
        <v>0</v>
      </c>
      <c r="T78" s="244">
        <v>0</v>
      </c>
      <c r="U78" s="244">
        <v>0</v>
      </c>
      <c r="V78" s="244">
        <v>0</v>
      </c>
      <c r="W78" s="244">
        <v>0</v>
      </c>
      <c r="X78" s="244">
        <v>0</v>
      </c>
      <c r="Y78" s="244">
        <v>0</v>
      </c>
      <c r="Z78" s="244">
        <v>0</v>
      </c>
      <c r="AA78" s="87" t="s">
        <v>1649</v>
      </c>
      <c r="AB78" s="87" t="s">
        <v>1649</v>
      </c>
      <c r="AC78" s="244">
        <v>0</v>
      </c>
      <c r="AD78" s="87" t="s">
        <v>1649</v>
      </c>
      <c r="AE78" s="244">
        <v>225</v>
      </c>
      <c r="AF78" s="87" t="s">
        <v>1650</v>
      </c>
      <c r="AG78" s="87" t="s">
        <v>1648</v>
      </c>
      <c r="AH78" s="87" t="s">
        <v>1648</v>
      </c>
      <c r="AI78" s="87" t="s">
        <v>1649</v>
      </c>
      <c r="AJ78" s="87" t="s">
        <v>1649</v>
      </c>
    </row>
    <row r="79" spans="1:36" ht="13.5" thickBot="1" x14ac:dyDescent="0.25">
      <c r="A79" s="48" t="s">
        <v>138</v>
      </c>
      <c r="B79" s="347" t="s">
        <v>137</v>
      </c>
      <c r="C79" s="48" t="s">
        <v>3061</v>
      </c>
      <c r="D79" s="48" t="s">
        <v>17</v>
      </c>
      <c r="E79" s="48" t="s">
        <v>1919</v>
      </c>
      <c r="F79" s="87" t="s">
        <v>1648</v>
      </c>
      <c r="G79" s="87" t="s">
        <v>1648</v>
      </c>
      <c r="H79" s="244">
        <v>270</v>
      </c>
      <c r="I79" s="87" t="s">
        <v>1648</v>
      </c>
      <c r="J79" s="244">
        <v>80</v>
      </c>
      <c r="K79" s="87" t="s">
        <v>1649</v>
      </c>
      <c r="L79" s="87" t="s">
        <v>1648</v>
      </c>
      <c r="M79" s="244">
        <v>2000</v>
      </c>
      <c r="N79" s="87" t="s">
        <v>1648</v>
      </c>
      <c r="O79" s="87" t="s">
        <v>1648</v>
      </c>
      <c r="P79" s="87" t="s">
        <v>1649</v>
      </c>
      <c r="Q79" s="244">
        <v>4</v>
      </c>
      <c r="R79" s="244">
        <v>2</v>
      </c>
      <c r="S79" s="244">
        <v>2</v>
      </c>
      <c r="T79" s="244">
        <v>2</v>
      </c>
      <c r="U79" s="244">
        <v>2</v>
      </c>
      <c r="V79" s="244">
        <v>0</v>
      </c>
      <c r="W79" s="244">
        <v>2</v>
      </c>
      <c r="X79" s="244">
        <v>0</v>
      </c>
      <c r="Y79" s="244">
        <v>0</v>
      </c>
      <c r="Z79" s="244">
        <v>0</v>
      </c>
      <c r="AA79" s="87" t="s">
        <v>1649</v>
      </c>
      <c r="AB79" s="87" t="s">
        <v>1649</v>
      </c>
      <c r="AC79" s="244">
        <v>0</v>
      </c>
      <c r="AD79" s="87" t="s">
        <v>1648</v>
      </c>
      <c r="AE79" s="244">
        <v>1563</v>
      </c>
      <c r="AF79" s="87" t="s">
        <v>1650</v>
      </c>
      <c r="AG79" s="87" t="s">
        <v>1648</v>
      </c>
      <c r="AH79" s="87" t="s">
        <v>1648</v>
      </c>
      <c r="AI79" s="87" t="s">
        <v>1649</v>
      </c>
      <c r="AJ79" s="87" t="s">
        <v>1649</v>
      </c>
    </row>
    <row r="80" spans="1:36" ht="13.5" thickBot="1" x14ac:dyDescent="0.25">
      <c r="A80" s="48" t="s">
        <v>180</v>
      </c>
      <c r="B80" s="347" t="s">
        <v>179</v>
      </c>
      <c r="C80" s="48" t="s">
        <v>3055</v>
      </c>
      <c r="D80" s="48" t="s">
        <v>17</v>
      </c>
      <c r="E80" s="48" t="s">
        <v>1949</v>
      </c>
      <c r="F80" s="87" t="s">
        <v>1648</v>
      </c>
      <c r="G80" s="87" t="s">
        <v>1648</v>
      </c>
      <c r="H80" s="244">
        <v>1028</v>
      </c>
      <c r="I80" s="87" t="s">
        <v>1648</v>
      </c>
      <c r="J80" s="244">
        <v>257</v>
      </c>
      <c r="K80" s="87" t="s">
        <v>1649</v>
      </c>
      <c r="L80" s="87" t="s">
        <v>1648</v>
      </c>
      <c r="M80" s="244">
        <v>2100</v>
      </c>
      <c r="N80" s="87" t="s">
        <v>1648</v>
      </c>
      <c r="O80" s="87" t="s">
        <v>1648</v>
      </c>
      <c r="P80" s="87" t="s">
        <v>1648</v>
      </c>
      <c r="Q80" s="244">
        <v>18</v>
      </c>
      <c r="R80" s="244">
        <v>81</v>
      </c>
      <c r="S80" s="244">
        <v>0</v>
      </c>
      <c r="T80" s="244">
        <v>0</v>
      </c>
      <c r="U80" s="244">
        <v>0</v>
      </c>
      <c r="V80" s="244">
        <v>0</v>
      </c>
      <c r="W80" s="244">
        <v>0</v>
      </c>
      <c r="X80" s="244">
        <v>0</v>
      </c>
      <c r="Y80" s="244">
        <v>24</v>
      </c>
      <c r="Z80" s="244">
        <v>24</v>
      </c>
      <c r="AA80" s="87" t="s">
        <v>1648</v>
      </c>
      <c r="AB80" s="87" t="s">
        <v>1648</v>
      </c>
      <c r="AC80" s="244">
        <v>35</v>
      </c>
      <c r="AD80" s="87" t="s">
        <v>1648</v>
      </c>
      <c r="AE80" s="244">
        <v>370</v>
      </c>
      <c r="AF80" s="87" t="s">
        <v>1650</v>
      </c>
      <c r="AG80" s="87" t="s">
        <v>1648</v>
      </c>
      <c r="AH80" s="87" t="s">
        <v>1648</v>
      </c>
      <c r="AI80" s="87" t="s">
        <v>1649</v>
      </c>
      <c r="AJ80" s="87" t="s">
        <v>1649</v>
      </c>
    </row>
    <row r="81" spans="1:36" ht="13.5" thickBot="1" x14ac:dyDescent="0.25">
      <c r="A81" s="48" t="s">
        <v>194</v>
      </c>
      <c r="B81" s="347" t="s">
        <v>193</v>
      </c>
      <c r="C81" s="48" t="s">
        <v>3061</v>
      </c>
      <c r="D81" s="48" t="s">
        <v>17</v>
      </c>
      <c r="E81" s="48" t="s">
        <v>1919</v>
      </c>
      <c r="F81" s="87" t="s">
        <v>1648</v>
      </c>
      <c r="G81" s="87" t="s">
        <v>1648</v>
      </c>
      <c r="H81" s="244">
        <v>300</v>
      </c>
      <c r="I81" s="87" t="s">
        <v>1649</v>
      </c>
      <c r="J81" s="244">
        <v>0</v>
      </c>
      <c r="K81" s="87" t="s">
        <v>1649</v>
      </c>
      <c r="L81" s="87" t="s">
        <v>1649</v>
      </c>
      <c r="M81" s="244">
        <v>0</v>
      </c>
      <c r="N81" s="87" t="s">
        <v>1649</v>
      </c>
      <c r="O81" s="87" t="s">
        <v>1648</v>
      </c>
      <c r="P81" s="87" t="s">
        <v>1649</v>
      </c>
      <c r="Q81" s="244">
        <v>3</v>
      </c>
      <c r="R81" s="244">
        <v>193</v>
      </c>
      <c r="S81" s="244">
        <v>0</v>
      </c>
      <c r="T81" s="244">
        <v>0</v>
      </c>
      <c r="U81" s="244">
        <v>0</v>
      </c>
      <c r="V81" s="244">
        <v>0</v>
      </c>
      <c r="W81" s="244">
        <v>0</v>
      </c>
      <c r="X81" s="244">
        <v>0</v>
      </c>
      <c r="Y81" s="244">
        <v>0</v>
      </c>
      <c r="Z81" s="244">
        <v>0</v>
      </c>
      <c r="AA81" s="87" t="s">
        <v>1648</v>
      </c>
      <c r="AB81" s="87" t="s">
        <v>1649</v>
      </c>
      <c r="AC81" s="244">
        <v>0</v>
      </c>
      <c r="AD81" s="87" t="s">
        <v>1648</v>
      </c>
      <c r="AE81" s="244">
        <v>900</v>
      </c>
      <c r="AF81" s="87" t="s">
        <v>1650</v>
      </c>
      <c r="AG81" s="87" t="s">
        <v>1648</v>
      </c>
      <c r="AH81" s="87" t="s">
        <v>1649</v>
      </c>
      <c r="AI81" s="87" t="s">
        <v>1649</v>
      </c>
      <c r="AJ81" s="87" t="s">
        <v>1649</v>
      </c>
    </row>
    <row r="82" spans="1:36" ht="13.5" thickBot="1" x14ac:dyDescent="0.25">
      <c r="A82" s="48" t="s">
        <v>216</v>
      </c>
      <c r="B82" s="347" t="s">
        <v>215</v>
      </c>
      <c r="C82" s="48" t="s">
        <v>3058</v>
      </c>
      <c r="D82" s="48" t="s">
        <v>17</v>
      </c>
      <c r="E82" s="48" t="s">
        <v>2066</v>
      </c>
      <c r="F82" s="87" t="s">
        <v>1648</v>
      </c>
      <c r="G82" s="87" t="s">
        <v>1648</v>
      </c>
      <c r="H82" s="244">
        <v>13</v>
      </c>
      <c r="I82" s="87" t="s">
        <v>1649</v>
      </c>
      <c r="J82" s="244">
        <v>0</v>
      </c>
      <c r="K82" s="87" t="s">
        <v>1649</v>
      </c>
      <c r="L82" s="87" t="s">
        <v>1649</v>
      </c>
      <c r="M82" s="244">
        <v>0</v>
      </c>
      <c r="N82" s="87" t="s">
        <v>1649</v>
      </c>
      <c r="O82" s="87" t="s">
        <v>1649</v>
      </c>
      <c r="P82" s="87" t="s">
        <v>1649</v>
      </c>
      <c r="Q82" s="244">
        <v>0</v>
      </c>
      <c r="R82" s="244">
        <v>0</v>
      </c>
      <c r="S82" s="244">
        <v>0</v>
      </c>
      <c r="T82" s="244">
        <v>0</v>
      </c>
      <c r="U82" s="244">
        <v>0</v>
      </c>
      <c r="V82" s="244">
        <v>0</v>
      </c>
      <c r="W82" s="244">
        <v>0</v>
      </c>
      <c r="X82" s="244">
        <v>0</v>
      </c>
      <c r="Y82" s="244">
        <v>0</v>
      </c>
      <c r="Z82" s="244">
        <v>0</v>
      </c>
      <c r="AA82" s="87" t="s">
        <v>1648</v>
      </c>
      <c r="AB82" s="87" t="s">
        <v>1649</v>
      </c>
      <c r="AC82" s="244">
        <v>0</v>
      </c>
      <c r="AD82" s="87" t="s">
        <v>1648</v>
      </c>
      <c r="AE82" s="244">
        <v>750</v>
      </c>
      <c r="AF82" s="87" t="s">
        <v>1650</v>
      </c>
      <c r="AG82" s="87" t="s">
        <v>1648</v>
      </c>
      <c r="AH82" s="87" t="s">
        <v>1648</v>
      </c>
      <c r="AI82" s="87" t="s">
        <v>1649</v>
      </c>
      <c r="AJ82" s="87" t="s">
        <v>1648</v>
      </c>
    </row>
    <row r="83" spans="1:36" ht="13.5" thickBot="1" x14ac:dyDescent="0.25">
      <c r="A83" s="48" t="s">
        <v>230</v>
      </c>
      <c r="B83" s="347" t="s">
        <v>229</v>
      </c>
      <c r="C83" s="48" t="s">
        <v>3061</v>
      </c>
      <c r="D83" s="48" t="s">
        <v>17</v>
      </c>
      <c r="E83" s="48" t="s">
        <v>1919</v>
      </c>
      <c r="F83" s="87" t="s">
        <v>1648</v>
      </c>
      <c r="G83" s="87" t="s">
        <v>1648</v>
      </c>
      <c r="H83" s="244">
        <v>1276</v>
      </c>
      <c r="I83" s="87" t="s">
        <v>1649</v>
      </c>
      <c r="J83" s="244">
        <v>0</v>
      </c>
      <c r="K83" s="87" t="s">
        <v>1649</v>
      </c>
      <c r="L83" s="87" t="s">
        <v>1649</v>
      </c>
      <c r="M83" s="244">
        <v>0</v>
      </c>
      <c r="N83" s="87" t="s">
        <v>1648</v>
      </c>
      <c r="O83" s="87" t="s">
        <v>1648</v>
      </c>
      <c r="P83" s="87" t="s">
        <v>1649</v>
      </c>
      <c r="Q83" s="244">
        <v>0</v>
      </c>
      <c r="R83" s="244">
        <v>0</v>
      </c>
      <c r="S83" s="244">
        <v>0</v>
      </c>
      <c r="T83" s="244">
        <v>0</v>
      </c>
      <c r="U83" s="244">
        <v>6</v>
      </c>
      <c r="V83" s="244">
        <v>39</v>
      </c>
      <c r="W83" s="244">
        <v>0</v>
      </c>
      <c r="X83" s="244">
        <v>0</v>
      </c>
      <c r="Y83" s="244">
        <v>0</v>
      </c>
      <c r="Z83" s="244">
        <v>0</v>
      </c>
      <c r="AA83" s="87" t="s">
        <v>1648</v>
      </c>
      <c r="AB83" s="87" t="s">
        <v>1649</v>
      </c>
      <c r="AC83" s="87" t="s">
        <v>1660</v>
      </c>
      <c r="AD83" s="87" t="s">
        <v>1648</v>
      </c>
      <c r="AE83" s="244">
        <v>2797</v>
      </c>
      <c r="AF83" s="87" t="s">
        <v>1651</v>
      </c>
      <c r="AG83" s="87" t="s">
        <v>1648</v>
      </c>
      <c r="AH83" s="87" t="s">
        <v>1648</v>
      </c>
      <c r="AI83" s="87" t="s">
        <v>1649</v>
      </c>
      <c r="AJ83" s="87" t="s">
        <v>1648</v>
      </c>
    </row>
    <row r="84" spans="1:36" ht="13.5" thickBot="1" x14ac:dyDescent="0.25">
      <c r="A84" s="48" t="s">
        <v>236</v>
      </c>
      <c r="B84" s="347" t="s">
        <v>235</v>
      </c>
      <c r="C84" s="48" t="s">
        <v>3061</v>
      </c>
      <c r="D84" s="48" t="s">
        <v>17</v>
      </c>
      <c r="E84" s="48" t="s">
        <v>1919</v>
      </c>
      <c r="F84" s="87" t="s">
        <v>1648</v>
      </c>
      <c r="G84" s="87" t="s">
        <v>1649</v>
      </c>
      <c r="H84" s="244">
        <v>0</v>
      </c>
      <c r="I84" s="87" t="s">
        <v>1648</v>
      </c>
      <c r="J84" s="244">
        <v>36</v>
      </c>
      <c r="K84" s="87" t="s">
        <v>1649</v>
      </c>
      <c r="L84" s="87" t="s">
        <v>1649</v>
      </c>
      <c r="M84" s="244">
        <v>0</v>
      </c>
      <c r="N84" s="87" t="s">
        <v>1649</v>
      </c>
      <c r="O84" s="87" t="s">
        <v>1648</v>
      </c>
      <c r="P84" s="87" t="s">
        <v>1649</v>
      </c>
      <c r="Q84" s="244">
        <v>0</v>
      </c>
      <c r="R84" s="244">
        <v>0</v>
      </c>
      <c r="S84" s="244">
        <v>0</v>
      </c>
      <c r="T84" s="244">
        <v>0</v>
      </c>
      <c r="U84" s="244">
        <v>0</v>
      </c>
      <c r="V84" s="244">
        <v>0</v>
      </c>
      <c r="W84" s="244">
        <v>0</v>
      </c>
      <c r="X84" s="244">
        <v>0</v>
      </c>
      <c r="Y84" s="244">
        <v>0</v>
      </c>
      <c r="Z84" s="244">
        <v>0</v>
      </c>
      <c r="AA84" s="87" t="s">
        <v>1648</v>
      </c>
      <c r="AB84" s="87" t="s">
        <v>1649</v>
      </c>
      <c r="AC84" s="244">
        <v>0</v>
      </c>
      <c r="AD84" s="87" t="s">
        <v>1649</v>
      </c>
      <c r="AE84" s="244">
        <v>261</v>
      </c>
      <c r="AF84" s="87" t="s">
        <v>1650</v>
      </c>
      <c r="AG84" s="87" t="s">
        <v>1648</v>
      </c>
      <c r="AH84" s="87" t="s">
        <v>1648</v>
      </c>
      <c r="AI84" s="87" t="s">
        <v>1649</v>
      </c>
      <c r="AJ84" s="87" t="s">
        <v>1649</v>
      </c>
    </row>
    <row r="85" spans="1:36" ht="13.5" thickBot="1" x14ac:dyDescent="0.25">
      <c r="A85" s="48" t="s">
        <v>238</v>
      </c>
      <c r="B85" s="347" t="s">
        <v>237</v>
      </c>
      <c r="C85" s="48" t="s">
        <v>3055</v>
      </c>
      <c r="D85" s="48" t="s">
        <v>17</v>
      </c>
      <c r="E85" s="48" t="s">
        <v>1919</v>
      </c>
      <c r="F85" s="87" t="s">
        <v>1648</v>
      </c>
      <c r="G85" s="87" t="s">
        <v>1648</v>
      </c>
      <c r="H85" s="244">
        <v>60</v>
      </c>
      <c r="I85" s="87" t="s">
        <v>1649</v>
      </c>
      <c r="J85" s="244">
        <v>0</v>
      </c>
      <c r="K85" s="87" t="s">
        <v>1649</v>
      </c>
      <c r="L85" s="87" t="s">
        <v>1649</v>
      </c>
      <c r="M85" s="244">
        <v>0</v>
      </c>
      <c r="N85" s="87" t="s">
        <v>1648</v>
      </c>
      <c r="O85" s="87" t="s">
        <v>1649</v>
      </c>
      <c r="P85" s="87" t="s">
        <v>1649</v>
      </c>
      <c r="Q85" s="244">
        <v>0</v>
      </c>
      <c r="R85" s="244">
        <v>0</v>
      </c>
      <c r="S85" s="244">
        <v>0</v>
      </c>
      <c r="T85" s="244">
        <v>0</v>
      </c>
      <c r="U85" s="244">
        <v>0</v>
      </c>
      <c r="V85" s="244">
        <v>0</v>
      </c>
      <c r="W85" s="244">
        <v>0</v>
      </c>
      <c r="X85" s="244">
        <v>0</v>
      </c>
      <c r="Y85" s="244">
        <v>0</v>
      </c>
      <c r="Z85" s="244">
        <v>0</v>
      </c>
      <c r="AA85" s="87" t="s">
        <v>1648</v>
      </c>
      <c r="AB85" s="87" t="s">
        <v>1649</v>
      </c>
      <c r="AC85" s="244">
        <v>0</v>
      </c>
      <c r="AD85" s="87" t="s">
        <v>1648</v>
      </c>
      <c r="AE85" s="244">
        <v>896</v>
      </c>
      <c r="AF85" s="87" t="s">
        <v>1650</v>
      </c>
      <c r="AG85" s="87" t="s">
        <v>1648</v>
      </c>
      <c r="AH85" s="87" t="s">
        <v>1648</v>
      </c>
      <c r="AI85" s="87" t="s">
        <v>1649</v>
      </c>
      <c r="AJ85" s="87" t="s">
        <v>1649</v>
      </c>
    </row>
    <row r="86" spans="1:36" ht="13.5" thickBot="1" x14ac:dyDescent="0.25">
      <c r="A86" s="48" t="s">
        <v>252</v>
      </c>
      <c r="B86" s="347" t="s">
        <v>251</v>
      </c>
      <c r="C86" s="48" t="s">
        <v>3077</v>
      </c>
      <c r="D86" s="48" t="s">
        <v>17</v>
      </c>
      <c r="E86" s="48" t="s">
        <v>1949</v>
      </c>
      <c r="F86" s="87" t="s">
        <v>1648</v>
      </c>
      <c r="G86" s="87" t="s">
        <v>1648</v>
      </c>
      <c r="H86" s="244">
        <v>1500</v>
      </c>
      <c r="I86" s="87" t="s">
        <v>1648</v>
      </c>
      <c r="J86" s="244">
        <v>336</v>
      </c>
      <c r="K86" s="87" t="s">
        <v>1649</v>
      </c>
      <c r="L86" s="87" t="s">
        <v>1649</v>
      </c>
      <c r="M86" s="244">
        <v>0</v>
      </c>
      <c r="N86" s="87" t="s">
        <v>1648</v>
      </c>
      <c r="O86" s="87" t="s">
        <v>1648</v>
      </c>
      <c r="P86" s="87" t="s">
        <v>1648</v>
      </c>
      <c r="Q86" s="244">
        <v>0</v>
      </c>
      <c r="R86" s="244">
        <v>0</v>
      </c>
      <c r="S86" s="244">
        <v>0</v>
      </c>
      <c r="T86" s="244">
        <v>0</v>
      </c>
      <c r="U86" s="244">
        <v>1</v>
      </c>
      <c r="V86" s="244">
        <v>15</v>
      </c>
      <c r="W86" s="244">
        <v>0</v>
      </c>
      <c r="X86" s="244">
        <v>0</v>
      </c>
      <c r="Y86" s="244">
        <v>30</v>
      </c>
      <c r="Z86" s="244">
        <v>4072</v>
      </c>
      <c r="AA86" s="87" t="s">
        <v>1648</v>
      </c>
      <c r="AB86" s="87" t="s">
        <v>1648</v>
      </c>
      <c r="AC86" s="244">
        <v>50</v>
      </c>
      <c r="AD86" s="87" t="s">
        <v>1648</v>
      </c>
      <c r="AE86" s="244">
        <v>298</v>
      </c>
      <c r="AF86" s="87" t="s">
        <v>1650</v>
      </c>
      <c r="AG86" s="87" t="s">
        <v>1648</v>
      </c>
      <c r="AH86" s="87" t="s">
        <v>1648</v>
      </c>
      <c r="AI86" s="87" t="s">
        <v>1649</v>
      </c>
      <c r="AJ86" s="87" t="s">
        <v>1648</v>
      </c>
    </row>
    <row r="87" spans="1:36" ht="13.5" thickBot="1" x14ac:dyDescent="0.25">
      <c r="A87" s="48" t="s">
        <v>280</v>
      </c>
      <c r="B87" s="347" t="s">
        <v>279</v>
      </c>
      <c r="C87" s="48" t="s">
        <v>3053</v>
      </c>
      <c r="D87" s="48" t="s">
        <v>17</v>
      </c>
      <c r="E87" s="48" t="s">
        <v>1919</v>
      </c>
      <c r="F87" s="87" t="s">
        <v>1648</v>
      </c>
      <c r="G87" s="87" t="s">
        <v>1648</v>
      </c>
      <c r="H87" s="244">
        <v>121</v>
      </c>
      <c r="I87" s="87" t="s">
        <v>1649</v>
      </c>
      <c r="J87" s="244">
        <v>0</v>
      </c>
      <c r="K87" s="87" t="s">
        <v>1649</v>
      </c>
      <c r="L87" s="87" t="s">
        <v>1648</v>
      </c>
      <c r="M87" s="244">
        <v>10000</v>
      </c>
      <c r="N87" s="87" t="s">
        <v>1648</v>
      </c>
      <c r="O87" s="87" t="s">
        <v>1648</v>
      </c>
      <c r="P87" s="87" t="s">
        <v>1649</v>
      </c>
      <c r="Q87" s="244">
        <v>0</v>
      </c>
      <c r="R87" s="244">
        <v>0</v>
      </c>
      <c r="S87" s="244">
        <v>0</v>
      </c>
      <c r="T87" s="244">
        <v>0</v>
      </c>
      <c r="U87" s="244">
        <v>3</v>
      </c>
      <c r="V87" s="244">
        <v>75</v>
      </c>
      <c r="W87" s="244">
        <v>0</v>
      </c>
      <c r="X87" s="244">
        <v>0</v>
      </c>
      <c r="Y87" s="244">
        <v>0</v>
      </c>
      <c r="Z87" s="244">
        <v>0</v>
      </c>
      <c r="AA87" s="87" t="s">
        <v>1648</v>
      </c>
      <c r="AB87" s="87" t="s">
        <v>1649</v>
      </c>
      <c r="AC87" s="244">
        <v>0</v>
      </c>
      <c r="AD87" s="87" t="s">
        <v>1648</v>
      </c>
      <c r="AE87" s="244">
        <v>5150</v>
      </c>
      <c r="AF87" s="87" t="s">
        <v>1650</v>
      </c>
      <c r="AG87" s="87" t="s">
        <v>1648</v>
      </c>
      <c r="AH87" s="87" t="s">
        <v>1648</v>
      </c>
      <c r="AI87" s="87" t="s">
        <v>1649</v>
      </c>
      <c r="AJ87" s="87" t="s">
        <v>1648</v>
      </c>
    </row>
    <row r="88" spans="1:36" ht="13.5" thickBot="1" x14ac:dyDescent="0.25">
      <c r="A88" s="48" t="s">
        <v>290</v>
      </c>
      <c r="B88" s="347" t="s">
        <v>289</v>
      </c>
      <c r="C88" s="48" t="s">
        <v>3074</v>
      </c>
      <c r="D88" s="48" t="s">
        <v>17</v>
      </c>
      <c r="E88" s="48" t="s">
        <v>1949</v>
      </c>
      <c r="F88" s="87" t="s">
        <v>1648</v>
      </c>
      <c r="G88" s="87" t="s">
        <v>1648</v>
      </c>
      <c r="H88" s="244">
        <v>150</v>
      </c>
      <c r="I88" s="87" t="s">
        <v>1649</v>
      </c>
      <c r="J88" s="244">
        <v>353</v>
      </c>
      <c r="K88" s="87" t="s">
        <v>1649</v>
      </c>
      <c r="L88" s="87" t="s">
        <v>1649</v>
      </c>
      <c r="M88" s="244">
        <v>0</v>
      </c>
      <c r="N88" s="87" t="s">
        <v>1648</v>
      </c>
      <c r="O88" s="87" t="s">
        <v>1648</v>
      </c>
      <c r="P88" s="87" t="s">
        <v>1649</v>
      </c>
      <c r="Q88" s="244">
        <v>0</v>
      </c>
      <c r="R88" s="244">
        <v>0</v>
      </c>
      <c r="S88" s="244">
        <v>0</v>
      </c>
      <c r="T88" s="244">
        <v>0</v>
      </c>
      <c r="U88" s="244">
        <v>0</v>
      </c>
      <c r="V88" s="244">
        <v>0</v>
      </c>
      <c r="W88" s="244">
        <v>0</v>
      </c>
      <c r="X88" s="244">
        <v>0</v>
      </c>
      <c r="Y88" s="244">
        <v>2</v>
      </c>
      <c r="Z88" s="244">
        <v>103</v>
      </c>
      <c r="AA88" s="87" t="s">
        <v>1648</v>
      </c>
      <c r="AB88" s="87" t="s">
        <v>1649</v>
      </c>
      <c r="AC88" s="244">
        <v>0</v>
      </c>
      <c r="AD88" s="87" t="s">
        <v>1648</v>
      </c>
      <c r="AE88" s="244">
        <v>224</v>
      </c>
      <c r="AF88" s="87" t="s">
        <v>1650</v>
      </c>
      <c r="AG88" s="87" t="s">
        <v>1648</v>
      </c>
      <c r="AH88" s="87" t="s">
        <v>1648</v>
      </c>
      <c r="AI88" s="87" t="s">
        <v>1649</v>
      </c>
      <c r="AJ88" s="87" t="s">
        <v>1648</v>
      </c>
    </row>
    <row r="89" spans="1:36" ht="13.5" thickBot="1" x14ac:dyDescent="0.25">
      <c r="A89" s="48" t="s">
        <v>334</v>
      </c>
      <c r="B89" s="347" t="s">
        <v>333</v>
      </c>
      <c r="C89" s="48" t="s">
        <v>3058</v>
      </c>
      <c r="D89" s="48" t="s">
        <v>17</v>
      </c>
      <c r="E89" s="48" t="s">
        <v>1949</v>
      </c>
      <c r="F89" s="87" t="s">
        <v>1648</v>
      </c>
      <c r="G89" s="87" t="s">
        <v>1648</v>
      </c>
      <c r="H89" s="244">
        <v>88</v>
      </c>
      <c r="I89" s="87" t="s">
        <v>1648</v>
      </c>
      <c r="J89" s="244">
        <v>108</v>
      </c>
      <c r="K89" s="87" t="s">
        <v>1649</v>
      </c>
      <c r="L89" s="87" t="s">
        <v>1648</v>
      </c>
      <c r="M89" s="244">
        <v>4550</v>
      </c>
      <c r="N89" s="87" t="s">
        <v>1648</v>
      </c>
      <c r="O89" s="87" t="s">
        <v>1649</v>
      </c>
      <c r="P89" s="87" t="s">
        <v>1648</v>
      </c>
      <c r="Q89" s="244">
        <v>0</v>
      </c>
      <c r="R89" s="244">
        <v>0</v>
      </c>
      <c r="S89" s="244">
        <v>0</v>
      </c>
      <c r="T89" s="244">
        <v>0</v>
      </c>
      <c r="U89" s="244">
        <v>0</v>
      </c>
      <c r="V89" s="244">
        <v>0</v>
      </c>
      <c r="W89" s="244">
        <v>0</v>
      </c>
      <c r="X89" s="244">
        <v>0</v>
      </c>
      <c r="Y89" s="244">
        <v>0</v>
      </c>
      <c r="Z89" s="244">
        <v>0</v>
      </c>
      <c r="AA89" s="87" t="s">
        <v>1648</v>
      </c>
      <c r="AB89" s="87" t="s">
        <v>1649</v>
      </c>
      <c r="AC89" s="244">
        <v>0</v>
      </c>
      <c r="AD89" s="87" t="s">
        <v>1649</v>
      </c>
      <c r="AE89" s="244">
        <v>600</v>
      </c>
      <c r="AF89" s="87" t="s">
        <v>1650</v>
      </c>
      <c r="AG89" s="87" t="s">
        <v>1648</v>
      </c>
      <c r="AH89" s="87" t="s">
        <v>1648</v>
      </c>
      <c r="AI89" s="87" t="s">
        <v>1649</v>
      </c>
      <c r="AJ89" s="87" t="s">
        <v>1649</v>
      </c>
    </row>
    <row r="90" spans="1:36" ht="13.5" thickBot="1" x14ac:dyDescent="0.25">
      <c r="A90" s="48" t="s">
        <v>344</v>
      </c>
      <c r="B90" s="347" t="s">
        <v>343</v>
      </c>
      <c r="C90" s="48" t="s">
        <v>3072</v>
      </c>
      <c r="D90" s="48" t="s">
        <v>17</v>
      </c>
      <c r="E90" s="48" t="s">
        <v>1949</v>
      </c>
      <c r="F90" s="257" t="s">
        <v>1648</v>
      </c>
      <c r="G90" s="87" t="s">
        <v>1649</v>
      </c>
      <c r="H90" s="244">
        <v>0</v>
      </c>
      <c r="I90" s="87" t="s">
        <v>1649</v>
      </c>
      <c r="J90" s="244">
        <v>7</v>
      </c>
      <c r="K90" s="87" t="s">
        <v>1649</v>
      </c>
      <c r="L90" s="87" t="s">
        <v>1649</v>
      </c>
      <c r="M90" s="244">
        <v>0</v>
      </c>
      <c r="N90" s="87" t="s">
        <v>1648</v>
      </c>
      <c r="O90" s="87" t="s">
        <v>1649</v>
      </c>
      <c r="P90" s="87" t="s">
        <v>1649</v>
      </c>
      <c r="Q90" s="244">
        <v>0</v>
      </c>
      <c r="R90" s="244">
        <v>0</v>
      </c>
      <c r="S90" s="244">
        <v>0</v>
      </c>
      <c r="T90" s="244">
        <v>0</v>
      </c>
      <c r="U90" s="244">
        <v>0</v>
      </c>
      <c r="V90" s="244">
        <v>0</v>
      </c>
      <c r="W90" s="244">
        <v>0</v>
      </c>
      <c r="X90" s="244">
        <v>0</v>
      </c>
      <c r="Y90" s="244">
        <v>0</v>
      </c>
      <c r="Z90" s="244">
        <v>0</v>
      </c>
      <c r="AA90" s="87" t="s">
        <v>1648</v>
      </c>
      <c r="AB90" s="87" t="s">
        <v>1649</v>
      </c>
      <c r="AC90" s="244">
        <v>0</v>
      </c>
      <c r="AD90" s="87" t="s">
        <v>1648</v>
      </c>
      <c r="AE90" s="244">
        <v>1967</v>
      </c>
      <c r="AF90" s="87" t="s">
        <v>1650</v>
      </c>
      <c r="AG90" s="87" t="s">
        <v>1648</v>
      </c>
      <c r="AH90" s="87" t="s">
        <v>1648</v>
      </c>
      <c r="AI90" s="87" t="s">
        <v>1649</v>
      </c>
      <c r="AJ90" s="87" t="s">
        <v>1648</v>
      </c>
    </row>
    <row r="91" spans="1:36" ht="13.5" thickBot="1" x14ac:dyDescent="0.25">
      <c r="A91" s="48" t="s">
        <v>354</v>
      </c>
      <c r="B91" s="347" t="s">
        <v>353</v>
      </c>
      <c r="C91" s="48" t="s">
        <v>3074</v>
      </c>
      <c r="D91" s="48" t="s">
        <v>17</v>
      </c>
      <c r="E91" s="48" t="s">
        <v>1949</v>
      </c>
      <c r="F91" s="87" t="s">
        <v>1648</v>
      </c>
      <c r="G91" s="87" t="s">
        <v>1649</v>
      </c>
      <c r="H91" s="244">
        <v>0</v>
      </c>
      <c r="I91" s="87" t="s">
        <v>1649</v>
      </c>
      <c r="J91" s="244">
        <v>0</v>
      </c>
      <c r="K91" s="87" t="s">
        <v>1649</v>
      </c>
      <c r="L91" s="87" t="s">
        <v>1649</v>
      </c>
      <c r="M91" s="244">
        <v>0</v>
      </c>
      <c r="N91" s="87" t="s">
        <v>1648</v>
      </c>
      <c r="O91" s="87" t="s">
        <v>1649</v>
      </c>
      <c r="P91" s="87" t="s">
        <v>1649</v>
      </c>
      <c r="Q91" s="244">
        <v>0</v>
      </c>
      <c r="R91" s="244">
        <v>0</v>
      </c>
      <c r="S91" s="244">
        <v>0</v>
      </c>
      <c r="T91" s="244">
        <v>0</v>
      </c>
      <c r="U91" s="244">
        <v>0</v>
      </c>
      <c r="V91" s="244">
        <v>0</v>
      </c>
      <c r="W91" s="244">
        <v>0</v>
      </c>
      <c r="X91" s="244">
        <v>0</v>
      </c>
      <c r="Y91" s="244">
        <v>0</v>
      </c>
      <c r="Z91" s="244">
        <v>0</v>
      </c>
      <c r="AA91" s="87" t="s">
        <v>1649</v>
      </c>
      <c r="AB91" s="87" t="s">
        <v>1649</v>
      </c>
      <c r="AC91" s="87" t="s">
        <v>1660</v>
      </c>
      <c r="AD91" s="87" t="s">
        <v>1649</v>
      </c>
      <c r="AE91" s="244">
        <v>4587</v>
      </c>
      <c r="AF91" s="87" t="s">
        <v>1650</v>
      </c>
      <c r="AG91" s="87" t="s">
        <v>1648</v>
      </c>
      <c r="AH91" s="87" t="s">
        <v>1648</v>
      </c>
      <c r="AI91" s="87" t="s">
        <v>1649</v>
      </c>
      <c r="AJ91" s="87" t="s">
        <v>1649</v>
      </c>
    </row>
    <row r="92" spans="1:36" ht="13.5" thickBot="1" x14ac:dyDescent="0.25">
      <c r="A92" s="48" t="s">
        <v>362</v>
      </c>
      <c r="B92" s="347" t="s">
        <v>361</v>
      </c>
      <c r="C92" s="48" t="s">
        <v>3074</v>
      </c>
      <c r="D92" s="48" t="s">
        <v>17</v>
      </c>
      <c r="E92" s="48" t="s">
        <v>1919</v>
      </c>
      <c r="F92" s="87" t="s">
        <v>1648</v>
      </c>
      <c r="G92" s="87" t="s">
        <v>1648</v>
      </c>
      <c r="H92" s="244">
        <v>70</v>
      </c>
      <c r="I92" s="87" t="s">
        <v>1649</v>
      </c>
      <c r="J92" s="244">
        <v>0</v>
      </c>
      <c r="K92" s="87" t="s">
        <v>1649</v>
      </c>
      <c r="L92" s="87" t="s">
        <v>1649</v>
      </c>
      <c r="M92" s="244">
        <v>0</v>
      </c>
      <c r="N92" s="87" t="s">
        <v>1649</v>
      </c>
      <c r="O92" s="87" t="s">
        <v>1648</v>
      </c>
      <c r="P92" s="87" t="s">
        <v>1649</v>
      </c>
      <c r="Q92" s="244">
        <v>1</v>
      </c>
      <c r="R92" s="244">
        <v>20</v>
      </c>
      <c r="S92" s="244">
        <v>1</v>
      </c>
      <c r="T92" s="244">
        <v>20</v>
      </c>
      <c r="U92" s="244">
        <v>0</v>
      </c>
      <c r="V92" s="244">
        <v>0</v>
      </c>
      <c r="W92" s="244">
        <v>1</v>
      </c>
      <c r="X92" s="244">
        <v>20</v>
      </c>
      <c r="Y92" s="244">
        <v>0</v>
      </c>
      <c r="Z92" s="244">
        <v>0</v>
      </c>
      <c r="AA92" s="87" t="s">
        <v>1648</v>
      </c>
      <c r="AB92" s="87" t="s">
        <v>1649</v>
      </c>
      <c r="AC92" s="244">
        <v>0</v>
      </c>
      <c r="AD92" s="87" t="s">
        <v>1648</v>
      </c>
      <c r="AE92" s="244">
        <v>1300</v>
      </c>
      <c r="AF92" s="87" t="s">
        <v>1650</v>
      </c>
      <c r="AG92" s="87" t="s">
        <v>1648</v>
      </c>
      <c r="AH92" s="87" t="s">
        <v>1648</v>
      </c>
      <c r="AI92" s="87" t="s">
        <v>1649</v>
      </c>
      <c r="AJ92" s="87" t="s">
        <v>1649</v>
      </c>
    </row>
    <row r="93" spans="1:36" ht="13.5" thickBot="1" x14ac:dyDescent="0.25">
      <c r="A93" s="48" t="s">
        <v>366</v>
      </c>
      <c r="B93" s="347" t="s">
        <v>365</v>
      </c>
      <c r="C93" s="48" t="s">
        <v>3074</v>
      </c>
      <c r="D93" s="48" t="s">
        <v>17</v>
      </c>
      <c r="E93" s="48" t="s">
        <v>1949</v>
      </c>
      <c r="F93" s="87" t="s">
        <v>1648</v>
      </c>
      <c r="G93" s="87" t="s">
        <v>1648</v>
      </c>
      <c r="H93" s="244">
        <v>288</v>
      </c>
      <c r="I93" s="87" t="s">
        <v>1649</v>
      </c>
      <c r="J93" s="244">
        <v>0</v>
      </c>
      <c r="K93" s="87" t="s">
        <v>1649</v>
      </c>
      <c r="L93" s="87" t="s">
        <v>1649</v>
      </c>
      <c r="M93" s="244">
        <v>0</v>
      </c>
      <c r="N93" s="87" t="s">
        <v>1648</v>
      </c>
      <c r="O93" s="87" t="s">
        <v>1649</v>
      </c>
      <c r="P93" s="87" t="s">
        <v>1649</v>
      </c>
      <c r="Q93" s="244">
        <v>0</v>
      </c>
      <c r="R93" s="244">
        <v>0</v>
      </c>
      <c r="S93" s="244">
        <v>0</v>
      </c>
      <c r="T93" s="244">
        <v>0</v>
      </c>
      <c r="U93" s="244">
        <v>0</v>
      </c>
      <c r="V93" s="244">
        <v>0</v>
      </c>
      <c r="W93" s="244">
        <v>0</v>
      </c>
      <c r="X93" s="244">
        <v>0</v>
      </c>
      <c r="Y93" s="244">
        <v>0</v>
      </c>
      <c r="Z93" s="244">
        <v>0</v>
      </c>
      <c r="AA93" s="87" t="s">
        <v>1648</v>
      </c>
      <c r="AB93" s="87" t="s">
        <v>1648</v>
      </c>
      <c r="AC93" s="244">
        <v>3</v>
      </c>
      <c r="AD93" s="87" t="s">
        <v>1648</v>
      </c>
      <c r="AE93" s="244">
        <v>3120</v>
      </c>
      <c r="AF93" s="87" t="s">
        <v>1650</v>
      </c>
      <c r="AG93" s="87" t="s">
        <v>1649</v>
      </c>
      <c r="AH93" s="87" t="s">
        <v>1648</v>
      </c>
      <c r="AI93" s="87" t="s">
        <v>1649</v>
      </c>
      <c r="AJ93" s="87" t="s">
        <v>1648</v>
      </c>
    </row>
    <row r="94" spans="1:36" ht="13.5" thickBot="1" x14ac:dyDescent="0.25">
      <c r="A94" s="48" t="s">
        <v>372</v>
      </c>
      <c r="B94" s="347" t="s">
        <v>371</v>
      </c>
      <c r="C94" s="48" t="s">
        <v>3058</v>
      </c>
      <c r="D94" s="48" t="s">
        <v>17</v>
      </c>
      <c r="E94" s="48" t="s">
        <v>2066</v>
      </c>
      <c r="F94" s="257" t="s">
        <v>1648</v>
      </c>
      <c r="G94" s="87" t="s">
        <v>1649</v>
      </c>
      <c r="H94" s="244">
        <v>0</v>
      </c>
      <c r="I94" s="87" t="s">
        <v>1649</v>
      </c>
      <c r="J94" s="244">
        <v>0</v>
      </c>
      <c r="K94" s="87" t="s">
        <v>1649</v>
      </c>
      <c r="L94" s="87" t="s">
        <v>1649</v>
      </c>
      <c r="M94" s="244">
        <v>0</v>
      </c>
      <c r="N94" s="87" t="s">
        <v>1649</v>
      </c>
      <c r="O94" s="87" t="s">
        <v>1649</v>
      </c>
      <c r="P94" s="87" t="s">
        <v>1649</v>
      </c>
      <c r="Q94" s="244">
        <v>0</v>
      </c>
      <c r="R94" s="244">
        <v>0</v>
      </c>
      <c r="S94" s="244">
        <v>0</v>
      </c>
      <c r="T94" s="244">
        <v>0</v>
      </c>
      <c r="U94" s="244">
        <v>0</v>
      </c>
      <c r="V94" s="244">
        <v>0</v>
      </c>
      <c r="W94" s="244">
        <v>0</v>
      </c>
      <c r="X94" s="244">
        <v>0</v>
      </c>
      <c r="Y94" s="244">
        <v>0</v>
      </c>
      <c r="Z94" s="244">
        <v>0</v>
      </c>
      <c r="AA94" s="87" t="s">
        <v>1649</v>
      </c>
      <c r="AB94" s="87" t="s">
        <v>1649</v>
      </c>
      <c r="AC94" s="244">
        <v>0</v>
      </c>
      <c r="AD94" s="87" t="s">
        <v>1649</v>
      </c>
      <c r="AE94" s="244">
        <v>632</v>
      </c>
      <c r="AF94" s="87" t="s">
        <v>1651</v>
      </c>
      <c r="AG94" s="87" t="s">
        <v>1649</v>
      </c>
      <c r="AH94" s="87" t="s">
        <v>1649</v>
      </c>
      <c r="AI94" s="87" t="s">
        <v>1649</v>
      </c>
      <c r="AJ94" s="87" t="s">
        <v>1649</v>
      </c>
    </row>
    <row r="95" spans="1:36" ht="13.5" thickBot="1" x14ac:dyDescent="0.25">
      <c r="A95" s="48" t="s">
        <v>376</v>
      </c>
      <c r="B95" s="347" t="s">
        <v>375</v>
      </c>
      <c r="C95" s="48" t="s">
        <v>3061</v>
      </c>
      <c r="D95" s="48" t="s">
        <v>17</v>
      </c>
      <c r="E95" s="48" t="s">
        <v>1949</v>
      </c>
      <c r="F95" s="87" t="s">
        <v>1648</v>
      </c>
      <c r="G95" s="87" t="s">
        <v>1648</v>
      </c>
      <c r="H95" s="244">
        <v>560</v>
      </c>
      <c r="I95" s="87" t="s">
        <v>1648</v>
      </c>
      <c r="J95" s="244">
        <v>560</v>
      </c>
      <c r="K95" s="87" t="s">
        <v>1649</v>
      </c>
      <c r="L95" s="87" t="s">
        <v>1649</v>
      </c>
      <c r="M95" s="244">
        <v>0</v>
      </c>
      <c r="N95" s="87" t="s">
        <v>1648</v>
      </c>
      <c r="O95" s="87" t="s">
        <v>1648</v>
      </c>
      <c r="P95" s="87" t="s">
        <v>1649</v>
      </c>
      <c r="Q95" s="244">
        <v>0</v>
      </c>
      <c r="R95" s="244">
        <v>0</v>
      </c>
      <c r="S95" s="244">
        <v>0</v>
      </c>
      <c r="T95" s="244">
        <v>0</v>
      </c>
      <c r="U95" s="244">
        <v>6</v>
      </c>
      <c r="V95" s="244">
        <v>32</v>
      </c>
      <c r="W95" s="244">
        <v>0</v>
      </c>
      <c r="X95" s="244">
        <v>0</v>
      </c>
      <c r="Y95" s="244">
        <v>0</v>
      </c>
      <c r="Z95" s="244">
        <v>0</v>
      </c>
      <c r="AA95" s="87" t="s">
        <v>1648</v>
      </c>
      <c r="AB95" s="87" t="s">
        <v>1649</v>
      </c>
      <c r="AC95" s="244">
        <v>0</v>
      </c>
      <c r="AD95" s="87" t="s">
        <v>1648</v>
      </c>
      <c r="AE95" s="244">
        <v>2570</v>
      </c>
      <c r="AF95" s="87" t="s">
        <v>1651</v>
      </c>
      <c r="AG95" s="87" t="s">
        <v>1648</v>
      </c>
      <c r="AH95" s="87" t="s">
        <v>1648</v>
      </c>
      <c r="AI95" s="87" t="s">
        <v>1648</v>
      </c>
      <c r="AJ95" s="87" t="s">
        <v>1648</v>
      </c>
    </row>
    <row r="96" spans="1:36" ht="13.5" thickBot="1" x14ac:dyDescent="0.25">
      <c r="A96" s="48" t="s">
        <v>382</v>
      </c>
      <c r="B96" s="347" t="s">
        <v>381</v>
      </c>
      <c r="C96" s="48" t="s">
        <v>3077</v>
      </c>
      <c r="D96" s="48" t="s">
        <v>17</v>
      </c>
      <c r="E96" s="48" t="s">
        <v>1919</v>
      </c>
      <c r="F96" s="87" t="s">
        <v>1648</v>
      </c>
      <c r="G96" s="87" t="s">
        <v>1649</v>
      </c>
      <c r="H96" s="244">
        <v>42</v>
      </c>
      <c r="I96" s="87" t="s">
        <v>1648</v>
      </c>
      <c r="J96" s="244">
        <v>192</v>
      </c>
      <c r="K96" s="87" t="s">
        <v>1649</v>
      </c>
      <c r="L96" s="87" t="s">
        <v>1649</v>
      </c>
      <c r="M96" s="244">
        <v>0</v>
      </c>
      <c r="N96" s="87" t="s">
        <v>1649</v>
      </c>
      <c r="O96" s="87" t="s">
        <v>1648</v>
      </c>
      <c r="P96" s="87" t="s">
        <v>1648</v>
      </c>
      <c r="Q96" s="244">
        <v>0</v>
      </c>
      <c r="R96" s="244">
        <v>0</v>
      </c>
      <c r="S96" s="244">
        <v>0</v>
      </c>
      <c r="T96" s="244">
        <v>0</v>
      </c>
      <c r="U96" s="244">
        <v>0</v>
      </c>
      <c r="V96" s="244">
        <v>0</v>
      </c>
      <c r="W96" s="244">
        <v>0</v>
      </c>
      <c r="X96" s="244">
        <v>0</v>
      </c>
      <c r="Y96" s="244">
        <v>28</v>
      </c>
      <c r="Z96" s="244">
        <v>6656</v>
      </c>
      <c r="AA96" s="87" t="s">
        <v>1648</v>
      </c>
      <c r="AB96" s="87" t="s">
        <v>1649</v>
      </c>
      <c r="AC96" s="244">
        <v>0</v>
      </c>
      <c r="AD96" s="87" t="s">
        <v>1648</v>
      </c>
      <c r="AE96" s="244">
        <v>5465</v>
      </c>
      <c r="AF96" s="87" t="s">
        <v>1650</v>
      </c>
      <c r="AG96" s="87" t="s">
        <v>1648</v>
      </c>
      <c r="AH96" s="87" t="s">
        <v>1649</v>
      </c>
      <c r="AI96" s="87" t="s">
        <v>1649</v>
      </c>
      <c r="AJ96" s="87" t="s">
        <v>1649</v>
      </c>
    </row>
    <row r="97" spans="1:36" ht="13.5" thickBot="1" x14ac:dyDescent="0.25">
      <c r="A97" s="48" t="s">
        <v>388</v>
      </c>
      <c r="B97" s="347" t="s">
        <v>387</v>
      </c>
      <c r="C97" s="48" t="s">
        <v>3053</v>
      </c>
      <c r="D97" s="48" t="s">
        <v>17</v>
      </c>
      <c r="E97" s="48" t="s">
        <v>890</v>
      </c>
      <c r="F97" s="87" t="s">
        <v>1648</v>
      </c>
      <c r="G97" s="87" t="s">
        <v>1648</v>
      </c>
      <c r="H97" s="244">
        <v>492</v>
      </c>
      <c r="I97" s="87" t="s">
        <v>1649</v>
      </c>
      <c r="J97" s="244">
        <v>0</v>
      </c>
      <c r="K97" s="87" t="s">
        <v>1649</v>
      </c>
      <c r="L97" s="87" t="s">
        <v>1648</v>
      </c>
      <c r="M97" s="244">
        <v>20000</v>
      </c>
      <c r="N97" s="87" t="s">
        <v>1648</v>
      </c>
      <c r="O97" s="87" t="s">
        <v>1648</v>
      </c>
      <c r="P97" s="87" t="s">
        <v>1648</v>
      </c>
      <c r="Q97" s="244">
        <v>7</v>
      </c>
      <c r="R97" s="244">
        <v>60</v>
      </c>
      <c r="S97" s="244">
        <v>0</v>
      </c>
      <c r="T97" s="244">
        <v>0</v>
      </c>
      <c r="U97" s="244">
        <v>3</v>
      </c>
      <c r="V97" s="244">
        <v>20</v>
      </c>
      <c r="W97" s="244">
        <v>0</v>
      </c>
      <c r="X97" s="244">
        <v>0</v>
      </c>
      <c r="Y97" s="244">
        <v>7</v>
      </c>
      <c r="Z97" s="244">
        <v>945</v>
      </c>
      <c r="AA97" s="87" t="s">
        <v>1648</v>
      </c>
      <c r="AB97" s="87" t="s">
        <v>1649</v>
      </c>
      <c r="AC97" s="244">
        <v>0</v>
      </c>
      <c r="AD97" s="87" t="s">
        <v>1648</v>
      </c>
      <c r="AE97" s="244">
        <v>680</v>
      </c>
      <c r="AF97" s="87" t="s">
        <v>1650</v>
      </c>
      <c r="AG97" s="87" t="s">
        <v>1648</v>
      </c>
      <c r="AH97" s="87" t="s">
        <v>1648</v>
      </c>
      <c r="AI97" s="87" t="s">
        <v>1648</v>
      </c>
      <c r="AJ97" s="87" t="s">
        <v>1648</v>
      </c>
    </row>
    <row r="98" spans="1:36" ht="13.5" thickBot="1" x14ac:dyDescent="0.25">
      <c r="A98" s="48" t="s">
        <v>392</v>
      </c>
      <c r="B98" s="347" t="s">
        <v>391</v>
      </c>
      <c r="C98" s="48" t="s">
        <v>3072</v>
      </c>
      <c r="D98" s="48" t="s">
        <v>17</v>
      </c>
      <c r="E98" s="48" t="s">
        <v>1919</v>
      </c>
      <c r="F98" s="87" t="s">
        <v>1648</v>
      </c>
      <c r="G98" s="87" t="s">
        <v>1648</v>
      </c>
      <c r="H98" s="244">
        <v>250</v>
      </c>
      <c r="I98" s="87" t="s">
        <v>1649</v>
      </c>
      <c r="J98" s="244">
        <v>0</v>
      </c>
      <c r="K98" s="87" t="s">
        <v>1649</v>
      </c>
      <c r="L98" s="87" t="s">
        <v>1649</v>
      </c>
      <c r="M98" s="244">
        <v>0</v>
      </c>
      <c r="N98" s="87" t="s">
        <v>1648</v>
      </c>
      <c r="O98" s="87" t="s">
        <v>1649</v>
      </c>
      <c r="P98" s="87" t="s">
        <v>1648</v>
      </c>
      <c r="Q98" s="244">
        <v>0</v>
      </c>
      <c r="R98" s="244">
        <v>0</v>
      </c>
      <c r="S98" s="244">
        <v>0</v>
      </c>
      <c r="T98" s="244">
        <v>0</v>
      </c>
      <c r="U98" s="244">
        <v>0</v>
      </c>
      <c r="V98" s="244">
        <v>0</v>
      </c>
      <c r="W98" s="244">
        <v>0</v>
      </c>
      <c r="X98" s="244">
        <v>0</v>
      </c>
      <c r="Y98" s="244">
        <v>35</v>
      </c>
      <c r="Z98" s="244">
        <v>1918</v>
      </c>
      <c r="AA98" s="87" t="s">
        <v>1648</v>
      </c>
      <c r="AB98" s="87" t="s">
        <v>1649</v>
      </c>
      <c r="AC98" s="244">
        <v>0</v>
      </c>
      <c r="AD98" s="87" t="s">
        <v>1648</v>
      </c>
      <c r="AE98" s="244">
        <v>975</v>
      </c>
      <c r="AF98" s="87" t="s">
        <v>1650</v>
      </c>
      <c r="AG98" s="87" t="s">
        <v>1648</v>
      </c>
      <c r="AH98" s="87" t="s">
        <v>1648</v>
      </c>
      <c r="AI98" s="87" t="s">
        <v>1649</v>
      </c>
      <c r="AJ98" s="87" t="s">
        <v>1648</v>
      </c>
    </row>
    <row r="99" spans="1:36" ht="13.5" thickBot="1" x14ac:dyDescent="0.25">
      <c r="A99" s="48" t="s">
        <v>396</v>
      </c>
      <c r="B99" s="347" t="s">
        <v>395</v>
      </c>
      <c r="C99" s="48" t="s">
        <v>3058</v>
      </c>
      <c r="D99" s="48" t="s">
        <v>17</v>
      </c>
      <c r="E99" s="48" t="s">
        <v>2133</v>
      </c>
      <c r="F99" s="87" t="s">
        <v>1648</v>
      </c>
      <c r="G99" s="87" t="s">
        <v>1649</v>
      </c>
      <c r="H99" s="244">
        <v>68</v>
      </c>
      <c r="I99" s="87" t="s">
        <v>1649</v>
      </c>
      <c r="J99" s="244">
        <v>0</v>
      </c>
      <c r="K99" s="87" t="s">
        <v>1649</v>
      </c>
      <c r="L99" s="87" t="s">
        <v>1649</v>
      </c>
      <c r="M99" s="244">
        <v>0</v>
      </c>
      <c r="N99" s="87" t="s">
        <v>1648</v>
      </c>
      <c r="O99" s="87" t="s">
        <v>1648</v>
      </c>
      <c r="P99" s="87" t="s">
        <v>1649</v>
      </c>
      <c r="Q99" s="244">
        <v>0</v>
      </c>
      <c r="R99" s="244">
        <v>0</v>
      </c>
      <c r="S99" s="244">
        <v>0</v>
      </c>
      <c r="T99" s="244">
        <v>0</v>
      </c>
      <c r="U99" s="244">
        <v>0</v>
      </c>
      <c r="V99" s="244">
        <v>0</v>
      </c>
      <c r="W99" s="244">
        <v>0</v>
      </c>
      <c r="X99" s="244">
        <v>0</v>
      </c>
      <c r="Y99" s="244">
        <v>0</v>
      </c>
      <c r="Z99" s="244">
        <v>0</v>
      </c>
      <c r="AA99" s="87" t="s">
        <v>1648</v>
      </c>
      <c r="AB99" s="87" t="s">
        <v>1649</v>
      </c>
      <c r="AC99" s="244">
        <v>0</v>
      </c>
      <c r="AD99" s="87" t="s">
        <v>1648</v>
      </c>
      <c r="AE99" s="244">
        <v>150</v>
      </c>
      <c r="AF99" s="87" t="s">
        <v>1650</v>
      </c>
      <c r="AG99" s="87" t="s">
        <v>1648</v>
      </c>
      <c r="AH99" s="87" t="s">
        <v>1648</v>
      </c>
      <c r="AI99" s="87" t="s">
        <v>1649</v>
      </c>
      <c r="AJ99" s="87" t="s">
        <v>1649</v>
      </c>
    </row>
    <row r="100" spans="1:36" ht="13.5" thickBot="1" x14ac:dyDescent="0.25">
      <c r="A100" s="48" t="s">
        <v>398</v>
      </c>
      <c r="B100" s="347" t="s">
        <v>397</v>
      </c>
      <c r="C100" s="48" t="s">
        <v>3061</v>
      </c>
      <c r="D100" s="48" t="s">
        <v>17</v>
      </c>
      <c r="E100" s="48" t="s">
        <v>1949</v>
      </c>
      <c r="F100" s="87" t="s">
        <v>1648</v>
      </c>
      <c r="G100" s="87" t="s">
        <v>1648</v>
      </c>
      <c r="H100" s="244">
        <v>1180</v>
      </c>
      <c r="I100" s="87" t="s">
        <v>1649</v>
      </c>
      <c r="J100" s="244">
        <v>0</v>
      </c>
      <c r="K100" s="87" t="s">
        <v>1649</v>
      </c>
      <c r="L100" s="87" t="s">
        <v>1649</v>
      </c>
      <c r="M100" s="244">
        <v>0</v>
      </c>
      <c r="N100" s="87" t="s">
        <v>1648</v>
      </c>
      <c r="O100" s="87" t="s">
        <v>1649</v>
      </c>
      <c r="P100" s="87" t="s">
        <v>1649</v>
      </c>
      <c r="Q100" s="244">
        <v>0</v>
      </c>
      <c r="R100" s="244">
        <v>0</v>
      </c>
      <c r="S100" s="244">
        <v>0</v>
      </c>
      <c r="T100" s="244">
        <v>0</v>
      </c>
      <c r="U100" s="244">
        <v>0</v>
      </c>
      <c r="V100" s="244">
        <v>0</v>
      </c>
      <c r="W100" s="244">
        <v>0</v>
      </c>
      <c r="X100" s="244">
        <v>0</v>
      </c>
      <c r="Y100" s="244">
        <v>0</v>
      </c>
      <c r="Z100" s="244">
        <v>0</v>
      </c>
      <c r="AA100" s="87" t="s">
        <v>1648</v>
      </c>
      <c r="AB100" s="87" t="s">
        <v>1649</v>
      </c>
      <c r="AC100" s="244">
        <v>0</v>
      </c>
      <c r="AD100" s="87" t="s">
        <v>1648</v>
      </c>
      <c r="AE100" s="244">
        <v>9360</v>
      </c>
      <c r="AF100" s="87" t="s">
        <v>1650</v>
      </c>
      <c r="AG100" s="87" t="s">
        <v>1648</v>
      </c>
      <c r="AH100" s="87" t="s">
        <v>1648</v>
      </c>
      <c r="AI100" s="87" t="s">
        <v>1649</v>
      </c>
      <c r="AJ100" s="87" t="s">
        <v>1648</v>
      </c>
    </row>
    <row r="101" spans="1:36" ht="13.5" thickBot="1" x14ac:dyDescent="0.25">
      <c r="A101" s="48" t="s">
        <v>400</v>
      </c>
      <c r="B101" s="347" t="s">
        <v>399</v>
      </c>
      <c r="C101" s="48" t="s">
        <v>3077</v>
      </c>
      <c r="D101" s="48" t="s">
        <v>17</v>
      </c>
      <c r="E101" s="48" t="s">
        <v>1949</v>
      </c>
      <c r="F101" s="87" t="s">
        <v>1648</v>
      </c>
      <c r="G101" s="87" t="s">
        <v>1648</v>
      </c>
      <c r="H101" s="244">
        <v>120</v>
      </c>
      <c r="I101" s="87" t="s">
        <v>1648</v>
      </c>
      <c r="J101" s="244">
        <v>180</v>
      </c>
      <c r="K101" s="87" t="s">
        <v>1649</v>
      </c>
      <c r="L101" s="87" t="s">
        <v>1648</v>
      </c>
      <c r="M101" s="244">
        <v>1200</v>
      </c>
      <c r="N101" s="87" t="s">
        <v>1648</v>
      </c>
      <c r="O101" s="87" t="s">
        <v>1648</v>
      </c>
      <c r="P101" s="87" t="s">
        <v>1648</v>
      </c>
      <c r="Q101" s="244">
        <v>5</v>
      </c>
      <c r="R101" s="244">
        <v>23</v>
      </c>
      <c r="S101" s="244">
        <v>0</v>
      </c>
      <c r="T101" s="244">
        <v>0</v>
      </c>
      <c r="U101" s="244">
        <v>0</v>
      </c>
      <c r="V101" s="244">
        <v>0</v>
      </c>
      <c r="W101" s="244">
        <v>0</v>
      </c>
      <c r="X101" s="244">
        <v>0</v>
      </c>
      <c r="Y101" s="244">
        <v>4</v>
      </c>
      <c r="Z101" s="244">
        <v>23</v>
      </c>
      <c r="AA101" s="87" t="s">
        <v>1648</v>
      </c>
      <c r="AB101" s="87" t="s">
        <v>1649</v>
      </c>
      <c r="AC101" s="244">
        <v>0</v>
      </c>
      <c r="AD101" s="87" t="s">
        <v>1648</v>
      </c>
      <c r="AE101" s="244">
        <v>1655</v>
      </c>
      <c r="AF101" s="87" t="s">
        <v>1650</v>
      </c>
      <c r="AG101" s="87" t="s">
        <v>1648</v>
      </c>
      <c r="AH101" s="87" t="s">
        <v>1649</v>
      </c>
      <c r="AI101" s="87" t="s">
        <v>1649</v>
      </c>
      <c r="AJ101" s="87" t="s">
        <v>1649</v>
      </c>
    </row>
    <row r="102" spans="1:36" ht="13.5" thickBot="1" x14ac:dyDescent="0.25">
      <c r="A102" s="48" t="s">
        <v>414</v>
      </c>
      <c r="B102" s="347" t="s">
        <v>413</v>
      </c>
      <c r="C102" s="48" t="s">
        <v>3074</v>
      </c>
      <c r="D102" s="48" t="s">
        <v>17</v>
      </c>
      <c r="E102" s="48" t="s">
        <v>1949</v>
      </c>
      <c r="F102" s="87" t="s">
        <v>1648</v>
      </c>
      <c r="G102" s="87" t="s">
        <v>1648</v>
      </c>
      <c r="H102" s="244">
        <v>20</v>
      </c>
      <c r="I102" s="87" t="s">
        <v>1648</v>
      </c>
      <c r="J102" s="244">
        <v>60</v>
      </c>
      <c r="K102" s="87" t="s">
        <v>1649</v>
      </c>
      <c r="L102" s="87" t="s">
        <v>1648</v>
      </c>
      <c r="M102" s="244">
        <v>20086</v>
      </c>
      <c r="N102" s="87" t="s">
        <v>1648</v>
      </c>
      <c r="O102" s="87" t="s">
        <v>1648</v>
      </c>
      <c r="P102" s="87" t="s">
        <v>1648</v>
      </c>
      <c r="Q102" s="244">
        <v>26</v>
      </c>
      <c r="R102" s="244">
        <v>158</v>
      </c>
      <c r="S102" s="244">
        <v>0</v>
      </c>
      <c r="T102" s="244">
        <v>0</v>
      </c>
      <c r="U102" s="244">
        <v>2</v>
      </c>
      <c r="V102" s="244">
        <v>8</v>
      </c>
      <c r="W102" s="244">
        <v>0</v>
      </c>
      <c r="X102" s="244">
        <v>0</v>
      </c>
      <c r="Y102" s="244">
        <v>0</v>
      </c>
      <c r="Z102" s="244">
        <v>26</v>
      </c>
      <c r="AA102" s="87" t="s">
        <v>1648</v>
      </c>
      <c r="AB102" s="87" t="s">
        <v>1649</v>
      </c>
      <c r="AC102" s="244">
        <v>0</v>
      </c>
      <c r="AD102" s="87" t="s">
        <v>1648</v>
      </c>
      <c r="AE102" s="244">
        <v>1500</v>
      </c>
      <c r="AF102" s="87" t="s">
        <v>1650</v>
      </c>
      <c r="AG102" s="87" t="s">
        <v>1648</v>
      </c>
      <c r="AH102" s="87" t="s">
        <v>1648</v>
      </c>
      <c r="AI102" s="87" t="s">
        <v>1649</v>
      </c>
      <c r="AJ102" s="87" t="s">
        <v>1648</v>
      </c>
    </row>
    <row r="103" spans="1:36" ht="13.5" thickBot="1" x14ac:dyDescent="0.25">
      <c r="A103" s="48" t="s">
        <v>427</v>
      </c>
      <c r="B103" s="347" t="s">
        <v>426</v>
      </c>
      <c r="C103" s="48" t="s">
        <v>3074</v>
      </c>
      <c r="D103" s="48" t="s">
        <v>17</v>
      </c>
      <c r="E103" s="48" t="s">
        <v>1919</v>
      </c>
      <c r="F103" s="87" t="s">
        <v>1648</v>
      </c>
      <c r="G103" s="87" t="s">
        <v>1648</v>
      </c>
      <c r="H103" s="244">
        <v>952</v>
      </c>
      <c r="I103" s="87" t="s">
        <v>1648</v>
      </c>
      <c r="J103" s="244">
        <v>570</v>
      </c>
      <c r="K103" s="87" t="s">
        <v>1649</v>
      </c>
      <c r="L103" s="87" t="s">
        <v>1648</v>
      </c>
      <c r="M103" s="244">
        <v>9500</v>
      </c>
      <c r="N103" s="87" t="s">
        <v>1648</v>
      </c>
      <c r="O103" s="87" t="s">
        <v>1648</v>
      </c>
      <c r="P103" s="87" t="s">
        <v>1648</v>
      </c>
      <c r="Q103" s="244">
        <v>1</v>
      </c>
      <c r="R103" s="244">
        <v>5</v>
      </c>
      <c r="S103" s="244">
        <v>12</v>
      </c>
      <c r="T103" s="244">
        <v>61</v>
      </c>
      <c r="U103" s="244">
        <v>3</v>
      </c>
      <c r="V103" s="244">
        <v>13</v>
      </c>
      <c r="W103" s="244">
        <v>0</v>
      </c>
      <c r="X103" s="244">
        <v>0</v>
      </c>
      <c r="Y103" s="244">
        <v>89</v>
      </c>
      <c r="Z103" s="244">
        <v>2778</v>
      </c>
      <c r="AA103" s="87" t="s">
        <v>1648</v>
      </c>
      <c r="AB103" s="87" t="s">
        <v>1649</v>
      </c>
      <c r="AC103" s="244">
        <v>0</v>
      </c>
      <c r="AD103" s="87" t="s">
        <v>1648</v>
      </c>
      <c r="AE103" s="244">
        <v>964</v>
      </c>
      <c r="AF103" s="87" t="s">
        <v>1650</v>
      </c>
      <c r="AG103" s="87" t="s">
        <v>1648</v>
      </c>
      <c r="AH103" s="87" t="s">
        <v>1649</v>
      </c>
      <c r="AI103" s="87" t="s">
        <v>1649</v>
      </c>
      <c r="AJ103" s="87" t="s">
        <v>1649</v>
      </c>
    </row>
    <row r="104" spans="1:36" ht="13.5" thickBot="1" x14ac:dyDescent="0.25">
      <c r="A104" s="48" t="s">
        <v>429</v>
      </c>
      <c r="B104" s="347" t="s">
        <v>428</v>
      </c>
      <c r="C104" s="48" t="s">
        <v>3059</v>
      </c>
      <c r="D104" s="48" t="s">
        <v>17</v>
      </c>
      <c r="E104" s="48" t="s">
        <v>1919</v>
      </c>
      <c r="F104" s="87" t="s">
        <v>1648</v>
      </c>
      <c r="G104" s="87" t="s">
        <v>1648</v>
      </c>
      <c r="H104" s="244">
        <v>49</v>
      </c>
      <c r="I104" s="87" t="s">
        <v>1648</v>
      </c>
      <c r="J104" s="244">
        <v>290</v>
      </c>
      <c r="K104" s="87" t="s">
        <v>1649</v>
      </c>
      <c r="L104" s="87" t="s">
        <v>1649</v>
      </c>
      <c r="M104" s="244">
        <v>0</v>
      </c>
      <c r="N104" s="87" t="s">
        <v>1649</v>
      </c>
      <c r="O104" s="87" t="s">
        <v>1648</v>
      </c>
      <c r="P104" s="87" t="s">
        <v>1648</v>
      </c>
      <c r="Q104" s="244">
        <v>7</v>
      </c>
      <c r="R104" s="244">
        <v>84</v>
      </c>
      <c r="S104" s="244">
        <v>0</v>
      </c>
      <c r="T104" s="244">
        <v>0</v>
      </c>
      <c r="U104" s="244">
        <v>7</v>
      </c>
      <c r="V104" s="244">
        <v>71</v>
      </c>
      <c r="W104" s="244">
        <v>0</v>
      </c>
      <c r="X104" s="244">
        <v>0</v>
      </c>
      <c r="Y104" s="244">
        <v>0</v>
      </c>
      <c r="Z104" s="244">
        <v>0</v>
      </c>
      <c r="AA104" s="87" t="s">
        <v>1648</v>
      </c>
      <c r="AB104" s="87" t="s">
        <v>1649</v>
      </c>
      <c r="AC104" s="244">
        <v>0</v>
      </c>
      <c r="AD104" s="87" t="s">
        <v>1648</v>
      </c>
      <c r="AE104" s="244">
        <v>3000</v>
      </c>
      <c r="AF104" s="87" t="s">
        <v>1650</v>
      </c>
      <c r="AG104" s="87" t="s">
        <v>1648</v>
      </c>
      <c r="AH104" s="87" t="s">
        <v>1648</v>
      </c>
      <c r="AI104" s="87" t="s">
        <v>1648</v>
      </c>
      <c r="AJ104" s="87" t="s">
        <v>1648</v>
      </c>
    </row>
    <row r="105" spans="1:36" ht="13.5" thickBot="1" x14ac:dyDescent="0.25">
      <c r="A105" s="48" t="s">
        <v>450</v>
      </c>
      <c r="B105" s="347" t="s">
        <v>449</v>
      </c>
      <c r="C105" s="48" t="s">
        <v>3059</v>
      </c>
      <c r="D105" s="48" t="s">
        <v>17</v>
      </c>
      <c r="E105" s="48" t="s">
        <v>1949</v>
      </c>
      <c r="F105" s="87" t="s">
        <v>1648</v>
      </c>
      <c r="G105" s="87" t="s">
        <v>1649</v>
      </c>
      <c r="H105" s="244">
        <v>0</v>
      </c>
      <c r="I105" s="87" t="s">
        <v>1649</v>
      </c>
      <c r="J105" s="244">
        <v>0</v>
      </c>
      <c r="K105" s="87" t="s">
        <v>1649</v>
      </c>
      <c r="L105" s="87" t="s">
        <v>1649</v>
      </c>
      <c r="M105" s="244">
        <v>0</v>
      </c>
      <c r="N105" s="87" t="s">
        <v>1649</v>
      </c>
      <c r="O105" s="87" t="s">
        <v>1649</v>
      </c>
      <c r="P105" s="87" t="s">
        <v>1649</v>
      </c>
      <c r="Q105" s="244">
        <v>0</v>
      </c>
      <c r="R105" s="244">
        <v>0</v>
      </c>
      <c r="S105" s="244">
        <v>0</v>
      </c>
      <c r="T105" s="244">
        <v>0</v>
      </c>
      <c r="U105" s="244">
        <v>0</v>
      </c>
      <c r="V105" s="244">
        <v>0</v>
      </c>
      <c r="W105" s="244">
        <v>0</v>
      </c>
      <c r="X105" s="244">
        <v>0</v>
      </c>
      <c r="Y105" s="244">
        <v>0</v>
      </c>
      <c r="Z105" s="244">
        <v>0</v>
      </c>
      <c r="AA105" s="87" t="s">
        <v>1648</v>
      </c>
      <c r="AB105" s="87" t="s">
        <v>1649</v>
      </c>
      <c r="AC105" s="244">
        <v>0</v>
      </c>
      <c r="AD105" s="87" t="s">
        <v>1649</v>
      </c>
      <c r="AE105" s="244">
        <v>200</v>
      </c>
      <c r="AF105" s="87" t="s">
        <v>1650</v>
      </c>
      <c r="AG105" s="87" t="s">
        <v>1648</v>
      </c>
      <c r="AH105" s="87" t="s">
        <v>1648</v>
      </c>
      <c r="AI105" s="87" t="s">
        <v>1649</v>
      </c>
      <c r="AJ105" s="87" t="s">
        <v>1649</v>
      </c>
    </row>
    <row r="106" spans="1:36" ht="13.5" thickBot="1" x14ac:dyDescent="0.25">
      <c r="A106" s="48" t="s">
        <v>456</v>
      </c>
      <c r="B106" s="347" t="s">
        <v>455</v>
      </c>
      <c r="C106" s="48" t="s">
        <v>3059</v>
      </c>
      <c r="D106" s="48" t="s">
        <v>17</v>
      </c>
      <c r="E106" s="48" t="s">
        <v>2066</v>
      </c>
      <c r="F106" s="87" t="s">
        <v>1648</v>
      </c>
      <c r="G106" s="87" t="s">
        <v>1649</v>
      </c>
      <c r="H106" s="244">
        <v>0</v>
      </c>
      <c r="I106" s="87" t="s">
        <v>1648</v>
      </c>
      <c r="J106" s="244">
        <v>592</v>
      </c>
      <c r="K106" s="87" t="s">
        <v>1649</v>
      </c>
      <c r="L106" s="87" t="s">
        <v>1648</v>
      </c>
      <c r="M106" s="244">
        <v>3234</v>
      </c>
      <c r="N106" s="87" t="s">
        <v>1649</v>
      </c>
      <c r="O106" s="87" t="s">
        <v>1649</v>
      </c>
      <c r="P106" s="87" t="s">
        <v>1649</v>
      </c>
      <c r="Q106" s="244">
        <v>0</v>
      </c>
      <c r="R106" s="244">
        <v>0</v>
      </c>
      <c r="S106" s="244">
        <v>0</v>
      </c>
      <c r="T106" s="244">
        <v>0</v>
      </c>
      <c r="U106" s="244">
        <v>0</v>
      </c>
      <c r="V106" s="244">
        <v>0</v>
      </c>
      <c r="W106" s="244">
        <v>0</v>
      </c>
      <c r="X106" s="244">
        <v>0</v>
      </c>
      <c r="Y106" s="244">
        <v>0</v>
      </c>
      <c r="Z106" s="244">
        <v>0</v>
      </c>
      <c r="AA106" s="87" t="s">
        <v>1648</v>
      </c>
      <c r="AB106" s="87" t="s">
        <v>1649</v>
      </c>
      <c r="AC106" s="244">
        <v>0</v>
      </c>
      <c r="AD106" s="87" t="s">
        <v>1648</v>
      </c>
      <c r="AE106" s="244">
        <v>221</v>
      </c>
      <c r="AF106" s="87" t="s">
        <v>1650</v>
      </c>
      <c r="AG106" s="87" t="s">
        <v>1648</v>
      </c>
      <c r="AH106" s="87" t="s">
        <v>1648</v>
      </c>
      <c r="AI106" s="87" t="s">
        <v>1649</v>
      </c>
      <c r="AJ106" s="87" t="s">
        <v>1649</v>
      </c>
    </row>
    <row r="107" spans="1:36" ht="13.5" thickBot="1" x14ac:dyDescent="0.25">
      <c r="A107" s="48" t="s">
        <v>462</v>
      </c>
      <c r="B107" s="347" t="s">
        <v>461</v>
      </c>
      <c r="C107" s="48" t="s">
        <v>3077</v>
      </c>
      <c r="D107" s="48" t="s">
        <v>17</v>
      </c>
      <c r="E107" s="48" t="s">
        <v>1949</v>
      </c>
      <c r="F107" s="87" t="s">
        <v>1648</v>
      </c>
      <c r="G107" s="87" t="s">
        <v>1648</v>
      </c>
      <c r="H107" s="244">
        <v>61</v>
      </c>
      <c r="I107" s="87" t="s">
        <v>1648</v>
      </c>
      <c r="J107" s="244">
        <v>671</v>
      </c>
      <c r="K107" s="87" t="s">
        <v>1649</v>
      </c>
      <c r="L107" s="87" t="s">
        <v>1649</v>
      </c>
      <c r="M107" s="244">
        <v>0</v>
      </c>
      <c r="N107" s="87" t="s">
        <v>1648</v>
      </c>
      <c r="O107" s="87" t="s">
        <v>1648</v>
      </c>
      <c r="P107" s="87" t="s">
        <v>1648</v>
      </c>
      <c r="Q107" s="244">
        <v>50</v>
      </c>
      <c r="R107" s="244">
        <v>550</v>
      </c>
      <c r="S107" s="244">
        <v>0</v>
      </c>
      <c r="T107" s="244">
        <v>0</v>
      </c>
      <c r="U107" s="244">
        <v>0</v>
      </c>
      <c r="V107" s="244">
        <v>0</v>
      </c>
      <c r="W107" s="244">
        <v>0</v>
      </c>
      <c r="X107" s="244">
        <v>0</v>
      </c>
      <c r="Y107" s="244">
        <v>50</v>
      </c>
      <c r="Z107" s="244">
        <v>7961</v>
      </c>
      <c r="AA107" s="87" t="s">
        <v>1648</v>
      </c>
      <c r="AB107" s="87" t="s">
        <v>1649</v>
      </c>
      <c r="AC107" s="244">
        <v>0</v>
      </c>
      <c r="AD107" s="87" t="s">
        <v>1649</v>
      </c>
      <c r="AE107" s="244">
        <v>1924</v>
      </c>
      <c r="AF107" s="87" t="s">
        <v>1650</v>
      </c>
      <c r="AG107" s="87" t="s">
        <v>1648</v>
      </c>
      <c r="AH107" s="87" t="s">
        <v>1648</v>
      </c>
      <c r="AI107" s="87" t="s">
        <v>1649</v>
      </c>
      <c r="AJ107" s="87" t="s">
        <v>1648</v>
      </c>
    </row>
    <row r="108" spans="1:36" ht="13.5" thickBot="1" x14ac:dyDescent="0.25">
      <c r="A108" s="48" t="s">
        <v>466</v>
      </c>
      <c r="B108" s="347" t="s">
        <v>465</v>
      </c>
      <c r="C108" s="48" t="s">
        <v>3059</v>
      </c>
      <c r="D108" s="48" t="s">
        <v>17</v>
      </c>
      <c r="E108" s="48" t="s">
        <v>1919</v>
      </c>
      <c r="F108" s="87" t="s">
        <v>1648</v>
      </c>
      <c r="G108" s="87" t="s">
        <v>1649</v>
      </c>
      <c r="H108" s="244">
        <v>0</v>
      </c>
      <c r="I108" s="87" t="s">
        <v>1649</v>
      </c>
      <c r="J108" s="244">
        <v>0</v>
      </c>
      <c r="K108" s="87" t="s">
        <v>1649</v>
      </c>
      <c r="L108" s="87" t="s">
        <v>1649</v>
      </c>
      <c r="M108" s="244">
        <v>0</v>
      </c>
      <c r="N108" s="87" t="s">
        <v>1649</v>
      </c>
      <c r="O108" s="87" t="s">
        <v>1649</v>
      </c>
      <c r="P108" s="87" t="s">
        <v>1649</v>
      </c>
      <c r="Q108" s="244">
        <v>0</v>
      </c>
      <c r="R108" s="244">
        <v>0</v>
      </c>
      <c r="S108" s="244">
        <v>0</v>
      </c>
      <c r="T108" s="244">
        <v>0</v>
      </c>
      <c r="U108" s="244">
        <v>0</v>
      </c>
      <c r="V108" s="244">
        <v>0</v>
      </c>
      <c r="W108" s="244">
        <v>0</v>
      </c>
      <c r="X108" s="244">
        <v>0</v>
      </c>
      <c r="Y108" s="244">
        <v>0</v>
      </c>
      <c r="Z108" s="244">
        <v>0</v>
      </c>
      <c r="AA108" s="87" t="s">
        <v>1649</v>
      </c>
      <c r="AB108" s="87" t="s">
        <v>1649</v>
      </c>
      <c r="AC108" s="244">
        <v>0</v>
      </c>
      <c r="AD108" s="87" t="s">
        <v>1648</v>
      </c>
      <c r="AE108" s="244">
        <v>1525</v>
      </c>
      <c r="AF108" s="87" t="s">
        <v>1650</v>
      </c>
      <c r="AG108" s="87" t="s">
        <v>1648</v>
      </c>
      <c r="AH108" s="87" t="s">
        <v>1648</v>
      </c>
      <c r="AI108" s="87" t="s">
        <v>1649</v>
      </c>
      <c r="AJ108" s="87" t="s">
        <v>1649</v>
      </c>
    </row>
    <row r="109" spans="1:36" ht="13.5" thickBot="1" x14ac:dyDescent="0.25">
      <c r="A109" s="48" t="s">
        <v>478</v>
      </c>
      <c r="B109" s="347" t="s">
        <v>477</v>
      </c>
      <c r="C109" s="48" t="s">
        <v>3072</v>
      </c>
      <c r="D109" s="48" t="s">
        <v>17</v>
      </c>
      <c r="E109" s="48" t="s">
        <v>1919</v>
      </c>
      <c r="F109" s="87" t="s">
        <v>1648</v>
      </c>
      <c r="G109" s="87" t="s">
        <v>1648</v>
      </c>
      <c r="H109" s="244">
        <v>20</v>
      </c>
      <c r="I109" s="87" t="s">
        <v>1649</v>
      </c>
      <c r="J109" s="244">
        <v>243</v>
      </c>
      <c r="K109" s="87" t="s">
        <v>1649</v>
      </c>
      <c r="L109" s="87" t="s">
        <v>1649</v>
      </c>
      <c r="M109" s="244">
        <v>0</v>
      </c>
      <c r="N109" s="87" t="s">
        <v>1649</v>
      </c>
      <c r="O109" s="87" t="s">
        <v>1649</v>
      </c>
      <c r="P109" s="87" t="s">
        <v>1649</v>
      </c>
      <c r="Q109" s="244">
        <v>0</v>
      </c>
      <c r="R109" s="244">
        <v>0</v>
      </c>
      <c r="S109" s="244">
        <v>0</v>
      </c>
      <c r="T109" s="244">
        <v>0</v>
      </c>
      <c r="U109" s="244">
        <v>0</v>
      </c>
      <c r="V109" s="244">
        <v>0</v>
      </c>
      <c r="W109" s="244">
        <v>0</v>
      </c>
      <c r="X109" s="244">
        <v>0</v>
      </c>
      <c r="Y109" s="244">
        <v>0</v>
      </c>
      <c r="Z109" s="244">
        <v>0</v>
      </c>
      <c r="AA109" s="87" t="s">
        <v>1648</v>
      </c>
      <c r="AB109" s="87" t="s">
        <v>1649</v>
      </c>
      <c r="AC109" s="244">
        <v>0</v>
      </c>
      <c r="AD109" s="87" t="s">
        <v>1648</v>
      </c>
      <c r="AE109" s="244">
        <v>2889</v>
      </c>
      <c r="AF109" s="87" t="s">
        <v>1650</v>
      </c>
      <c r="AG109" s="87" t="s">
        <v>1648</v>
      </c>
      <c r="AH109" s="87" t="s">
        <v>1648</v>
      </c>
      <c r="AI109" s="87" t="s">
        <v>1649</v>
      </c>
      <c r="AJ109" s="87" t="s">
        <v>1649</v>
      </c>
    </row>
    <row r="110" spans="1:36" ht="13.5" thickBot="1" x14ac:dyDescent="0.25">
      <c r="A110" s="48" t="s">
        <v>480</v>
      </c>
      <c r="B110" s="347" t="s">
        <v>479</v>
      </c>
      <c r="C110" s="48" t="s">
        <v>3058</v>
      </c>
      <c r="D110" s="48" t="s">
        <v>17</v>
      </c>
      <c r="E110" s="48" t="s">
        <v>1949</v>
      </c>
      <c r="F110" s="87" t="s">
        <v>1648</v>
      </c>
      <c r="G110" s="87" t="s">
        <v>1649</v>
      </c>
      <c r="H110" s="244">
        <v>0</v>
      </c>
      <c r="I110" s="87" t="s">
        <v>1649</v>
      </c>
      <c r="J110" s="244">
        <v>0</v>
      </c>
      <c r="K110" s="87" t="s">
        <v>1649</v>
      </c>
      <c r="L110" s="87" t="s">
        <v>1649</v>
      </c>
      <c r="M110" s="244">
        <v>0</v>
      </c>
      <c r="N110" s="87" t="s">
        <v>1648</v>
      </c>
      <c r="O110" s="87" t="s">
        <v>1649</v>
      </c>
      <c r="P110" s="87" t="s">
        <v>1649</v>
      </c>
      <c r="Q110" s="244">
        <v>0</v>
      </c>
      <c r="R110" s="244">
        <v>0</v>
      </c>
      <c r="S110" s="244">
        <v>0</v>
      </c>
      <c r="T110" s="244">
        <v>0</v>
      </c>
      <c r="U110" s="244">
        <v>0</v>
      </c>
      <c r="V110" s="244">
        <v>0</v>
      </c>
      <c r="W110" s="244">
        <v>0</v>
      </c>
      <c r="X110" s="244">
        <v>0</v>
      </c>
      <c r="Y110" s="244">
        <v>0</v>
      </c>
      <c r="Z110" s="244">
        <v>0</v>
      </c>
      <c r="AA110" s="87" t="s">
        <v>1648</v>
      </c>
      <c r="AB110" s="87" t="s">
        <v>1649</v>
      </c>
      <c r="AC110" s="87" t="s">
        <v>1660</v>
      </c>
      <c r="AD110" s="87" t="s">
        <v>1648</v>
      </c>
      <c r="AE110" s="244">
        <v>4005</v>
      </c>
      <c r="AF110" s="87" t="s">
        <v>1650</v>
      </c>
      <c r="AG110" s="87" t="s">
        <v>1648</v>
      </c>
      <c r="AH110" s="87" t="s">
        <v>1648</v>
      </c>
      <c r="AI110" s="87" t="s">
        <v>1649</v>
      </c>
      <c r="AJ110" s="87" t="s">
        <v>1649</v>
      </c>
    </row>
    <row r="111" spans="1:36" ht="13.5" thickBot="1" x14ac:dyDescent="0.25">
      <c r="A111" s="48" t="s">
        <v>488</v>
      </c>
      <c r="B111" s="347" t="s">
        <v>487</v>
      </c>
      <c r="C111" s="48" t="s">
        <v>3058</v>
      </c>
      <c r="D111" s="48" t="s">
        <v>17</v>
      </c>
      <c r="E111" s="48" t="s">
        <v>1949</v>
      </c>
      <c r="F111" s="87" t="s">
        <v>1648</v>
      </c>
      <c r="G111" s="87" t="s">
        <v>1648</v>
      </c>
      <c r="H111" s="244">
        <v>24</v>
      </c>
      <c r="I111" s="87" t="s">
        <v>1649</v>
      </c>
      <c r="J111" s="244">
        <v>0</v>
      </c>
      <c r="K111" s="87" t="s">
        <v>1649</v>
      </c>
      <c r="L111" s="87" t="s">
        <v>1648</v>
      </c>
      <c r="M111" s="244">
        <v>3800</v>
      </c>
      <c r="N111" s="87" t="s">
        <v>1649</v>
      </c>
      <c r="O111" s="87" t="s">
        <v>1649</v>
      </c>
      <c r="P111" s="87" t="s">
        <v>1649</v>
      </c>
      <c r="Q111" s="244">
        <v>0</v>
      </c>
      <c r="R111" s="244">
        <v>0</v>
      </c>
      <c r="S111" s="244">
        <v>0</v>
      </c>
      <c r="T111" s="244">
        <v>0</v>
      </c>
      <c r="U111" s="244">
        <v>0</v>
      </c>
      <c r="V111" s="244">
        <v>0</v>
      </c>
      <c r="W111" s="244">
        <v>0</v>
      </c>
      <c r="X111" s="244">
        <v>0</v>
      </c>
      <c r="Y111" s="244">
        <v>0</v>
      </c>
      <c r="Z111" s="244">
        <v>0</v>
      </c>
      <c r="AA111" s="87" t="s">
        <v>1648</v>
      </c>
      <c r="AB111" s="87" t="s">
        <v>1649</v>
      </c>
      <c r="AC111" s="244">
        <v>0</v>
      </c>
      <c r="AD111" s="87" t="s">
        <v>1648</v>
      </c>
      <c r="AE111" s="244">
        <v>1500</v>
      </c>
      <c r="AF111" s="87" t="s">
        <v>1650</v>
      </c>
      <c r="AG111" s="87" t="s">
        <v>1648</v>
      </c>
      <c r="AH111" s="87" t="s">
        <v>1648</v>
      </c>
      <c r="AI111" s="87" t="s">
        <v>1649</v>
      </c>
      <c r="AJ111" s="87" t="s">
        <v>1649</v>
      </c>
    </row>
    <row r="112" spans="1:36" ht="13.5" thickBot="1" x14ac:dyDescent="0.25">
      <c r="A112" s="48" t="s">
        <v>490</v>
      </c>
      <c r="B112" s="347" t="s">
        <v>489</v>
      </c>
      <c r="C112" s="48" t="s">
        <v>3059</v>
      </c>
      <c r="D112" s="48" t="s">
        <v>17</v>
      </c>
      <c r="E112" s="48" t="s">
        <v>2133</v>
      </c>
      <c r="F112" s="87" t="s">
        <v>1648</v>
      </c>
      <c r="G112" s="87" t="s">
        <v>1649</v>
      </c>
      <c r="H112" s="244">
        <v>0</v>
      </c>
      <c r="I112" s="87" t="s">
        <v>1648</v>
      </c>
      <c r="J112" s="244">
        <v>604</v>
      </c>
      <c r="K112" s="87" t="s">
        <v>1649</v>
      </c>
      <c r="L112" s="87" t="s">
        <v>1649</v>
      </c>
      <c r="M112" s="244">
        <v>0</v>
      </c>
      <c r="N112" s="87" t="s">
        <v>1649</v>
      </c>
      <c r="O112" s="87" t="s">
        <v>1648</v>
      </c>
      <c r="P112" s="87" t="s">
        <v>1649</v>
      </c>
      <c r="Q112" s="244">
        <v>0</v>
      </c>
      <c r="R112" s="244">
        <v>0</v>
      </c>
      <c r="S112" s="244">
        <v>0</v>
      </c>
      <c r="T112" s="244">
        <v>0</v>
      </c>
      <c r="U112" s="244">
        <v>0</v>
      </c>
      <c r="V112" s="244">
        <v>0</v>
      </c>
      <c r="W112" s="244">
        <v>0</v>
      </c>
      <c r="X112" s="244">
        <v>0</v>
      </c>
      <c r="Y112" s="244">
        <v>0</v>
      </c>
      <c r="Z112" s="244">
        <v>0</v>
      </c>
      <c r="AA112" s="87" t="s">
        <v>1649</v>
      </c>
      <c r="AB112" s="87" t="s">
        <v>1649</v>
      </c>
      <c r="AC112" s="244">
        <v>0</v>
      </c>
      <c r="AD112" s="87" t="s">
        <v>1649</v>
      </c>
      <c r="AE112" s="244">
        <v>315</v>
      </c>
      <c r="AF112" s="87" t="s">
        <v>1651</v>
      </c>
      <c r="AG112" s="87" t="s">
        <v>1649</v>
      </c>
      <c r="AH112" s="87" t="s">
        <v>1649</v>
      </c>
      <c r="AI112" s="87" t="s">
        <v>1649</v>
      </c>
      <c r="AJ112" s="87" t="s">
        <v>1649</v>
      </c>
    </row>
    <row r="113" spans="1:36" ht="13.5" thickBot="1" x14ac:dyDescent="0.25">
      <c r="A113" s="48" t="s">
        <v>494</v>
      </c>
      <c r="B113" s="347" t="s">
        <v>493</v>
      </c>
      <c r="C113" s="48" t="s">
        <v>3061</v>
      </c>
      <c r="D113" s="48" t="s">
        <v>17</v>
      </c>
      <c r="E113" s="48" t="s">
        <v>1919</v>
      </c>
      <c r="F113" s="87" t="s">
        <v>1648</v>
      </c>
      <c r="G113" s="87" t="s">
        <v>1648</v>
      </c>
      <c r="H113" s="244">
        <v>22</v>
      </c>
      <c r="I113" s="87" t="s">
        <v>1648</v>
      </c>
      <c r="J113" s="244">
        <v>22</v>
      </c>
      <c r="K113" s="87" t="s">
        <v>1649</v>
      </c>
      <c r="L113" s="87" t="s">
        <v>1649</v>
      </c>
      <c r="M113" s="244">
        <v>0</v>
      </c>
      <c r="N113" s="87" t="s">
        <v>1649</v>
      </c>
      <c r="O113" s="87" t="s">
        <v>1649</v>
      </c>
      <c r="P113" s="87" t="s">
        <v>1649</v>
      </c>
      <c r="Q113" s="244">
        <v>0</v>
      </c>
      <c r="R113" s="244">
        <v>0</v>
      </c>
      <c r="S113" s="244">
        <v>0</v>
      </c>
      <c r="T113" s="244">
        <v>0</v>
      </c>
      <c r="U113" s="244">
        <v>0</v>
      </c>
      <c r="V113" s="244">
        <v>0</v>
      </c>
      <c r="W113" s="244">
        <v>0</v>
      </c>
      <c r="X113" s="244">
        <v>0</v>
      </c>
      <c r="Y113" s="244">
        <v>0</v>
      </c>
      <c r="Z113" s="244">
        <v>0</v>
      </c>
      <c r="AA113" s="87" t="s">
        <v>1648</v>
      </c>
      <c r="AB113" s="87" t="s">
        <v>1649</v>
      </c>
      <c r="AC113" s="244">
        <v>0</v>
      </c>
      <c r="AD113" s="87" t="s">
        <v>1648</v>
      </c>
      <c r="AE113" s="244">
        <v>675</v>
      </c>
      <c r="AF113" s="87" t="s">
        <v>1651</v>
      </c>
      <c r="AG113" s="87" t="s">
        <v>1648</v>
      </c>
      <c r="AH113" s="87" t="s">
        <v>1649</v>
      </c>
      <c r="AI113" s="87" t="s">
        <v>1649</v>
      </c>
      <c r="AJ113" s="87" t="s">
        <v>1649</v>
      </c>
    </row>
    <row r="114" spans="1:36" ht="13.5" thickBot="1" x14ac:dyDescent="0.25">
      <c r="A114" s="48" t="s">
        <v>512</v>
      </c>
      <c r="B114" s="347" t="s">
        <v>511</v>
      </c>
      <c r="C114" s="48" t="s">
        <v>3058</v>
      </c>
      <c r="D114" s="48" t="s">
        <v>17</v>
      </c>
      <c r="E114" s="48" t="s">
        <v>1949</v>
      </c>
      <c r="F114" s="87" t="s">
        <v>1648</v>
      </c>
      <c r="G114" s="87" t="s">
        <v>1648</v>
      </c>
      <c r="H114" s="244">
        <v>345</v>
      </c>
      <c r="I114" s="87" t="s">
        <v>1648</v>
      </c>
      <c r="J114" s="244">
        <v>52</v>
      </c>
      <c r="K114" s="87" t="s">
        <v>1649</v>
      </c>
      <c r="L114" s="87" t="s">
        <v>1648</v>
      </c>
      <c r="M114" s="244">
        <v>7280</v>
      </c>
      <c r="N114" s="87" t="s">
        <v>1648</v>
      </c>
      <c r="O114" s="87" t="s">
        <v>1649</v>
      </c>
      <c r="P114" s="87" t="s">
        <v>1649</v>
      </c>
      <c r="Q114" s="244">
        <v>0</v>
      </c>
      <c r="R114" s="244">
        <v>0</v>
      </c>
      <c r="S114" s="244">
        <v>0</v>
      </c>
      <c r="T114" s="244">
        <v>0</v>
      </c>
      <c r="U114" s="244">
        <v>0</v>
      </c>
      <c r="V114" s="244">
        <v>0</v>
      </c>
      <c r="W114" s="244">
        <v>0</v>
      </c>
      <c r="X114" s="244">
        <v>0</v>
      </c>
      <c r="Y114" s="244">
        <v>0</v>
      </c>
      <c r="Z114" s="244">
        <v>0</v>
      </c>
      <c r="AA114" s="87" t="s">
        <v>1648</v>
      </c>
      <c r="AB114" s="87" t="s">
        <v>1649</v>
      </c>
      <c r="AC114" s="244">
        <v>0</v>
      </c>
      <c r="AD114" s="87" t="s">
        <v>1649</v>
      </c>
      <c r="AE114" s="244">
        <v>442</v>
      </c>
      <c r="AF114" s="87" t="s">
        <v>1651</v>
      </c>
      <c r="AG114" s="87" t="s">
        <v>1648</v>
      </c>
      <c r="AH114" s="87" t="s">
        <v>1648</v>
      </c>
      <c r="AI114" s="87" t="s">
        <v>1649</v>
      </c>
      <c r="AJ114" s="87" t="s">
        <v>1649</v>
      </c>
    </row>
    <row r="115" spans="1:36" ht="13.5" thickBot="1" x14ac:dyDescent="0.25">
      <c r="A115" s="48" t="s">
        <v>514</v>
      </c>
      <c r="B115" s="347" t="s">
        <v>513</v>
      </c>
      <c r="C115" s="48" t="s">
        <v>3059</v>
      </c>
      <c r="D115" s="48" t="s">
        <v>17</v>
      </c>
      <c r="E115" s="48" t="s">
        <v>1919</v>
      </c>
      <c r="F115" s="87" t="s">
        <v>1648</v>
      </c>
      <c r="G115" s="87" t="s">
        <v>1648</v>
      </c>
      <c r="H115" s="244">
        <v>171</v>
      </c>
      <c r="I115" s="87" t="s">
        <v>1649</v>
      </c>
      <c r="J115" s="244">
        <v>480</v>
      </c>
      <c r="K115" s="87" t="s">
        <v>1649</v>
      </c>
      <c r="L115" s="87" t="s">
        <v>1648</v>
      </c>
      <c r="M115" s="244">
        <v>20000</v>
      </c>
      <c r="N115" s="87" t="s">
        <v>1649</v>
      </c>
      <c r="O115" s="87" t="s">
        <v>1648</v>
      </c>
      <c r="P115" s="87" t="s">
        <v>1648</v>
      </c>
      <c r="Q115" s="244">
        <v>5</v>
      </c>
      <c r="R115" s="244">
        <v>95</v>
      </c>
      <c r="S115" s="244">
        <v>2</v>
      </c>
      <c r="T115" s="244">
        <v>18</v>
      </c>
      <c r="U115" s="244">
        <v>5</v>
      </c>
      <c r="V115" s="244">
        <v>148</v>
      </c>
      <c r="W115" s="244">
        <v>0</v>
      </c>
      <c r="X115" s="244">
        <v>0</v>
      </c>
      <c r="Y115" s="244">
        <v>3</v>
      </c>
      <c r="Z115" s="244">
        <v>56</v>
      </c>
      <c r="AA115" s="87" t="s">
        <v>1648</v>
      </c>
      <c r="AB115" s="87" t="s">
        <v>1648</v>
      </c>
      <c r="AC115" s="244">
        <v>9</v>
      </c>
      <c r="AD115" s="87" t="s">
        <v>1648</v>
      </c>
      <c r="AE115" s="244">
        <v>653</v>
      </c>
      <c r="AF115" s="87" t="s">
        <v>1651</v>
      </c>
      <c r="AG115" s="87" t="s">
        <v>1648</v>
      </c>
      <c r="AH115" s="87" t="s">
        <v>1649</v>
      </c>
      <c r="AI115" s="87" t="s">
        <v>1649</v>
      </c>
      <c r="AJ115" s="87" t="s">
        <v>1648</v>
      </c>
    </row>
    <row r="116" spans="1:36" ht="13.5" thickBot="1" x14ac:dyDescent="0.25">
      <c r="A116" s="48" t="s">
        <v>526</v>
      </c>
      <c r="B116" s="347" t="s">
        <v>525</v>
      </c>
      <c r="C116" s="48" t="s">
        <v>3072</v>
      </c>
      <c r="D116" s="48" t="s">
        <v>17</v>
      </c>
      <c r="E116" s="48" t="s">
        <v>1919</v>
      </c>
      <c r="F116" s="87" t="s">
        <v>1648</v>
      </c>
      <c r="G116" s="87" t="s">
        <v>1648</v>
      </c>
      <c r="H116" s="244">
        <v>640</v>
      </c>
      <c r="I116" s="87" t="s">
        <v>1648</v>
      </c>
      <c r="J116" s="244">
        <v>25</v>
      </c>
      <c r="K116" s="87" t="s">
        <v>1649</v>
      </c>
      <c r="L116" s="87" t="s">
        <v>1648</v>
      </c>
      <c r="M116" s="244">
        <v>40000</v>
      </c>
      <c r="N116" s="87" t="s">
        <v>1648</v>
      </c>
      <c r="O116" s="87" t="s">
        <v>1648</v>
      </c>
      <c r="P116" s="87" t="s">
        <v>1648</v>
      </c>
      <c r="Q116" s="244">
        <v>2</v>
      </c>
      <c r="R116" s="244">
        <v>85</v>
      </c>
      <c r="S116" s="244">
        <v>4</v>
      </c>
      <c r="T116" s="244">
        <v>40</v>
      </c>
      <c r="U116" s="244">
        <v>154</v>
      </c>
      <c r="V116" s="244">
        <v>1696</v>
      </c>
      <c r="W116" s="244">
        <v>1</v>
      </c>
      <c r="X116" s="244">
        <v>25</v>
      </c>
      <c r="Y116" s="244">
        <v>31</v>
      </c>
      <c r="Z116" s="244">
        <v>1696</v>
      </c>
      <c r="AA116" s="87" t="s">
        <v>1648</v>
      </c>
      <c r="AB116" s="87" t="s">
        <v>1649</v>
      </c>
      <c r="AC116" s="244">
        <v>0</v>
      </c>
      <c r="AD116" s="87" t="s">
        <v>1648</v>
      </c>
      <c r="AE116" s="244">
        <v>3500</v>
      </c>
      <c r="AF116" s="87" t="s">
        <v>1650</v>
      </c>
      <c r="AG116" s="87" t="s">
        <v>1648</v>
      </c>
      <c r="AH116" s="87" t="s">
        <v>1648</v>
      </c>
      <c r="AI116" s="87" t="s">
        <v>1649</v>
      </c>
      <c r="AJ116" s="87" t="s">
        <v>1648</v>
      </c>
    </row>
    <row r="117" spans="1:36" ht="13.5" thickBot="1" x14ac:dyDescent="0.25">
      <c r="A117" s="48" t="s">
        <v>528</v>
      </c>
      <c r="B117" s="347" t="s">
        <v>527</v>
      </c>
      <c r="C117" s="48" t="s">
        <v>3074</v>
      </c>
      <c r="D117" s="48" t="s">
        <v>17</v>
      </c>
      <c r="E117" s="48" t="s">
        <v>1949</v>
      </c>
      <c r="F117" s="87" t="s">
        <v>1648</v>
      </c>
      <c r="G117" s="87" t="s">
        <v>1648</v>
      </c>
      <c r="H117" s="244">
        <v>1241</v>
      </c>
      <c r="I117" s="87" t="s">
        <v>1649</v>
      </c>
      <c r="J117" s="244">
        <v>0</v>
      </c>
      <c r="K117" s="87" t="s">
        <v>1649</v>
      </c>
      <c r="L117" s="87" t="s">
        <v>1649</v>
      </c>
      <c r="M117" s="244">
        <v>0</v>
      </c>
      <c r="N117" s="87" t="s">
        <v>1649</v>
      </c>
      <c r="O117" s="87" t="s">
        <v>1648</v>
      </c>
      <c r="P117" s="87" t="s">
        <v>1648</v>
      </c>
      <c r="Q117" s="244">
        <v>4</v>
      </c>
      <c r="R117" s="244">
        <v>25</v>
      </c>
      <c r="S117" s="244">
        <v>4</v>
      </c>
      <c r="T117" s="244">
        <v>6</v>
      </c>
      <c r="U117" s="244">
        <v>2</v>
      </c>
      <c r="V117" s="244">
        <v>42</v>
      </c>
      <c r="W117" s="244">
        <v>2</v>
      </c>
      <c r="X117" s="244">
        <v>42</v>
      </c>
      <c r="Y117" s="244">
        <v>149</v>
      </c>
      <c r="Z117" s="244">
        <v>7054</v>
      </c>
      <c r="AA117" s="87" t="s">
        <v>1648</v>
      </c>
      <c r="AB117" s="87" t="s">
        <v>1648</v>
      </c>
      <c r="AC117" s="244">
        <v>14</v>
      </c>
      <c r="AD117" s="87" t="s">
        <v>1648</v>
      </c>
      <c r="AE117" s="244">
        <v>8183</v>
      </c>
      <c r="AF117" s="87" t="s">
        <v>1650</v>
      </c>
      <c r="AG117" s="87" t="s">
        <v>1648</v>
      </c>
      <c r="AH117" s="87" t="s">
        <v>1648</v>
      </c>
      <c r="AI117" s="87" t="s">
        <v>1649</v>
      </c>
      <c r="AJ117" s="87" t="s">
        <v>1649</v>
      </c>
    </row>
    <row r="118" spans="1:36" ht="13.5" thickBot="1" x14ac:dyDescent="0.25">
      <c r="A118" s="48" t="s">
        <v>532</v>
      </c>
      <c r="B118" s="347" t="s">
        <v>531</v>
      </c>
      <c r="C118" s="48" t="s">
        <v>3061</v>
      </c>
      <c r="D118" s="48" t="s">
        <v>17</v>
      </c>
      <c r="E118" s="48" t="s">
        <v>1949</v>
      </c>
      <c r="F118" s="87" t="s">
        <v>1648</v>
      </c>
      <c r="G118" s="87" t="s">
        <v>1648</v>
      </c>
      <c r="H118" s="244">
        <v>0</v>
      </c>
      <c r="I118" s="87" t="s">
        <v>1649</v>
      </c>
      <c r="J118" s="244">
        <v>3</v>
      </c>
      <c r="K118" s="87" t="s">
        <v>1649</v>
      </c>
      <c r="L118" s="87" t="s">
        <v>1649</v>
      </c>
      <c r="M118" s="244">
        <v>0</v>
      </c>
      <c r="N118" s="87" t="s">
        <v>1648</v>
      </c>
      <c r="O118" s="87" t="s">
        <v>1649</v>
      </c>
      <c r="P118" s="87" t="s">
        <v>1649</v>
      </c>
      <c r="Q118" s="244">
        <v>0</v>
      </c>
      <c r="R118" s="244">
        <v>0</v>
      </c>
      <c r="S118" s="244">
        <v>0</v>
      </c>
      <c r="T118" s="244">
        <v>0</v>
      </c>
      <c r="U118" s="244">
        <v>0</v>
      </c>
      <c r="V118" s="244">
        <v>0</v>
      </c>
      <c r="W118" s="244">
        <v>0</v>
      </c>
      <c r="X118" s="244">
        <v>0</v>
      </c>
      <c r="Y118" s="244">
        <v>0</v>
      </c>
      <c r="Z118" s="244">
        <v>0</v>
      </c>
      <c r="AA118" s="87" t="s">
        <v>1648</v>
      </c>
      <c r="AB118" s="87" t="s">
        <v>1649</v>
      </c>
      <c r="AC118" s="244">
        <v>0</v>
      </c>
      <c r="AD118" s="87" t="s">
        <v>1648</v>
      </c>
      <c r="AE118" s="244">
        <v>539</v>
      </c>
      <c r="AF118" s="87" t="s">
        <v>1651</v>
      </c>
      <c r="AG118" s="87" t="s">
        <v>1649</v>
      </c>
      <c r="AH118" s="87" t="s">
        <v>1648</v>
      </c>
      <c r="AI118" s="87" t="s">
        <v>1649</v>
      </c>
      <c r="AJ118" s="87" t="s">
        <v>1649</v>
      </c>
    </row>
    <row r="119" spans="1:36" ht="13.5" thickBot="1" x14ac:dyDescent="0.25">
      <c r="A119" s="48" t="s">
        <v>540</v>
      </c>
      <c r="B119" s="347" t="s">
        <v>539</v>
      </c>
      <c r="C119" s="48" t="s">
        <v>3061</v>
      </c>
      <c r="D119" s="48" t="s">
        <v>17</v>
      </c>
      <c r="E119" s="48" t="s">
        <v>1919</v>
      </c>
      <c r="F119" s="87" t="s">
        <v>1648</v>
      </c>
      <c r="G119" s="87" t="s">
        <v>1648</v>
      </c>
      <c r="H119" s="244">
        <v>517</v>
      </c>
      <c r="I119" s="87" t="s">
        <v>1649</v>
      </c>
      <c r="J119" s="244">
        <v>0</v>
      </c>
      <c r="K119" s="87" t="s">
        <v>1649</v>
      </c>
      <c r="L119" s="87" t="s">
        <v>1649</v>
      </c>
      <c r="M119" s="244">
        <v>0</v>
      </c>
      <c r="N119" s="87" t="s">
        <v>1649</v>
      </c>
      <c r="O119" s="87" t="s">
        <v>1648</v>
      </c>
      <c r="P119" s="87" t="s">
        <v>1648</v>
      </c>
      <c r="Q119" s="244">
        <v>0</v>
      </c>
      <c r="R119" s="244">
        <v>0</v>
      </c>
      <c r="S119" s="244">
        <v>0</v>
      </c>
      <c r="T119" s="244">
        <v>0</v>
      </c>
      <c r="U119" s="244">
        <v>1</v>
      </c>
      <c r="V119" s="244">
        <v>0</v>
      </c>
      <c r="W119" s="244">
        <v>0</v>
      </c>
      <c r="X119" s="244">
        <v>0</v>
      </c>
      <c r="Y119" s="244">
        <v>17</v>
      </c>
      <c r="Z119" s="244">
        <v>2769</v>
      </c>
      <c r="AA119" s="87" t="s">
        <v>1648</v>
      </c>
      <c r="AB119" s="87" t="s">
        <v>1649</v>
      </c>
      <c r="AC119" s="244">
        <v>0</v>
      </c>
      <c r="AD119" s="87" t="s">
        <v>1648</v>
      </c>
      <c r="AE119" s="244">
        <v>3120</v>
      </c>
      <c r="AF119" s="87" t="s">
        <v>1650</v>
      </c>
      <c r="AG119" s="87" t="s">
        <v>1648</v>
      </c>
      <c r="AH119" s="87" t="s">
        <v>1648</v>
      </c>
      <c r="AI119" s="87" t="s">
        <v>1649</v>
      </c>
      <c r="AJ119" s="87" t="s">
        <v>1649</v>
      </c>
    </row>
    <row r="120" spans="1:36" ht="13.5" thickBot="1" x14ac:dyDescent="0.25">
      <c r="A120" s="48" t="s">
        <v>560</v>
      </c>
      <c r="B120" s="347" t="s">
        <v>559</v>
      </c>
      <c r="C120" s="48" t="s">
        <v>3058</v>
      </c>
      <c r="D120" s="48" t="s">
        <v>17</v>
      </c>
      <c r="E120" s="48" t="s">
        <v>1949</v>
      </c>
      <c r="F120" s="87" t="s">
        <v>1648</v>
      </c>
      <c r="G120" s="87" t="s">
        <v>1648</v>
      </c>
      <c r="H120" s="244">
        <v>70</v>
      </c>
      <c r="I120" s="87" t="s">
        <v>1649</v>
      </c>
      <c r="J120" s="244">
        <v>0</v>
      </c>
      <c r="K120" s="87" t="s">
        <v>1649</v>
      </c>
      <c r="L120" s="87" t="s">
        <v>1649</v>
      </c>
      <c r="M120" s="244">
        <v>0</v>
      </c>
      <c r="N120" s="87" t="s">
        <v>1649</v>
      </c>
      <c r="O120" s="87" t="s">
        <v>1649</v>
      </c>
      <c r="P120" s="87" t="s">
        <v>1649</v>
      </c>
      <c r="Q120" s="244">
        <v>0</v>
      </c>
      <c r="R120" s="244">
        <v>0</v>
      </c>
      <c r="S120" s="244">
        <v>0</v>
      </c>
      <c r="T120" s="244">
        <v>0</v>
      </c>
      <c r="U120" s="244">
        <v>0</v>
      </c>
      <c r="V120" s="244">
        <v>0</v>
      </c>
      <c r="W120" s="244">
        <v>0</v>
      </c>
      <c r="X120" s="244">
        <v>0</v>
      </c>
      <c r="Y120" s="244">
        <v>0</v>
      </c>
      <c r="Z120" s="244">
        <v>0</v>
      </c>
      <c r="AA120" s="87" t="s">
        <v>1648</v>
      </c>
      <c r="AB120" s="87" t="s">
        <v>1649</v>
      </c>
      <c r="AC120" s="244">
        <v>0</v>
      </c>
      <c r="AD120" s="87" t="s">
        <v>1648</v>
      </c>
      <c r="AE120" s="244">
        <v>2281</v>
      </c>
      <c r="AF120" s="87" t="s">
        <v>1650</v>
      </c>
      <c r="AG120" s="87" t="s">
        <v>1648</v>
      </c>
      <c r="AH120" s="87" t="s">
        <v>1648</v>
      </c>
      <c r="AI120" s="87" t="s">
        <v>1649</v>
      </c>
      <c r="AJ120" s="87" t="s">
        <v>1649</v>
      </c>
    </row>
    <row r="121" spans="1:36" ht="13.5" thickBot="1" x14ac:dyDescent="0.25">
      <c r="A121" s="48" t="s">
        <v>566</v>
      </c>
      <c r="B121" s="347" t="s">
        <v>565</v>
      </c>
      <c r="C121" s="48" t="s">
        <v>3059</v>
      </c>
      <c r="D121" s="48" t="s">
        <v>17</v>
      </c>
      <c r="E121" s="48" t="s">
        <v>1919</v>
      </c>
      <c r="F121" s="87" t="s">
        <v>1648</v>
      </c>
      <c r="G121" s="87" t="s">
        <v>1648</v>
      </c>
      <c r="H121" s="244">
        <v>420</v>
      </c>
      <c r="I121" s="87" t="s">
        <v>1649</v>
      </c>
      <c r="J121" s="244">
        <v>0</v>
      </c>
      <c r="K121" s="87" t="s">
        <v>1649</v>
      </c>
      <c r="L121" s="87" t="s">
        <v>1649</v>
      </c>
      <c r="M121" s="244">
        <v>0</v>
      </c>
      <c r="N121" s="87" t="s">
        <v>1649</v>
      </c>
      <c r="O121" s="87" t="s">
        <v>1648</v>
      </c>
      <c r="P121" s="87" t="s">
        <v>1649</v>
      </c>
      <c r="Q121" s="244">
        <v>2</v>
      </c>
      <c r="R121" s="244">
        <v>225</v>
      </c>
      <c r="S121" s="244">
        <v>1</v>
      </c>
      <c r="T121" s="244">
        <v>175</v>
      </c>
      <c r="U121" s="244">
        <v>0</v>
      </c>
      <c r="V121" s="244">
        <v>0</v>
      </c>
      <c r="W121" s="244">
        <v>0</v>
      </c>
      <c r="X121" s="244">
        <v>0</v>
      </c>
      <c r="Y121" s="244">
        <v>0</v>
      </c>
      <c r="Z121" s="244">
        <v>0</v>
      </c>
      <c r="AA121" s="87" t="s">
        <v>1648</v>
      </c>
      <c r="AB121" s="87" t="s">
        <v>1649</v>
      </c>
      <c r="AC121" s="244">
        <v>0</v>
      </c>
      <c r="AD121" s="87" t="s">
        <v>1648</v>
      </c>
      <c r="AE121" s="244">
        <v>6325</v>
      </c>
      <c r="AF121" s="87" t="s">
        <v>1650</v>
      </c>
      <c r="AG121" s="87" t="s">
        <v>1648</v>
      </c>
      <c r="AH121" s="87" t="s">
        <v>1648</v>
      </c>
      <c r="AI121" s="87" t="s">
        <v>1649</v>
      </c>
      <c r="AJ121" s="87" t="s">
        <v>1649</v>
      </c>
    </row>
    <row r="122" spans="1:36" ht="13.5" thickBot="1" x14ac:dyDescent="0.25">
      <c r="A122" s="48" t="s">
        <v>572</v>
      </c>
      <c r="B122" s="347" t="s">
        <v>571</v>
      </c>
      <c r="C122" s="48" t="s">
        <v>3077</v>
      </c>
      <c r="D122" s="48" t="s">
        <v>17</v>
      </c>
      <c r="E122" s="48" t="s">
        <v>1919</v>
      </c>
      <c r="F122" s="87" t="s">
        <v>1648</v>
      </c>
      <c r="G122" s="87" t="s">
        <v>1648</v>
      </c>
      <c r="H122" s="244">
        <v>68</v>
      </c>
      <c r="I122" s="87" t="s">
        <v>1648</v>
      </c>
      <c r="J122" s="244">
        <v>1188</v>
      </c>
      <c r="K122" s="87" t="s">
        <v>1649</v>
      </c>
      <c r="L122" s="87" t="s">
        <v>1649</v>
      </c>
      <c r="M122" s="244">
        <v>0</v>
      </c>
      <c r="N122" s="87" t="s">
        <v>1649</v>
      </c>
      <c r="O122" s="87" t="s">
        <v>1648</v>
      </c>
      <c r="P122" s="87" t="s">
        <v>1648</v>
      </c>
      <c r="Q122" s="244">
        <v>6</v>
      </c>
      <c r="R122" s="244">
        <v>67</v>
      </c>
      <c r="S122" s="244">
        <v>1</v>
      </c>
      <c r="T122" s="244">
        <v>8</v>
      </c>
      <c r="U122" s="244">
        <v>4</v>
      </c>
      <c r="V122" s="244">
        <v>61</v>
      </c>
      <c r="W122" s="244">
        <v>0</v>
      </c>
      <c r="X122" s="244">
        <v>0</v>
      </c>
      <c r="Y122" s="244">
        <v>0</v>
      </c>
      <c r="Z122" s="244">
        <v>0</v>
      </c>
      <c r="AA122" s="87" t="s">
        <v>1648</v>
      </c>
      <c r="AB122" s="87" t="s">
        <v>1649</v>
      </c>
      <c r="AC122" s="244">
        <v>0</v>
      </c>
      <c r="AD122" s="87" t="s">
        <v>1648</v>
      </c>
      <c r="AE122" s="244">
        <v>2267</v>
      </c>
      <c r="AF122" s="87" t="s">
        <v>1651</v>
      </c>
      <c r="AG122" s="87" t="s">
        <v>1648</v>
      </c>
      <c r="AH122" s="87" t="s">
        <v>1648</v>
      </c>
      <c r="AI122" s="87" t="s">
        <v>1648</v>
      </c>
      <c r="AJ122" s="87" t="s">
        <v>1648</v>
      </c>
    </row>
    <row r="123" spans="1:36" ht="13.5" thickBot="1" x14ac:dyDescent="0.25">
      <c r="A123" s="48" t="s">
        <v>582</v>
      </c>
      <c r="B123" s="347" t="s">
        <v>581</v>
      </c>
      <c r="C123" s="48" t="s">
        <v>3058</v>
      </c>
      <c r="D123" s="48" t="s">
        <v>17</v>
      </c>
      <c r="E123" s="48" t="s">
        <v>1949</v>
      </c>
      <c r="F123" s="87" t="s">
        <v>1648</v>
      </c>
      <c r="G123" s="87" t="s">
        <v>1648</v>
      </c>
      <c r="H123" s="244">
        <v>214</v>
      </c>
      <c r="I123" s="87" t="s">
        <v>1648</v>
      </c>
      <c r="J123" s="244">
        <v>425</v>
      </c>
      <c r="K123" s="87" t="s">
        <v>1649</v>
      </c>
      <c r="L123" s="87" t="s">
        <v>1649</v>
      </c>
      <c r="M123" s="244">
        <v>0</v>
      </c>
      <c r="N123" s="87" t="s">
        <v>1649</v>
      </c>
      <c r="O123" s="87" t="s">
        <v>1649</v>
      </c>
      <c r="P123" s="87" t="s">
        <v>1649</v>
      </c>
      <c r="Q123" s="244">
        <v>0</v>
      </c>
      <c r="R123" s="244">
        <v>0</v>
      </c>
      <c r="S123" s="244">
        <v>0</v>
      </c>
      <c r="T123" s="244">
        <v>0</v>
      </c>
      <c r="U123" s="244">
        <v>0</v>
      </c>
      <c r="V123" s="244">
        <v>0</v>
      </c>
      <c r="W123" s="244">
        <v>0</v>
      </c>
      <c r="X123" s="244">
        <v>0</v>
      </c>
      <c r="Y123" s="244">
        <v>0</v>
      </c>
      <c r="Z123" s="244">
        <v>0</v>
      </c>
      <c r="AA123" s="87" t="s">
        <v>1649</v>
      </c>
      <c r="AB123" s="87" t="s">
        <v>1649</v>
      </c>
      <c r="AC123" s="244">
        <v>0</v>
      </c>
      <c r="AD123" s="87" t="s">
        <v>1648</v>
      </c>
      <c r="AE123" s="244">
        <v>2380</v>
      </c>
      <c r="AF123" s="87" t="s">
        <v>1650</v>
      </c>
      <c r="AG123" s="87" t="s">
        <v>1648</v>
      </c>
      <c r="AH123" s="87" t="s">
        <v>1648</v>
      </c>
      <c r="AI123" s="87" t="s">
        <v>1648</v>
      </c>
      <c r="AJ123" s="87" t="s">
        <v>1648</v>
      </c>
    </row>
    <row r="124" spans="1:36" ht="13.5" thickBot="1" x14ac:dyDescent="0.25">
      <c r="A124" s="48" t="s">
        <v>586</v>
      </c>
      <c r="B124" s="347" t="s">
        <v>585</v>
      </c>
      <c r="C124" s="48" t="s">
        <v>3061</v>
      </c>
      <c r="D124" s="48" t="s">
        <v>17</v>
      </c>
      <c r="E124" s="48" t="s">
        <v>1919</v>
      </c>
      <c r="F124" s="87" t="s">
        <v>1648</v>
      </c>
      <c r="G124" s="87" t="s">
        <v>1648</v>
      </c>
      <c r="H124" s="244">
        <v>10</v>
      </c>
      <c r="I124" s="87" t="s">
        <v>1648</v>
      </c>
      <c r="J124" s="244">
        <v>448</v>
      </c>
      <c r="K124" s="87" t="s">
        <v>1649</v>
      </c>
      <c r="L124" s="87" t="s">
        <v>1649</v>
      </c>
      <c r="M124" s="244">
        <v>0</v>
      </c>
      <c r="N124" s="87" t="s">
        <v>1649</v>
      </c>
      <c r="O124" s="87" t="s">
        <v>1649</v>
      </c>
      <c r="P124" s="87" t="s">
        <v>1649</v>
      </c>
      <c r="Q124" s="244">
        <v>0</v>
      </c>
      <c r="R124" s="244">
        <v>0</v>
      </c>
      <c r="S124" s="244">
        <v>0</v>
      </c>
      <c r="T124" s="244">
        <v>0</v>
      </c>
      <c r="U124" s="244">
        <v>0</v>
      </c>
      <c r="V124" s="244">
        <v>0</v>
      </c>
      <c r="W124" s="244">
        <v>0</v>
      </c>
      <c r="X124" s="244">
        <v>0</v>
      </c>
      <c r="Y124" s="244">
        <v>0</v>
      </c>
      <c r="Z124" s="244">
        <v>0</v>
      </c>
      <c r="AA124" s="87" t="s">
        <v>1648</v>
      </c>
      <c r="AB124" s="87" t="s">
        <v>1649</v>
      </c>
      <c r="AC124" s="244">
        <v>0</v>
      </c>
      <c r="AD124" s="87" t="s">
        <v>1648</v>
      </c>
      <c r="AE124" s="244">
        <v>829</v>
      </c>
      <c r="AF124" s="87" t="s">
        <v>1650</v>
      </c>
      <c r="AG124" s="87" t="s">
        <v>1648</v>
      </c>
      <c r="AH124" s="87" t="s">
        <v>1649</v>
      </c>
      <c r="AI124" s="87" t="s">
        <v>1649</v>
      </c>
      <c r="AJ124" s="87" t="s">
        <v>1649</v>
      </c>
    </row>
    <row r="125" spans="1:36" ht="13.5" thickBot="1" x14ac:dyDescent="0.25">
      <c r="A125" s="48" t="s">
        <v>592</v>
      </c>
      <c r="B125" s="347" t="s">
        <v>591</v>
      </c>
      <c r="C125" s="48" t="s">
        <v>3058</v>
      </c>
      <c r="D125" s="48" t="s">
        <v>17</v>
      </c>
      <c r="E125" s="48" t="s">
        <v>1919</v>
      </c>
      <c r="F125" s="87" t="s">
        <v>1648</v>
      </c>
      <c r="G125" s="87" t="s">
        <v>1648</v>
      </c>
      <c r="H125" s="244">
        <v>24</v>
      </c>
      <c r="I125" s="87" t="s">
        <v>1648</v>
      </c>
      <c r="J125" s="244">
        <v>228</v>
      </c>
      <c r="K125" s="87" t="s">
        <v>1649</v>
      </c>
      <c r="L125" s="87" t="s">
        <v>1649</v>
      </c>
      <c r="M125" s="244">
        <v>0</v>
      </c>
      <c r="N125" s="87" t="s">
        <v>1648</v>
      </c>
      <c r="O125" s="87" t="s">
        <v>1649</v>
      </c>
      <c r="P125" s="87" t="s">
        <v>1649</v>
      </c>
      <c r="Q125" s="244">
        <v>1</v>
      </c>
      <c r="R125" s="244">
        <v>12</v>
      </c>
      <c r="S125" s="244">
        <v>0</v>
      </c>
      <c r="T125" s="244">
        <v>0</v>
      </c>
      <c r="U125" s="244">
        <v>0</v>
      </c>
      <c r="V125" s="244">
        <v>0</v>
      </c>
      <c r="W125" s="244">
        <v>0</v>
      </c>
      <c r="X125" s="244">
        <v>0</v>
      </c>
      <c r="Y125" s="244">
        <v>0</v>
      </c>
      <c r="Z125" s="244">
        <v>0</v>
      </c>
      <c r="AA125" s="87" t="s">
        <v>1648</v>
      </c>
      <c r="AB125" s="87" t="s">
        <v>1648</v>
      </c>
      <c r="AC125" s="244">
        <v>1</v>
      </c>
      <c r="AD125" s="87" t="s">
        <v>1648</v>
      </c>
      <c r="AE125" s="244">
        <v>40</v>
      </c>
      <c r="AF125" s="87" t="s">
        <v>1650</v>
      </c>
      <c r="AG125" s="87" t="s">
        <v>1648</v>
      </c>
      <c r="AH125" s="87" t="s">
        <v>1648</v>
      </c>
      <c r="AI125" s="87" t="s">
        <v>1648</v>
      </c>
      <c r="AJ125" s="87" t="s">
        <v>1648</v>
      </c>
    </row>
    <row r="126" spans="1:36" ht="13.5" thickBot="1" x14ac:dyDescent="0.25">
      <c r="A126" s="48" t="s">
        <v>600</v>
      </c>
      <c r="B126" s="347" t="s">
        <v>599</v>
      </c>
      <c r="C126" s="48" t="s">
        <v>3061</v>
      </c>
      <c r="D126" s="48" t="s">
        <v>17</v>
      </c>
      <c r="E126" s="48" t="s">
        <v>1949</v>
      </c>
      <c r="F126" s="87" t="s">
        <v>1648</v>
      </c>
      <c r="G126" s="87" t="s">
        <v>1649</v>
      </c>
      <c r="H126" s="244">
        <v>48</v>
      </c>
      <c r="I126" s="87" t="s">
        <v>1648</v>
      </c>
      <c r="J126" s="244">
        <v>363</v>
      </c>
      <c r="K126" s="87" t="s">
        <v>1649</v>
      </c>
      <c r="L126" s="87" t="s">
        <v>1649</v>
      </c>
      <c r="M126" s="244">
        <v>0</v>
      </c>
      <c r="N126" s="87" t="s">
        <v>1648</v>
      </c>
      <c r="O126" s="87" t="s">
        <v>1648</v>
      </c>
      <c r="P126" s="87" t="s">
        <v>1649</v>
      </c>
      <c r="Q126" s="244">
        <v>0</v>
      </c>
      <c r="R126" s="244">
        <v>0</v>
      </c>
      <c r="S126" s="244">
        <v>0</v>
      </c>
      <c r="T126" s="244">
        <v>0</v>
      </c>
      <c r="U126" s="244">
        <v>0</v>
      </c>
      <c r="V126" s="244">
        <v>0</v>
      </c>
      <c r="W126" s="244">
        <v>1</v>
      </c>
      <c r="X126" s="244">
        <v>1</v>
      </c>
      <c r="Y126" s="244">
        <v>0</v>
      </c>
      <c r="Z126" s="244">
        <v>0</v>
      </c>
      <c r="AA126" s="87" t="s">
        <v>1648</v>
      </c>
      <c r="AB126" s="87" t="s">
        <v>1649</v>
      </c>
      <c r="AC126" s="244">
        <v>0</v>
      </c>
      <c r="AD126" s="87" t="s">
        <v>1648</v>
      </c>
      <c r="AE126" s="244">
        <v>978</v>
      </c>
      <c r="AF126" s="87" t="s">
        <v>1650</v>
      </c>
      <c r="AG126" s="87" t="s">
        <v>1648</v>
      </c>
      <c r="AH126" s="87" t="s">
        <v>1648</v>
      </c>
      <c r="AI126" s="87" t="s">
        <v>1649</v>
      </c>
      <c r="AJ126" s="87" t="s">
        <v>1649</v>
      </c>
    </row>
    <row r="127" spans="1:36" ht="13.5" thickBot="1" x14ac:dyDescent="0.25">
      <c r="A127" s="48" t="s">
        <v>606</v>
      </c>
      <c r="B127" s="347" t="s">
        <v>605</v>
      </c>
      <c r="C127" s="48" t="s">
        <v>3061</v>
      </c>
      <c r="D127" s="48" t="s">
        <v>17</v>
      </c>
      <c r="E127" s="48" t="s">
        <v>1949</v>
      </c>
      <c r="F127" s="87" t="s">
        <v>1648</v>
      </c>
      <c r="G127" s="87" t="s">
        <v>1648</v>
      </c>
      <c r="H127" s="244">
        <v>82</v>
      </c>
      <c r="I127" s="87" t="s">
        <v>1649</v>
      </c>
      <c r="J127" s="244">
        <v>0</v>
      </c>
      <c r="K127" s="87" t="s">
        <v>1649</v>
      </c>
      <c r="L127" s="87" t="s">
        <v>1649</v>
      </c>
      <c r="M127" s="244">
        <v>0</v>
      </c>
      <c r="N127" s="87" t="s">
        <v>1648</v>
      </c>
      <c r="O127" s="87" t="s">
        <v>1648</v>
      </c>
      <c r="P127" s="87" t="s">
        <v>1649</v>
      </c>
      <c r="Q127" s="244">
        <v>13</v>
      </c>
      <c r="R127" s="244">
        <v>4</v>
      </c>
      <c r="S127" s="244">
        <v>1</v>
      </c>
      <c r="T127" s="244">
        <v>0</v>
      </c>
      <c r="U127" s="244">
        <v>1</v>
      </c>
      <c r="V127" s="244">
        <v>0</v>
      </c>
      <c r="W127" s="244">
        <v>0</v>
      </c>
      <c r="X127" s="244">
        <v>0</v>
      </c>
      <c r="Y127" s="244">
        <v>0</v>
      </c>
      <c r="Z127" s="244">
        <v>0</v>
      </c>
      <c r="AA127" s="87" t="s">
        <v>1648</v>
      </c>
      <c r="AB127" s="87" t="s">
        <v>1649</v>
      </c>
      <c r="AC127" s="244">
        <v>0</v>
      </c>
      <c r="AD127" s="87" t="s">
        <v>1648</v>
      </c>
      <c r="AE127" s="244">
        <v>1508</v>
      </c>
      <c r="AF127" s="87" t="s">
        <v>1650</v>
      </c>
      <c r="AG127" s="87" t="s">
        <v>1648</v>
      </c>
      <c r="AH127" s="87" t="s">
        <v>1648</v>
      </c>
      <c r="AI127" s="87" t="s">
        <v>1649</v>
      </c>
      <c r="AJ127" s="87" t="s">
        <v>1648</v>
      </c>
    </row>
    <row r="128" spans="1:36" ht="13.5" thickBot="1" x14ac:dyDescent="0.25">
      <c r="A128" s="48" t="s">
        <v>608</v>
      </c>
      <c r="B128" s="347" t="s">
        <v>607</v>
      </c>
      <c r="C128" s="48" t="s">
        <v>3058</v>
      </c>
      <c r="D128" s="48" t="s">
        <v>17</v>
      </c>
      <c r="E128" s="48" t="s">
        <v>1919</v>
      </c>
      <c r="F128" s="87" t="s">
        <v>1648</v>
      </c>
      <c r="G128" s="87" t="s">
        <v>1648</v>
      </c>
      <c r="H128" s="244">
        <v>130</v>
      </c>
      <c r="I128" s="87" t="s">
        <v>1648</v>
      </c>
      <c r="J128" s="244">
        <v>380</v>
      </c>
      <c r="K128" s="87" t="s">
        <v>1649</v>
      </c>
      <c r="L128" s="87" t="s">
        <v>1649</v>
      </c>
      <c r="M128" s="244">
        <v>0</v>
      </c>
      <c r="N128" s="87" t="s">
        <v>1649</v>
      </c>
      <c r="O128" s="87" t="s">
        <v>1648</v>
      </c>
      <c r="P128" s="87" t="s">
        <v>1648</v>
      </c>
      <c r="Q128" s="244">
        <v>8</v>
      </c>
      <c r="R128" s="244">
        <v>102</v>
      </c>
      <c r="S128" s="244">
        <v>0</v>
      </c>
      <c r="T128" s="244">
        <v>0</v>
      </c>
      <c r="U128" s="244">
        <v>0</v>
      </c>
      <c r="V128" s="244">
        <v>0</v>
      </c>
      <c r="W128" s="244">
        <v>0</v>
      </c>
      <c r="X128" s="244">
        <v>0</v>
      </c>
      <c r="Y128" s="244">
        <v>56</v>
      </c>
      <c r="Z128" s="244">
        <v>597</v>
      </c>
      <c r="AA128" s="87" t="s">
        <v>1648</v>
      </c>
      <c r="AB128" s="87" t="s">
        <v>1649</v>
      </c>
      <c r="AC128" s="244">
        <v>0</v>
      </c>
      <c r="AD128" s="87" t="s">
        <v>1648</v>
      </c>
      <c r="AE128" s="244">
        <v>884</v>
      </c>
      <c r="AF128" s="257" t="s">
        <v>1660</v>
      </c>
      <c r="AG128" s="87" t="s">
        <v>1648</v>
      </c>
      <c r="AH128" s="87" t="s">
        <v>1649</v>
      </c>
      <c r="AI128" s="87" t="s">
        <v>1649</v>
      </c>
      <c r="AJ128" s="87" t="s">
        <v>1648</v>
      </c>
    </row>
    <row r="129" spans="1:36" ht="13.5" thickBot="1" x14ac:dyDescent="0.25">
      <c r="A129" s="48" t="s">
        <v>614</v>
      </c>
      <c r="B129" s="347" t="s">
        <v>613</v>
      </c>
      <c r="C129" s="48" t="s">
        <v>3061</v>
      </c>
      <c r="D129" s="48" t="s">
        <v>17</v>
      </c>
      <c r="E129" s="48" t="s">
        <v>1949</v>
      </c>
      <c r="F129" s="87" t="s">
        <v>1648</v>
      </c>
      <c r="G129" s="87" t="s">
        <v>1649</v>
      </c>
      <c r="H129" s="244">
        <v>0</v>
      </c>
      <c r="I129" s="87" t="s">
        <v>1648</v>
      </c>
      <c r="J129" s="244">
        <v>324</v>
      </c>
      <c r="K129" s="87" t="s">
        <v>1649</v>
      </c>
      <c r="L129" s="87" t="s">
        <v>1648</v>
      </c>
      <c r="M129" s="244">
        <v>1590</v>
      </c>
      <c r="N129" s="87" t="s">
        <v>1649</v>
      </c>
      <c r="O129" s="87" t="s">
        <v>1649</v>
      </c>
      <c r="P129" s="87" t="s">
        <v>1649</v>
      </c>
      <c r="Q129" s="244">
        <v>0</v>
      </c>
      <c r="R129" s="244">
        <v>0</v>
      </c>
      <c r="S129" s="244">
        <v>0</v>
      </c>
      <c r="T129" s="244">
        <v>0</v>
      </c>
      <c r="U129" s="244">
        <v>0</v>
      </c>
      <c r="V129" s="244">
        <v>0</v>
      </c>
      <c r="W129" s="244">
        <v>0</v>
      </c>
      <c r="X129" s="244">
        <v>0</v>
      </c>
      <c r="Y129" s="244">
        <v>0</v>
      </c>
      <c r="Z129" s="244">
        <v>0</v>
      </c>
      <c r="AA129" s="87" t="s">
        <v>1648</v>
      </c>
      <c r="AB129" s="87" t="s">
        <v>1649</v>
      </c>
      <c r="AC129" s="244">
        <v>0</v>
      </c>
      <c r="AD129" s="87" t="s">
        <v>1649</v>
      </c>
      <c r="AE129" s="244">
        <v>394</v>
      </c>
      <c r="AF129" s="87" t="s">
        <v>1651</v>
      </c>
      <c r="AG129" s="87" t="s">
        <v>1648</v>
      </c>
      <c r="AH129" s="87" t="s">
        <v>1648</v>
      </c>
      <c r="AI129" s="87" t="s">
        <v>1649</v>
      </c>
      <c r="AJ129" s="87" t="s">
        <v>1649</v>
      </c>
    </row>
    <row r="130" spans="1:36" ht="13.5" thickBot="1" x14ac:dyDescent="0.25">
      <c r="A130" s="48" t="s">
        <v>620</v>
      </c>
      <c r="B130" s="347" t="s">
        <v>619</v>
      </c>
      <c r="C130" s="48" t="s">
        <v>3058</v>
      </c>
      <c r="D130" s="48" t="s">
        <v>17</v>
      </c>
      <c r="E130" s="48" t="s">
        <v>1949</v>
      </c>
      <c r="F130" s="87" t="s">
        <v>1648</v>
      </c>
      <c r="G130" s="87" t="s">
        <v>1649</v>
      </c>
      <c r="H130" s="244">
        <v>0</v>
      </c>
      <c r="I130" s="87" t="s">
        <v>1649</v>
      </c>
      <c r="J130" s="244">
        <v>0</v>
      </c>
      <c r="K130" s="87" t="s">
        <v>1649</v>
      </c>
      <c r="L130" s="87" t="s">
        <v>1649</v>
      </c>
      <c r="M130" s="244">
        <v>0</v>
      </c>
      <c r="N130" s="87" t="s">
        <v>1649</v>
      </c>
      <c r="O130" s="87" t="s">
        <v>1649</v>
      </c>
      <c r="P130" s="87" t="s">
        <v>1649</v>
      </c>
      <c r="Q130" s="244">
        <v>0</v>
      </c>
      <c r="R130" s="244">
        <v>0</v>
      </c>
      <c r="S130" s="244">
        <v>0</v>
      </c>
      <c r="T130" s="244">
        <v>0</v>
      </c>
      <c r="U130" s="244">
        <v>0</v>
      </c>
      <c r="V130" s="244">
        <v>0</v>
      </c>
      <c r="W130" s="244">
        <v>0</v>
      </c>
      <c r="X130" s="244">
        <v>0</v>
      </c>
      <c r="Y130" s="244">
        <v>0</v>
      </c>
      <c r="Z130" s="244">
        <v>0</v>
      </c>
      <c r="AA130" s="87" t="s">
        <v>1648</v>
      </c>
      <c r="AB130" s="87" t="s">
        <v>1649</v>
      </c>
      <c r="AC130" s="244">
        <v>0</v>
      </c>
      <c r="AD130" s="87" t="s">
        <v>1649</v>
      </c>
      <c r="AE130" s="244">
        <v>0</v>
      </c>
      <c r="AF130" s="87" t="s">
        <v>1651</v>
      </c>
      <c r="AG130" s="87" t="s">
        <v>1648</v>
      </c>
      <c r="AH130" s="87" t="s">
        <v>1649</v>
      </c>
      <c r="AI130" s="87" t="s">
        <v>1649</v>
      </c>
      <c r="AJ130" s="87" t="s">
        <v>1649</v>
      </c>
    </row>
    <row r="131" spans="1:36" ht="13.5" thickBot="1" x14ac:dyDescent="0.25">
      <c r="A131" s="48" t="s">
        <v>632</v>
      </c>
      <c r="B131" s="347" t="s">
        <v>631</v>
      </c>
      <c r="C131" s="48" t="s">
        <v>3058</v>
      </c>
      <c r="D131" s="48" t="s">
        <v>17</v>
      </c>
      <c r="E131" s="48" t="s">
        <v>1949</v>
      </c>
      <c r="F131" s="87" t="s">
        <v>1648</v>
      </c>
      <c r="G131" s="87" t="s">
        <v>1648</v>
      </c>
      <c r="H131" s="244">
        <v>486</v>
      </c>
      <c r="I131" s="87" t="s">
        <v>1649</v>
      </c>
      <c r="J131" s="244">
        <v>0</v>
      </c>
      <c r="K131" s="87" t="s">
        <v>1649</v>
      </c>
      <c r="L131" s="87" t="s">
        <v>1648</v>
      </c>
      <c r="M131" s="244">
        <v>1500</v>
      </c>
      <c r="N131" s="87" t="s">
        <v>1649</v>
      </c>
      <c r="O131" s="87" t="s">
        <v>1648</v>
      </c>
      <c r="P131" s="87" t="s">
        <v>1648</v>
      </c>
      <c r="Q131" s="244">
        <v>12</v>
      </c>
      <c r="R131" s="244">
        <v>120</v>
      </c>
      <c r="S131" s="244">
        <v>3</v>
      </c>
      <c r="T131" s="244">
        <v>10</v>
      </c>
      <c r="U131" s="244">
        <v>2</v>
      </c>
      <c r="V131" s="244">
        <v>20</v>
      </c>
      <c r="W131" s="244">
        <v>0</v>
      </c>
      <c r="X131" s="244">
        <v>0</v>
      </c>
      <c r="Y131" s="244">
        <v>14</v>
      </c>
      <c r="Z131" s="244">
        <v>2</v>
      </c>
      <c r="AA131" s="87" t="s">
        <v>1649</v>
      </c>
      <c r="AB131" s="87" t="s">
        <v>1649</v>
      </c>
      <c r="AC131" s="244">
        <v>0</v>
      </c>
      <c r="AD131" s="87" t="s">
        <v>1648</v>
      </c>
      <c r="AE131" s="244">
        <v>2555</v>
      </c>
      <c r="AF131" s="87" t="s">
        <v>1651</v>
      </c>
      <c r="AG131" s="87" t="s">
        <v>1648</v>
      </c>
      <c r="AH131" s="87" t="s">
        <v>1648</v>
      </c>
      <c r="AI131" s="87" t="s">
        <v>1649</v>
      </c>
      <c r="AJ131" s="87" t="s">
        <v>1649</v>
      </c>
    </row>
    <row r="132" spans="1:36" ht="13.5" thickBot="1" x14ac:dyDescent="0.25">
      <c r="A132" s="48" t="s">
        <v>644</v>
      </c>
      <c r="B132" s="347" t="s">
        <v>643</v>
      </c>
      <c r="C132" s="48" t="s">
        <v>3053</v>
      </c>
      <c r="D132" s="48" t="s">
        <v>17</v>
      </c>
      <c r="E132" s="48" t="s">
        <v>1949</v>
      </c>
      <c r="F132" s="87" t="s">
        <v>1648</v>
      </c>
      <c r="G132" s="87" t="s">
        <v>1648</v>
      </c>
      <c r="H132" s="244">
        <v>20</v>
      </c>
      <c r="I132" s="87" t="s">
        <v>1649</v>
      </c>
      <c r="J132" s="244">
        <v>14</v>
      </c>
      <c r="K132" s="87" t="s">
        <v>1649</v>
      </c>
      <c r="L132" s="87" t="s">
        <v>1649</v>
      </c>
      <c r="M132" s="244">
        <v>0</v>
      </c>
      <c r="N132" s="87" t="s">
        <v>1649</v>
      </c>
      <c r="O132" s="87" t="s">
        <v>1648</v>
      </c>
      <c r="P132" s="87" t="s">
        <v>1648</v>
      </c>
      <c r="Q132" s="244">
        <v>4</v>
      </c>
      <c r="R132" s="244">
        <v>231</v>
      </c>
      <c r="S132" s="244">
        <v>4</v>
      </c>
      <c r="T132" s="244">
        <v>231</v>
      </c>
      <c r="U132" s="244">
        <v>0</v>
      </c>
      <c r="V132" s="244">
        <v>0</v>
      </c>
      <c r="W132" s="244">
        <v>4</v>
      </c>
      <c r="X132" s="244">
        <v>231</v>
      </c>
      <c r="Y132" s="244">
        <v>17</v>
      </c>
      <c r="Z132" s="244">
        <v>2040</v>
      </c>
      <c r="AA132" s="87" t="s">
        <v>1649</v>
      </c>
      <c r="AB132" s="87" t="s">
        <v>1649</v>
      </c>
      <c r="AC132" s="244">
        <v>0</v>
      </c>
      <c r="AD132" s="87" t="s">
        <v>1648</v>
      </c>
      <c r="AE132" s="244">
        <v>2504</v>
      </c>
      <c r="AF132" s="87" t="s">
        <v>1650</v>
      </c>
      <c r="AG132" s="87" t="s">
        <v>1648</v>
      </c>
      <c r="AH132" s="87" t="s">
        <v>1648</v>
      </c>
      <c r="AI132" s="87" t="s">
        <v>1649</v>
      </c>
      <c r="AJ132" s="87" t="s">
        <v>1649</v>
      </c>
    </row>
    <row r="133" spans="1:36" ht="13.5" thickBot="1" x14ac:dyDescent="0.25">
      <c r="A133" s="48" t="s">
        <v>658</v>
      </c>
      <c r="B133" s="347" t="s">
        <v>657</v>
      </c>
      <c r="C133" s="48" t="s">
        <v>3053</v>
      </c>
      <c r="D133" s="48" t="s">
        <v>17</v>
      </c>
      <c r="E133" s="48" t="s">
        <v>890</v>
      </c>
      <c r="F133" s="87" t="s">
        <v>1648</v>
      </c>
      <c r="G133" s="87" t="s">
        <v>1648</v>
      </c>
      <c r="H133" s="244">
        <v>560</v>
      </c>
      <c r="I133" s="87" t="s">
        <v>1648</v>
      </c>
      <c r="J133" s="244">
        <v>105</v>
      </c>
      <c r="K133" s="87" t="s">
        <v>1649</v>
      </c>
      <c r="L133" s="87" t="s">
        <v>1649</v>
      </c>
      <c r="M133" s="244">
        <v>0</v>
      </c>
      <c r="N133" s="87" t="s">
        <v>1648</v>
      </c>
      <c r="O133" s="87" t="s">
        <v>1648</v>
      </c>
      <c r="P133" s="87" t="s">
        <v>1648</v>
      </c>
      <c r="Q133" s="244">
        <v>15</v>
      </c>
      <c r="R133" s="244">
        <v>55</v>
      </c>
      <c r="S133" s="244">
        <v>1</v>
      </c>
      <c r="T133" s="244">
        <v>3</v>
      </c>
      <c r="U133" s="244">
        <v>4</v>
      </c>
      <c r="V133" s="244">
        <v>53</v>
      </c>
      <c r="W133" s="244">
        <v>1</v>
      </c>
      <c r="X133" s="244">
        <v>6</v>
      </c>
      <c r="Y133" s="244">
        <v>21</v>
      </c>
      <c r="Z133" s="244">
        <v>3583</v>
      </c>
      <c r="AA133" s="87" t="s">
        <v>1648</v>
      </c>
      <c r="AB133" s="87" t="s">
        <v>1649</v>
      </c>
      <c r="AC133" s="244">
        <v>0</v>
      </c>
      <c r="AD133" s="87" t="s">
        <v>1648</v>
      </c>
      <c r="AE133" s="244">
        <v>1300</v>
      </c>
      <c r="AF133" s="87" t="s">
        <v>1651</v>
      </c>
      <c r="AG133" s="87" t="s">
        <v>1648</v>
      </c>
      <c r="AH133" s="87" t="s">
        <v>1648</v>
      </c>
      <c r="AI133" s="87" t="s">
        <v>1649</v>
      </c>
      <c r="AJ133" s="87" t="s">
        <v>1648</v>
      </c>
    </row>
    <row r="134" spans="1:36" ht="13.5" thickBot="1" x14ac:dyDescent="0.25">
      <c r="A134" s="48" t="s">
        <v>668</v>
      </c>
      <c r="B134" s="347" t="s">
        <v>667</v>
      </c>
      <c r="C134" s="48" t="s">
        <v>3058</v>
      </c>
      <c r="D134" s="48" t="s">
        <v>17</v>
      </c>
      <c r="E134" s="48" t="s">
        <v>1949</v>
      </c>
      <c r="F134" s="87" t="s">
        <v>1648</v>
      </c>
      <c r="G134" s="87" t="s">
        <v>1648</v>
      </c>
      <c r="H134" s="244">
        <v>492</v>
      </c>
      <c r="I134" s="87" t="s">
        <v>1649</v>
      </c>
      <c r="J134" s="244">
        <v>210</v>
      </c>
      <c r="K134" s="87" t="s">
        <v>1649</v>
      </c>
      <c r="L134" s="87" t="s">
        <v>1648</v>
      </c>
      <c r="M134" s="244">
        <v>9700</v>
      </c>
      <c r="N134" s="87" t="s">
        <v>1649</v>
      </c>
      <c r="O134" s="87" t="s">
        <v>1649</v>
      </c>
      <c r="P134" s="87" t="s">
        <v>1649</v>
      </c>
      <c r="Q134" s="244">
        <v>0</v>
      </c>
      <c r="R134" s="244">
        <v>0</v>
      </c>
      <c r="S134" s="244">
        <v>0</v>
      </c>
      <c r="T134" s="244">
        <v>0</v>
      </c>
      <c r="U134" s="244">
        <v>0</v>
      </c>
      <c r="V134" s="244">
        <v>0</v>
      </c>
      <c r="W134" s="244">
        <v>0</v>
      </c>
      <c r="X134" s="244">
        <v>0</v>
      </c>
      <c r="Y134" s="244">
        <v>0</v>
      </c>
      <c r="Z134" s="244">
        <v>0</v>
      </c>
      <c r="AA134" s="87" t="s">
        <v>1648</v>
      </c>
      <c r="AB134" s="87" t="s">
        <v>1649</v>
      </c>
      <c r="AC134" s="244">
        <v>0</v>
      </c>
      <c r="AD134" s="87" t="s">
        <v>1648</v>
      </c>
      <c r="AE134" s="244">
        <v>1086</v>
      </c>
      <c r="AF134" s="87" t="s">
        <v>1650</v>
      </c>
      <c r="AG134" s="87" t="s">
        <v>1648</v>
      </c>
      <c r="AH134" s="87" t="s">
        <v>1648</v>
      </c>
      <c r="AI134" s="87" t="s">
        <v>1649</v>
      </c>
      <c r="AJ134" s="87" t="s">
        <v>1648</v>
      </c>
    </row>
    <row r="135" spans="1:36" ht="13.5" thickBot="1" x14ac:dyDescent="0.25">
      <c r="A135" s="48" t="s">
        <v>672</v>
      </c>
      <c r="B135" s="347" t="s">
        <v>671</v>
      </c>
      <c r="C135" s="48" t="s">
        <v>3074</v>
      </c>
      <c r="D135" s="48" t="s">
        <v>17</v>
      </c>
      <c r="E135" s="48" t="s">
        <v>1949</v>
      </c>
      <c r="F135" s="87" t="s">
        <v>1648</v>
      </c>
      <c r="G135" s="87" t="s">
        <v>1648</v>
      </c>
      <c r="H135" s="244">
        <v>35</v>
      </c>
      <c r="I135" s="87" t="s">
        <v>1648</v>
      </c>
      <c r="J135" s="244">
        <v>2100</v>
      </c>
      <c r="K135" s="87" t="s">
        <v>1649</v>
      </c>
      <c r="L135" s="87" t="s">
        <v>1648</v>
      </c>
      <c r="M135" s="244">
        <v>2100</v>
      </c>
      <c r="N135" s="87" t="s">
        <v>1648</v>
      </c>
      <c r="O135" s="87" t="s">
        <v>1648</v>
      </c>
      <c r="P135" s="87" t="s">
        <v>1648</v>
      </c>
      <c r="Q135" s="244">
        <v>7</v>
      </c>
      <c r="R135" s="244">
        <v>84</v>
      </c>
      <c r="S135" s="244">
        <v>0</v>
      </c>
      <c r="T135" s="244">
        <v>0</v>
      </c>
      <c r="U135" s="244">
        <v>4</v>
      </c>
      <c r="V135" s="244">
        <v>33</v>
      </c>
      <c r="W135" s="244">
        <v>0</v>
      </c>
      <c r="X135" s="244">
        <v>0</v>
      </c>
      <c r="Y135" s="244">
        <v>6</v>
      </c>
      <c r="Z135" s="244">
        <v>678</v>
      </c>
      <c r="AA135" s="87" t="s">
        <v>1648</v>
      </c>
      <c r="AB135" s="87" t="s">
        <v>1648</v>
      </c>
      <c r="AC135" s="244">
        <v>22</v>
      </c>
      <c r="AD135" s="87" t="s">
        <v>1648</v>
      </c>
      <c r="AE135" s="244">
        <v>1800</v>
      </c>
      <c r="AF135" s="87" t="s">
        <v>1650</v>
      </c>
      <c r="AG135" s="87" t="s">
        <v>1648</v>
      </c>
      <c r="AH135" s="87" t="s">
        <v>1649</v>
      </c>
      <c r="AI135" s="87" t="s">
        <v>1649</v>
      </c>
      <c r="AJ135" s="87" t="s">
        <v>1648</v>
      </c>
    </row>
    <row r="136" spans="1:36" ht="13.5" thickBot="1" x14ac:dyDescent="0.25">
      <c r="A136" s="48" t="s">
        <v>678</v>
      </c>
      <c r="B136" s="347" t="s">
        <v>677</v>
      </c>
      <c r="C136" s="48" t="s">
        <v>3058</v>
      </c>
      <c r="D136" s="48" t="s">
        <v>17</v>
      </c>
      <c r="E136" s="48" t="s">
        <v>1919</v>
      </c>
      <c r="F136" s="87" t="s">
        <v>1648</v>
      </c>
      <c r="G136" s="87" t="s">
        <v>1648</v>
      </c>
      <c r="H136" s="244">
        <v>120</v>
      </c>
      <c r="I136" s="87" t="s">
        <v>1649</v>
      </c>
      <c r="J136" s="244">
        <v>0</v>
      </c>
      <c r="K136" s="87" t="s">
        <v>1649</v>
      </c>
      <c r="L136" s="87" t="s">
        <v>1648</v>
      </c>
      <c r="M136" s="244">
        <v>7200</v>
      </c>
      <c r="N136" s="87" t="s">
        <v>1648</v>
      </c>
      <c r="O136" s="87" t="s">
        <v>1649</v>
      </c>
      <c r="P136" s="87" t="s">
        <v>1649</v>
      </c>
      <c r="Q136" s="244">
        <v>0</v>
      </c>
      <c r="R136" s="244">
        <v>0</v>
      </c>
      <c r="S136" s="244">
        <v>0</v>
      </c>
      <c r="T136" s="244">
        <v>0</v>
      </c>
      <c r="U136" s="244">
        <v>0</v>
      </c>
      <c r="V136" s="244">
        <v>0</v>
      </c>
      <c r="W136" s="244">
        <v>0</v>
      </c>
      <c r="X136" s="244">
        <v>0</v>
      </c>
      <c r="Y136" s="244">
        <v>0</v>
      </c>
      <c r="Z136" s="244">
        <v>0</v>
      </c>
      <c r="AA136" s="87" t="s">
        <v>1648</v>
      </c>
      <c r="AB136" s="87" t="s">
        <v>1649</v>
      </c>
      <c r="AC136" s="244">
        <v>0</v>
      </c>
      <c r="AD136" s="87" t="s">
        <v>1648</v>
      </c>
      <c r="AE136" s="244">
        <v>1850</v>
      </c>
      <c r="AF136" s="87" t="s">
        <v>1650</v>
      </c>
      <c r="AG136" s="87" t="s">
        <v>1648</v>
      </c>
      <c r="AH136" s="87" t="s">
        <v>1648</v>
      </c>
      <c r="AI136" s="87" t="s">
        <v>1649</v>
      </c>
      <c r="AJ136" s="87" t="s">
        <v>1649</v>
      </c>
    </row>
    <row r="137" spans="1:36" ht="13.5" thickBot="1" x14ac:dyDescent="0.25">
      <c r="A137" s="48" t="s">
        <v>686</v>
      </c>
      <c r="B137" s="347" t="s">
        <v>685</v>
      </c>
      <c r="C137" s="48" t="s">
        <v>3058</v>
      </c>
      <c r="D137" s="48" t="s">
        <v>17</v>
      </c>
      <c r="E137" s="48" t="s">
        <v>1919</v>
      </c>
      <c r="F137" s="87" t="s">
        <v>1648</v>
      </c>
      <c r="G137" s="87" t="s">
        <v>1649</v>
      </c>
      <c r="H137" s="244">
        <v>0</v>
      </c>
      <c r="I137" s="87" t="s">
        <v>1648</v>
      </c>
      <c r="J137" s="244">
        <v>76</v>
      </c>
      <c r="K137" s="87" t="s">
        <v>1649</v>
      </c>
      <c r="L137" s="87" t="s">
        <v>1649</v>
      </c>
      <c r="M137" s="244">
        <v>0</v>
      </c>
      <c r="N137" s="87" t="s">
        <v>1648</v>
      </c>
      <c r="O137" s="87" t="s">
        <v>1649</v>
      </c>
      <c r="P137" s="87" t="s">
        <v>1649</v>
      </c>
      <c r="Q137" s="244">
        <v>0</v>
      </c>
      <c r="R137" s="244">
        <v>0</v>
      </c>
      <c r="S137" s="244">
        <v>0</v>
      </c>
      <c r="T137" s="244">
        <v>0</v>
      </c>
      <c r="U137" s="244">
        <v>0</v>
      </c>
      <c r="V137" s="244">
        <v>0</v>
      </c>
      <c r="W137" s="244">
        <v>0</v>
      </c>
      <c r="X137" s="244">
        <v>0</v>
      </c>
      <c r="Y137" s="244">
        <v>0</v>
      </c>
      <c r="Z137" s="244">
        <v>0</v>
      </c>
      <c r="AA137" s="87" t="s">
        <v>1649</v>
      </c>
      <c r="AB137" s="87" t="s">
        <v>1649</v>
      </c>
      <c r="AC137" s="244">
        <v>0</v>
      </c>
      <c r="AD137" s="87" t="s">
        <v>1649</v>
      </c>
      <c r="AE137" s="244">
        <v>1762</v>
      </c>
      <c r="AF137" s="87" t="s">
        <v>1651</v>
      </c>
      <c r="AG137" s="87" t="s">
        <v>1648</v>
      </c>
      <c r="AH137" s="87" t="s">
        <v>1648</v>
      </c>
      <c r="AI137" s="87" t="s">
        <v>1649</v>
      </c>
      <c r="AJ137" s="87" t="s">
        <v>1649</v>
      </c>
    </row>
    <row r="138" spans="1:36" ht="13.5" thickBot="1" x14ac:dyDescent="0.25">
      <c r="A138" s="48" t="s">
        <v>708</v>
      </c>
      <c r="B138" s="347" t="s">
        <v>707</v>
      </c>
      <c r="C138" s="48" t="s">
        <v>3061</v>
      </c>
      <c r="D138" s="48" t="s">
        <v>17</v>
      </c>
      <c r="E138" s="48" t="s">
        <v>1949</v>
      </c>
      <c r="F138" s="87" t="s">
        <v>1648</v>
      </c>
      <c r="G138" s="87" t="s">
        <v>1648</v>
      </c>
      <c r="H138" s="244">
        <v>909</v>
      </c>
      <c r="I138" s="87" t="s">
        <v>1649</v>
      </c>
      <c r="J138" s="244">
        <v>0</v>
      </c>
      <c r="K138" s="87" t="s">
        <v>1649</v>
      </c>
      <c r="L138" s="87" t="s">
        <v>1649</v>
      </c>
      <c r="M138" s="244">
        <v>0</v>
      </c>
      <c r="N138" s="87" t="s">
        <v>1648</v>
      </c>
      <c r="O138" s="87" t="s">
        <v>1648</v>
      </c>
      <c r="P138" s="87" t="s">
        <v>1648</v>
      </c>
      <c r="Q138" s="244">
        <v>19</v>
      </c>
      <c r="R138" s="244">
        <v>102</v>
      </c>
      <c r="S138" s="244">
        <v>0</v>
      </c>
      <c r="T138" s="244">
        <v>0</v>
      </c>
      <c r="U138" s="244">
        <v>10</v>
      </c>
      <c r="V138" s="244">
        <v>71</v>
      </c>
      <c r="W138" s="244">
        <v>4</v>
      </c>
      <c r="X138" s="244">
        <v>1455</v>
      </c>
      <c r="Y138" s="244">
        <v>5</v>
      </c>
      <c r="Z138" s="244">
        <v>1068</v>
      </c>
      <c r="AA138" s="87" t="s">
        <v>1648</v>
      </c>
      <c r="AB138" s="87" t="s">
        <v>1648</v>
      </c>
      <c r="AC138" s="244">
        <v>19</v>
      </c>
      <c r="AD138" s="87" t="s">
        <v>1648</v>
      </c>
      <c r="AE138" s="244">
        <v>1020</v>
      </c>
      <c r="AF138" s="87" t="s">
        <v>1650</v>
      </c>
      <c r="AG138" s="87" t="s">
        <v>1648</v>
      </c>
      <c r="AH138" s="87" t="s">
        <v>1648</v>
      </c>
      <c r="AI138" s="87" t="s">
        <v>1649</v>
      </c>
      <c r="AJ138" s="87" t="s">
        <v>1648</v>
      </c>
    </row>
    <row r="139" spans="1:36" ht="13.5" thickBot="1" x14ac:dyDescent="0.25">
      <c r="A139" s="48" t="s">
        <v>720</v>
      </c>
      <c r="B139" s="347" t="s">
        <v>719</v>
      </c>
      <c r="C139" s="48" t="s">
        <v>3077</v>
      </c>
      <c r="D139" s="48" t="s">
        <v>17</v>
      </c>
      <c r="E139" s="48" t="s">
        <v>1949</v>
      </c>
      <c r="F139" s="87" t="s">
        <v>1648</v>
      </c>
      <c r="G139" s="87" t="s">
        <v>1648</v>
      </c>
      <c r="H139" s="244">
        <v>130</v>
      </c>
      <c r="I139" s="87" t="s">
        <v>1648</v>
      </c>
      <c r="J139" s="244">
        <v>408</v>
      </c>
      <c r="K139" s="87" t="s">
        <v>1649</v>
      </c>
      <c r="L139" s="87" t="s">
        <v>1649</v>
      </c>
      <c r="M139" s="244">
        <v>0</v>
      </c>
      <c r="N139" s="87" t="s">
        <v>1648</v>
      </c>
      <c r="O139" s="87" t="s">
        <v>1648</v>
      </c>
      <c r="P139" s="87" t="s">
        <v>1649</v>
      </c>
      <c r="Q139" s="244">
        <v>0</v>
      </c>
      <c r="R139" s="244">
        <v>0</v>
      </c>
      <c r="S139" s="244">
        <v>0</v>
      </c>
      <c r="T139" s="244">
        <v>0</v>
      </c>
      <c r="U139" s="244">
        <v>0</v>
      </c>
      <c r="V139" s="244">
        <v>0</v>
      </c>
      <c r="W139" s="244">
        <v>0</v>
      </c>
      <c r="X139" s="244">
        <v>0</v>
      </c>
      <c r="Y139" s="244">
        <v>0</v>
      </c>
      <c r="Z139" s="244">
        <v>0</v>
      </c>
      <c r="AA139" s="87" t="s">
        <v>1648</v>
      </c>
      <c r="AB139" s="87" t="s">
        <v>1649</v>
      </c>
      <c r="AC139" s="244">
        <v>0</v>
      </c>
      <c r="AD139" s="87" t="s">
        <v>1648</v>
      </c>
      <c r="AE139" s="244">
        <v>2808</v>
      </c>
      <c r="AF139" s="87" t="s">
        <v>1650</v>
      </c>
      <c r="AG139" s="87" t="s">
        <v>1648</v>
      </c>
      <c r="AH139" s="87" t="s">
        <v>1648</v>
      </c>
      <c r="AI139" s="87" t="s">
        <v>1649</v>
      </c>
      <c r="AJ139" s="87" t="s">
        <v>1648</v>
      </c>
    </row>
    <row r="140" spans="1:36" ht="13.5" thickBot="1" x14ac:dyDescent="0.25">
      <c r="A140" s="48" t="s">
        <v>728</v>
      </c>
      <c r="B140" s="347" t="s">
        <v>727</v>
      </c>
      <c r="C140" s="48" t="s">
        <v>3058</v>
      </c>
      <c r="D140" s="48" t="s">
        <v>17</v>
      </c>
      <c r="E140" s="48" t="s">
        <v>1919</v>
      </c>
      <c r="F140" s="87" t="s">
        <v>1648</v>
      </c>
      <c r="G140" s="87" t="s">
        <v>1648</v>
      </c>
      <c r="H140" s="244">
        <v>116</v>
      </c>
      <c r="I140" s="87" t="s">
        <v>1648</v>
      </c>
      <c r="J140" s="244">
        <v>22</v>
      </c>
      <c r="K140" s="87" t="s">
        <v>1649</v>
      </c>
      <c r="L140" s="87" t="s">
        <v>1649</v>
      </c>
      <c r="M140" s="244">
        <v>0</v>
      </c>
      <c r="N140" s="87" t="s">
        <v>1648</v>
      </c>
      <c r="O140" s="87" t="s">
        <v>1649</v>
      </c>
      <c r="P140" s="87" t="s">
        <v>1649</v>
      </c>
      <c r="Q140" s="244">
        <v>0</v>
      </c>
      <c r="R140" s="244">
        <v>0</v>
      </c>
      <c r="S140" s="244">
        <v>0</v>
      </c>
      <c r="T140" s="244">
        <v>0</v>
      </c>
      <c r="U140" s="244">
        <v>0</v>
      </c>
      <c r="V140" s="244">
        <v>0</v>
      </c>
      <c r="W140" s="244">
        <v>0</v>
      </c>
      <c r="X140" s="244">
        <v>0</v>
      </c>
      <c r="Y140" s="244">
        <v>0</v>
      </c>
      <c r="Z140" s="244">
        <v>0</v>
      </c>
      <c r="AA140" s="87" t="s">
        <v>1648</v>
      </c>
      <c r="AB140" s="87" t="s">
        <v>1648</v>
      </c>
      <c r="AC140" s="244">
        <v>12</v>
      </c>
      <c r="AD140" s="87" t="s">
        <v>1648</v>
      </c>
      <c r="AE140" s="244">
        <v>416</v>
      </c>
      <c r="AF140" s="87" t="s">
        <v>1650</v>
      </c>
      <c r="AG140" s="87" t="s">
        <v>1649</v>
      </c>
      <c r="AH140" s="87" t="s">
        <v>1649</v>
      </c>
      <c r="AI140" s="87" t="s">
        <v>1649</v>
      </c>
      <c r="AJ140" s="87" t="s">
        <v>1649</v>
      </c>
    </row>
    <row r="141" spans="1:36" ht="13.5" thickBot="1" x14ac:dyDescent="0.25">
      <c r="A141" s="48" t="s">
        <v>736</v>
      </c>
      <c r="B141" s="347" t="s">
        <v>735</v>
      </c>
      <c r="C141" s="48" t="s">
        <v>3058</v>
      </c>
      <c r="D141" s="48" t="s">
        <v>17</v>
      </c>
      <c r="E141" s="48" t="s">
        <v>1919</v>
      </c>
      <c r="F141" s="87" t="s">
        <v>1648</v>
      </c>
      <c r="G141" s="87" t="s">
        <v>1648</v>
      </c>
      <c r="H141" s="244">
        <v>560</v>
      </c>
      <c r="I141" s="87" t="s">
        <v>1648</v>
      </c>
      <c r="J141" s="244">
        <v>260</v>
      </c>
      <c r="K141" s="87" t="s">
        <v>1649</v>
      </c>
      <c r="L141" s="87" t="s">
        <v>1648</v>
      </c>
      <c r="M141" s="244">
        <v>5085</v>
      </c>
      <c r="N141" s="87" t="s">
        <v>1649</v>
      </c>
      <c r="O141" s="87" t="s">
        <v>1649</v>
      </c>
      <c r="P141" s="87" t="s">
        <v>1649</v>
      </c>
      <c r="Q141" s="244">
        <v>0</v>
      </c>
      <c r="R141" s="244">
        <v>0</v>
      </c>
      <c r="S141" s="244">
        <v>0</v>
      </c>
      <c r="T141" s="244">
        <v>0</v>
      </c>
      <c r="U141" s="244">
        <v>0</v>
      </c>
      <c r="V141" s="244">
        <v>0</v>
      </c>
      <c r="W141" s="244">
        <v>0</v>
      </c>
      <c r="X141" s="244">
        <v>0</v>
      </c>
      <c r="Y141" s="244">
        <v>0</v>
      </c>
      <c r="Z141" s="244">
        <v>0</v>
      </c>
      <c r="AA141" s="87" t="s">
        <v>1648</v>
      </c>
      <c r="AB141" s="87" t="s">
        <v>1648</v>
      </c>
      <c r="AC141" s="244">
        <v>3</v>
      </c>
      <c r="AD141" s="87" t="s">
        <v>1648</v>
      </c>
      <c r="AE141" s="244">
        <v>382</v>
      </c>
      <c r="AF141" s="87" t="s">
        <v>1651</v>
      </c>
      <c r="AG141" s="87" t="s">
        <v>1648</v>
      </c>
      <c r="AH141" s="87" t="s">
        <v>1648</v>
      </c>
      <c r="AI141" s="87" t="s">
        <v>1649</v>
      </c>
      <c r="AJ141" s="87" t="s">
        <v>1648</v>
      </c>
    </row>
    <row r="142" spans="1:36" ht="13.5" thickBot="1" x14ac:dyDescent="0.25">
      <c r="A142" s="48" t="s">
        <v>744</v>
      </c>
      <c r="B142" s="347" t="s">
        <v>743</v>
      </c>
      <c r="C142" s="48" t="s">
        <v>3072</v>
      </c>
      <c r="D142" s="48" t="s">
        <v>17</v>
      </c>
      <c r="E142" s="48" t="s">
        <v>1919</v>
      </c>
      <c r="F142" s="87" t="s">
        <v>1648</v>
      </c>
      <c r="G142" s="87" t="s">
        <v>1648</v>
      </c>
      <c r="H142" s="244">
        <v>70</v>
      </c>
      <c r="I142" s="87" t="s">
        <v>1648</v>
      </c>
      <c r="J142" s="244">
        <v>1981</v>
      </c>
      <c r="K142" s="87" t="s">
        <v>1649</v>
      </c>
      <c r="L142" s="87" t="s">
        <v>1648</v>
      </c>
      <c r="M142" s="244">
        <v>3500</v>
      </c>
      <c r="N142" s="87" t="s">
        <v>1648</v>
      </c>
      <c r="O142" s="87" t="s">
        <v>1649</v>
      </c>
      <c r="P142" s="87" t="s">
        <v>1649</v>
      </c>
      <c r="Q142" s="244">
        <v>0</v>
      </c>
      <c r="R142" s="244">
        <v>0</v>
      </c>
      <c r="S142" s="244">
        <v>0</v>
      </c>
      <c r="T142" s="244">
        <v>0</v>
      </c>
      <c r="U142" s="244">
        <v>0</v>
      </c>
      <c r="V142" s="244">
        <v>0</v>
      </c>
      <c r="W142" s="244">
        <v>0</v>
      </c>
      <c r="X142" s="244">
        <v>0</v>
      </c>
      <c r="Y142" s="244">
        <v>0</v>
      </c>
      <c r="Z142" s="244">
        <v>0</v>
      </c>
      <c r="AA142" s="87" t="s">
        <v>1648</v>
      </c>
      <c r="AB142" s="87" t="s">
        <v>1648</v>
      </c>
      <c r="AC142" s="244">
        <v>10</v>
      </c>
      <c r="AD142" s="87" t="s">
        <v>1649</v>
      </c>
      <c r="AE142" s="244">
        <v>990</v>
      </c>
      <c r="AF142" s="87" t="s">
        <v>1650</v>
      </c>
      <c r="AG142" s="87" t="s">
        <v>1648</v>
      </c>
      <c r="AH142" s="87" t="s">
        <v>1648</v>
      </c>
      <c r="AI142" s="87" t="s">
        <v>1649</v>
      </c>
      <c r="AJ142" s="87" t="s">
        <v>1649</v>
      </c>
    </row>
    <row r="143" spans="1:36" ht="13.5" thickBot="1" x14ac:dyDescent="0.25">
      <c r="A143" s="48" t="s">
        <v>758</v>
      </c>
      <c r="B143" s="347" t="s">
        <v>757</v>
      </c>
      <c r="C143" s="48" t="s">
        <v>3144</v>
      </c>
      <c r="D143" s="48" t="s">
        <v>17</v>
      </c>
      <c r="E143" s="48" t="s">
        <v>890</v>
      </c>
      <c r="F143" s="87" t="s">
        <v>1648</v>
      </c>
      <c r="G143" s="87" t="s">
        <v>1648</v>
      </c>
      <c r="H143" s="244">
        <v>110</v>
      </c>
      <c r="I143" s="87" t="s">
        <v>1649</v>
      </c>
      <c r="J143" s="244">
        <v>0</v>
      </c>
      <c r="K143" s="87" t="s">
        <v>1649</v>
      </c>
      <c r="L143" s="87" t="s">
        <v>1648</v>
      </c>
      <c r="M143" s="244">
        <v>5000</v>
      </c>
      <c r="N143" s="87" t="s">
        <v>1649</v>
      </c>
      <c r="O143" s="87" t="s">
        <v>1649</v>
      </c>
      <c r="P143" s="87" t="s">
        <v>1649</v>
      </c>
      <c r="Q143" s="244">
        <v>0</v>
      </c>
      <c r="R143" s="244">
        <v>0</v>
      </c>
      <c r="S143" s="244">
        <v>0</v>
      </c>
      <c r="T143" s="244">
        <v>0</v>
      </c>
      <c r="U143" s="244">
        <v>0</v>
      </c>
      <c r="V143" s="244">
        <v>0</v>
      </c>
      <c r="W143" s="244">
        <v>0</v>
      </c>
      <c r="X143" s="244">
        <v>0</v>
      </c>
      <c r="Y143" s="244">
        <v>0</v>
      </c>
      <c r="Z143" s="244">
        <v>0</v>
      </c>
      <c r="AA143" s="87" t="s">
        <v>1648</v>
      </c>
      <c r="AB143" s="87" t="s">
        <v>1648</v>
      </c>
      <c r="AC143" s="244">
        <v>13</v>
      </c>
      <c r="AD143" s="87" t="s">
        <v>1648</v>
      </c>
      <c r="AE143" s="244">
        <v>7500</v>
      </c>
      <c r="AF143" s="87" t="s">
        <v>1650</v>
      </c>
      <c r="AG143" s="87" t="s">
        <v>1648</v>
      </c>
      <c r="AH143" s="87" t="s">
        <v>1648</v>
      </c>
      <c r="AI143" s="87" t="s">
        <v>1649</v>
      </c>
      <c r="AJ143" s="87" t="s">
        <v>1649</v>
      </c>
    </row>
    <row r="144" spans="1:36" ht="13.5" thickBot="1" x14ac:dyDescent="0.25">
      <c r="A144" s="48" t="s">
        <v>764</v>
      </c>
      <c r="B144" s="347" t="s">
        <v>763</v>
      </c>
      <c r="C144" s="48" t="s">
        <v>3055</v>
      </c>
      <c r="D144" s="48" t="s">
        <v>17</v>
      </c>
      <c r="E144" s="48" t="s">
        <v>1919</v>
      </c>
      <c r="F144" s="87" t="s">
        <v>1648</v>
      </c>
      <c r="G144" s="87" t="s">
        <v>1649</v>
      </c>
      <c r="H144" s="244">
        <v>0</v>
      </c>
      <c r="I144" s="87" t="s">
        <v>1648</v>
      </c>
      <c r="J144" s="244">
        <v>8</v>
      </c>
      <c r="K144" s="87" t="s">
        <v>1649</v>
      </c>
      <c r="L144" s="87" t="s">
        <v>1649</v>
      </c>
      <c r="M144" s="244">
        <v>0</v>
      </c>
      <c r="N144" s="87" t="s">
        <v>1648</v>
      </c>
      <c r="O144" s="87" t="s">
        <v>1649</v>
      </c>
      <c r="P144" s="87" t="s">
        <v>1649</v>
      </c>
      <c r="Q144" s="244">
        <v>0</v>
      </c>
      <c r="R144" s="244">
        <v>0</v>
      </c>
      <c r="S144" s="244">
        <v>0</v>
      </c>
      <c r="T144" s="244">
        <v>0</v>
      </c>
      <c r="U144" s="244">
        <v>0</v>
      </c>
      <c r="V144" s="244">
        <v>0</v>
      </c>
      <c r="W144" s="244">
        <v>0</v>
      </c>
      <c r="X144" s="244">
        <v>0</v>
      </c>
      <c r="Y144" s="244">
        <v>0</v>
      </c>
      <c r="Z144" s="244">
        <v>0</v>
      </c>
      <c r="AA144" s="87" t="s">
        <v>1648</v>
      </c>
      <c r="AB144" s="87" t="s">
        <v>1649</v>
      </c>
      <c r="AC144" s="244">
        <v>0</v>
      </c>
      <c r="AD144" s="87" t="s">
        <v>1649</v>
      </c>
      <c r="AE144" s="244">
        <v>150</v>
      </c>
      <c r="AF144" s="87" t="s">
        <v>1650</v>
      </c>
      <c r="AG144" s="87" t="s">
        <v>1648</v>
      </c>
      <c r="AH144" s="87" t="s">
        <v>1648</v>
      </c>
      <c r="AI144" s="87" t="s">
        <v>1649</v>
      </c>
      <c r="AJ144" s="87" t="s">
        <v>1649</v>
      </c>
    </row>
    <row r="145" spans="1:36" ht="13.5" thickBot="1" x14ac:dyDescent="0.25">
      <c r="A145" s="48" t="s">
        <v>774</v>
      </c>
      <c r="B145" s="347" t="s">
        <v>773</v>
      </c>
      <c r="C145" s="48" t="s">
        <v>3098</v>
      </c>
      <c r="D145" s="48" t="s">
        <v>17</v>
      </c>
      <c r="E145" s="48" t="s">
        <v>890</v>
      </c>
      <c r="F145" s="87" t="s">
        <v>1648</v>
      </c>
      <c r="G145" s="87" t="s">
        <v>1648</v>
      </c>
      <c r="H145" s="244">
        <v>86</v>
      </c>
      <c r="I145" s="87" t="s">
        <v>1649</v>
      </c>
      <c r="J145" s="244">
        <v>0</v>
      </c>
      <c r="K145" s="87" t="s">
        <v>1649</v>
      </c>
      <c r="L145" s="87" t="s">
        <v>1649</v>
      </c>
      <c r="M145" s="244">
        <v>0</v>
      </c>
      <c r="N145" s="87" t="s">
        <v>1648</v>
      </c>
      <c r="O145" s="87" t="s">
        <v>1648</v>
      </c>
      <c r="P145" s="87" t="s">
        <v>1649</v>
      </c>
      <c r="Q145" s="244">
        <v>4</v>
      </c>
      <c r="R145" s="244">
        <v>23</v>
      </c>
      <c r="S145" s="244">
        <v>0</v>
      </c>
      <c r="T145" s="244">
        <v>0</v>
      </c>
      <c r="U145" s="244">
        <v>3</v>
      </c>
      <c r="V145" s="244">
        <v>47</v>
      </c>
      <c r="W145" s="244">
        <v>2</v>
      </c>
      <c r="X145" s="244">
        <v>13</v>
      </c>
      <c r="Y145" s="244">
        <v>0</v>
      </c>
      <c r="Z145" s="244">
        <v>0</v>
      </c>
      <c r="AA145" s="87" t="s">
        <v>1648</v>
      </c>
      <c r="AB145" s="87" t="s">
        <v>1648</v>
      </c>
      <c r="AC145" s="244">
        <v>13</v>
      </c>
      <c r="AD145" s="87" t="s">
        <v>1648</v>
      </c>
      <c r="AE145" s="244">
        <v>781</v>
      </c>
      <c r="AF145" s="87" t="s">
        <v>1651</v>
      </c>
      <c r="AG145" s="87" t="s">
        <v>1648</v>
      </c>
      <c r="AH145" s="87" t="s">
        <v>1649</v>
      </c>
      <c r="AI145" s="87" t="s">
        <v>1649</v>
      </c>
      <c r="AJ145" s="87" t="s">
        <v>1648</v>
      </c>
    </row>
    <row r="146" spans="1:36" ht="13.5" thickBot="1" x14ac:dyDescent="0.25">
      <c r="A146" s="48" t="s">
        <v>784</v>
      </c>
      <c r="B146" s="347" t="s">
        <v>783</v>
      </c>
      <c r="C146" s="48" t="s">
        <v>3072</v>
      </c>
      <c r="D146" s="48" t="s">
        <v>17</v>
      </c>
      <c r="E146" s="48" t="s">
        <v>1949</v>
      </c>
      <c r="F146" s="87" t="s">
        <v>1648</v>
      </c>
      <c r="G146" s="87" t="s">
        <v>1648</v>
      </c>
      <c r="H146" s="244">
        <v>405</v>
      </c>
      <c r="I146" s="87" t="s">
        <v>1649</v>
      </c>
      <c r="J146" s="244">
        <v>910</v>
      </c>
      <c r="K146" s="87" t="s">
        <v>1649</v>
      </c>
      <c r="L146" s="87" t="s">
        <v>1648</v>
      </c>
      <c r="M146" s="244">
        <v>2836</v>
      </c>
      <c r="N146" s="87" t="s">
        <v>1648</v>
      </c>
      <c r="O146" s="87" t="s">
        <v>1648</v>
      </c>
      <c r="P146" s="87" t="s">
        <v>1648</v>
      </c>
      <c r="Q146" s="244">
        <v>4</v>
      </c>
      <c r="R146" s="244">
        <v>36</v>
      </c>
      <c r="S146" s="244">
        <v>0</v>
      </c>
      <c r="T146" s="244">
        <v>0</v>
      </c>
      <c r="U146" s="244">
        <v>2</v>
      </c>
      <c r="V146" s="244">
        <v>61</v>
      </c>
      <c r="W146" s="244">
        <v>0</v>
      </c>
      <c r="X146" s="244">
        <v>0</v>
      </c>
      <c r="Y146" s="244">
        <v>10</v>
      </c>
      <c r="Z146" s="244">
        <v>10</v>
      </c>
      <c r="AA146" s="87" t="s">
        <v>1648</v>
      </c>
      <c r="AB146" s="87" t="s">
        <v>1648</v>
      </c>
      <c r="AC146" s="244">
        <v>7</v>
      </c>
      <c r="AD146" s="87" t="s">
        <v>1648</v>
      </c>
      <c r="AE146" s="244">
        <v>2196</v>
      </c>
      <c r="AF146" s="87" t="s">
        <v>1650</v>
      </c>
      <c r="AG146" s="87" t="s">
        <v>1648</v>
      </c>
      <c r="AH146" s="87" t="s">
        <v>1648</v>
      </c>
      <c r="AI146" s="87" t="s">
        <v>1649</v>
      </c>
      <c r="AJ146" s="87" t="s">
        <v>1648</v>
      </c>
    </row>
    <row r="147" spans="1:36" ht="13.5" thickBot="1" x14ac:dyDescent="0.25">
      <c r="A147" s="48" t="s">
        <v>802</v>
      </c>
      <c r="B147" s="347" t="s">
        <v>801</v>
      </c>
      <c r="C147" s="48" t="s">
        <v>3061</v>
      </c>
      <c r="D147" s="48" t="s">
        <v>17</v>
      </c>
      <c r="E147" s="48" t="s">
        <v>1919</v>
      </c>
      <c r="F147" s="87" t="s">
        <v>1648</v>
      </c>
      <c r="G147" s="87" t="s">
        <v>1648</v>
      </c>
      <c r="H147" s="244">
        <v>218</v>
      </c>
      <c r="I147" s="87" t="s">
        <v>1649</v>
      </c>
      <c r="J147" s="244">
        <v>0</v>
      </c>
      <c r="K147" s="87" t="s">
        <v>1649</v>
      </c>
      <c r="L147" s="87" t="s">
        <v>1648</v>
      </c>
      <c r="M147" s="244">
        <v>23500</v>
      </c>
      <c r="N147" s="87" t="s">
        <v>1648</v>
      </c>
      <c r="O147" s="87" t="s">
        <v>1648</v>
      </c>
      <c r="P147" s="87" t="s">
        <v>1648</v>
      </c>
      <c r="Q147" s="244">
        <v>0</v>
      </c>
      <c r="R147" s="244">
        <v>0</v>
      </c>
      <c r="S147" s="244">
        <v>0</v>
      </c>
      <c r="T147" s="244">
        <v>0</v>
      </c>
      <c r="U147" s="244">
        <v>1</v>
      </c>
      <c r="V147" s="244">
        <v>244</v>
      </c>
      <c r="W147" s="244">
        <v>0</v>
      </c>
      <c r="X147" s="244">
        <v>0</v>
      </c>
      <c r="Y147" s="244">
        <v>126</v>
      </c>
      <c r="Z147" s="244">
        <v>5095</v>
      </c>
      <c r="AA147" s="87" t="s">
        <v>1649</v>
      </c>
      <c r="AB147" s="87" t="s">
        <v>1649</v>
      </c>
      <c r="AC147" s="244">
        <v>0</v>
      </c>
      <c r="AD147" s="87" t="s">
        <v>1648</v>
      </c>
      <c r="AE147" s="244">
        <v>1885</v>
      </c>
      <c r="AF147" s="87" t="s">
        <v>1650</v>
      </c>
      <c r="AG147" s="87" t="s">
        <v>1648</v>
      </c>
      <c r="AH147" s="87" t="s">
        <v>1648</v>
      </c>
      <c r="AI147" s="87" t="s">
        <v>1649</v>
      </c>
      <c r="AJ147" s="87" t="s">
        <v>1648</v>
      </c>
    </row>
    <row r="148" spans="1:36" ht="13.5" thickBot="1" x14ac:dyDescent="0.25">
      <c r="A148" s="48" t="s">
        <v>24</v>
      </c>
      <c r="B148" s="347" t="s">
        <v>23</v>
      </c>
      <c r="C148" s="48" t="s">
        <v>3058</v>
      </c>
      <c r="D148" s="48" t="s">
        <v>25</v>
      </c>
      <c r="E148" s="48" t="s">
        <v>1949</v>
      </c>
      <c r="F148" s="87" t="s">
        <v>1648</v>
      </c>
      <c r="G148" s="87" t="s">
        <v>1649</v>
      </c>
      <c r="H148" s="244">
        <v>0</v>
      </c>
      <c r="I148" s="87" t="s">
        <v>1648</v>
      </c>
      <c r="J148" s="244">
        <v>1820</v>
      </c>
      <c r="K148" s="87" t="s">
        <v>1649</v>
      </c>
      <c r="L148" s="87" t="s">
        <v>1649</v>
      </c>
      <c r="M148" s="244">
        <v>0</v>
      </c>
      <c r="N148" s="87" t="s">
        <v>1648</v>
      </c>
      <c r="O148" s="87" t="s">
        <v>1649</v>
      </c>
      <c r="P148" s="87" t="s">
        <v>1649</v>
      </c>
      <c r="Q148" s="244">
        <v>0</v>
      </c>
      <c r="R148" s="244">
        <v>0</v>
      </c>
      <c r="S148" s="244">
        <v>0</v>
      </c>
      <c r="T148" s="244">
        <v>0</v>
      </c>
      <c r="U148" s="244">
        <v>0</v>
      </c>
      <c r="V148" s="244">
        <v>0</v>
      </c>
      <c r="W148" s="244">
        <v>0</v>
      </c>
      <c r="X148" s="244">
        <v>0</v>
      </c>
      <c r="Y148" s="244">
        <v>0</v>
      </c>
      <c r="Z148" s="244">
        <v>0</v>
      </c>
      <c r="AA148" s="87" t="s">
        <v>1648</v>
      </c>
      <c r="AB148" s="87" t="s">
        <v>1649</v>
      </c>
      <c r="AC148" s="244">
        <v>0</v>
      </c>
      <c r="AD148" s="87" t="s">
        <v>1649</v>
      </c>
      <c r="AE148" s="244">
        <v>1620</v>
      </c>
      <c r="AF148" s="87" t="s">
        <v>1650</v>
      </c>
      <c r="AG148" s="87" t="s">
        <v>1648</v>
      </c>
      <c r="AH148" s="87" t="s">
        <v>1649</v>
      </c>
      <c r="AI148" s="87" t="s">
        <v>1649</v>
      </c>
      <c r="AJ148" s="87" t="s">
        <v>1649</v>
      </c>
    </row>
    <row r="149" spans="1:36" ht="13.5" thickBot="1" x14ac:dyDescent="0.25">
      <c r="A149" s="48" t="s">
        <v>27</v>
      </c>
      <c r="B149" s="347" t="s">
        <v>26</v>
      </c>
      <c r="C149" s="48" t="s">
        <v>3053</v>
      </c>
      <c r="D149" s="48" t="s">
        <v>25</v>
      </c>
      <c r="E149" s="48" t="s">
        <v>1949</v>
      </c>
      <c r="F149" s="87" t="s">
        <v>1648</v>
      </c>
      <c r="G149" s="87" t="s">
        <v>1648</v>
      </c>
      <c r="H149" s="244">
        <v>84</v>
      </c>
      <c r="I149" s="87" t="s">
        <v>1649</v>
      </c>
      <c r="J149" s="244">
        <v>0</v>
      </c>
      <c r="K149" s="87" t="s">
        <v>1649</v>
      </c>
      <c r="L149" s="87" t="s">
        <v>1648</v>
      </c>
      <c r="M149" s="244">
        <v>0</v>
      </c>
      <c r="N149" s="87" t="s">
        <v>1648</v>
      </c>
      <c r="O149" s="87" t="s">
        <v>1649</v>
      </c>
      <c r="P149" s="87" t="s">
        <v>1649</v>
      </c>
      <c r="Q149" s="244">
        <v>0</v>
      </c>
      <c r="R149" s="244">
        <v>0</v>
      </c>
      <c r="S149" s="244">
        <v>0</v>
      </c>
      <c r="T149" s="244">
        <v>0</v>
      </c>
      <c r="U149" s="244">
        <v>0</v>
      </c>
      <c r="V149" s="244">
        <v>0</v>
      </c>
      <c r="W149" s="244">
        <v>0</v>
      </c>
      <c r="X149" s="244">
        <v>0</v>
      </c>
      <c r="Y149" s="244">
        <v>0</v>
      </c>
      <c r="Z149" s="244">
        <v>0</v>
      </c>
      <c r="AA149" s="87" t="s">
        <v>1648</v>
      </c>
      <c r="AB149" s="87" t="s">
        <v>1649</v>
      </c>
      <c r="AC149" s="244">
        <v>0</v>
      </c>
      <c r="AD149" s="87" t="s">
        <v>1649</v>
      </c>
      <c r="AE149" s="244">
        <v>360</v>
      </c>
      <c r="AF149" s="87" t="s">
        <v>1650</v>
      </c>
      <c r="AG149" s="87" t="s">
        <v>1648</v>
      </c>
      <c r="AH149" s="87" t="s">
        <v>1649</v>
      </c>
      <c r="AI149" s="87" t="s">
        <v>1649</v>
      </c>
      <c r="AJ149" s="87" t="s">
        <v>1649</v>
      </c>
    </row>
    <row r="150" spans="1:36" ht="13.5" thickBot="1" x14ac:dyDescent="0.25">
      <c r="A150" s="48" t="s">
        <v>29</v>
      </c>
      <c r="B150" s="347" t="s">
        <v>28</v>
      </c>
      <c r="C150" s="48" t="s">
        <v>3061</v>
      </c>
      <c r="D150" s="48" t="s">
        <v>25</v>
      </c>
      <c r="E150" s="48" t="s">
        <v>1949</v>
      </c>
      <c r="F150" s="87" t="s">
        <v>1648</v>
      </c>
      <c r="G150" s="87" t="s">
        <v>1648</v>
      </c>
      <c r="H150" s="244">
        <v>531</v>
      </c>
      <c r="I150" s="87" t="s">
        <v>1648</v>
      </c>
      <c r="J150" s="244">
        <v>876</v>
      </c>
      <c r="K150" s="87" t="s">
        <v>1649</v>
      </c>
      <c r="L150" s="87" t="s">
        <v>1648</v>
      </c>
      <c r="M150" s="244">
        <v>6450</v>
      </c>
      <c r="N150" s="87" t="s">
        <v>1648</v>
      </c>
      <c r="O150" s="87" t="s">
        <v>1649</v>
      </c>
      <c r="P150" s="87" t="s">
        <v>1648</v>
      </c>
      <c r="Q150" s="244">
        <v>0</v>
      </c>
      <c r="R150" s="244">
        <v>0</v>
      </c>
      <c r="S150" s="244">
        <v>0</v>
      </c>
      <c r="T150" s="244">
        <v>0</v>
      </c>
      <c r="U150" s="244">
        <v>0</v>
      </c>
      <c r="V150" s="244">
        <v>0</v>
      </c>
      <c r="W150" s="244">
        <v>0</v>
      </c>
      <c r="X150" s="244">
        <v>0</v>
      </c>
      <c r="Y150" s="244">
        <v>35</v>
      </c>
      <c r="Z150" s="244">
        <v>4564</v>
      </c>
      <c r="AA150" s="87" t="s">
        <v>1648</v>
      </c>
      <c r="AB150" s="87" t="s">
        <v>1648</v>
      </c>
      <c r="AC150" s="244">
        <v>9</v>
      </c>
      <c r="AD150" s="87" t="s">
        <v>1648</v>
      </c>
      <c r="AE150" s="244">
        <v>5002</v>
      </c>
      <c r="AF150" s="87" t="s">
        <v>1651</v>
      </c>
      <c r="AG150" s="87" t="s">
        <v>1648</v>
      </c>
      <c r="AH150" s="87" t="s">
        <v>1648</v>
      </c>
      <c r="AI150" s="87" t="s">
        <v>1649</v>
      </c>
      <c r="AJ150" s="87" t="s">
        <v>1649</v>
      </c>
    </row>
    <row r="151" spans="1:36" ht="13.5" thickBot="1" x14ac:dyDescent="0.25">
      <c r="A151" s="48" t="s">
        <v>31</v>
      </c>
      <c r="B151" s="347" t="s">
        <v>30</v>
      </c>
      <c r="C151" s="48" t="s">
        <v>3077</v>
      </c>
      <c r="D151" s="48" t="s">
        <v>25</v>
      </c>
      <c r="E151" s="48" t="s">
        <v>894</v>
      </c>
      <c r="F151" s="87" t="s">
        <v>1648</v>
      </c>
      <c r="G151" s="87" t="s">
        <v>1648</v>
      </c>
      <c r="H151" s="244">
        <v>130</v>
      </c>
      <c r="I151" s="87" t="s">
        <v>1649</v>
      </c>
      <c r="J151" s="244">
        <v>2650</v>
      </c>
      <c r="K151" s="87" t="s">
        <v>1649</v>
      </c>
      <c r="L151" s="87" t="s">
        <v>1649</v>
      </c>
      <c r="M151" s="244">
        <v>0</v>
      </c>
      <c r="N151" s="87" t="s">
        <v>1649</v>
      </c>
      <c r="O151" s="87" t="s">
        <v>1648</v>
      </c>
      <c r="P151" s="87" t="s">
        <v>1649</v>
      </c>
      <c r="Q151" s="244">
        <v>5</v>
      </c>
      <c r="R151" s="244">
        <v>65</v>
      </c>
      <c r="S151" s="244">
        <v>0</v>
      </c>
      <c r="T151" s="244">
        <v>0</v>
      </c>
      <c r="U151" s="244">
        <v>0</v>
      </c>
      <c r="V151" s="244">
        <v>0</v>
      </c>
      <c r="W151" s="244">
        <v>0</v>
      </c>
      <c r="X151" s="244">
        <v>0</v>
      </c>
      <c r="Y151" s="244">
        <v>0</v>
      </c>
      <c r="Z151" s="244">
        <v>0</v>
      </c>
      <c r="AA151" s="87" t="s">
        <v>1648</v>
      </c>
      <c r="AB151" s="87" t="s">
        <v>1649</v>
      </c>
      <c r="AC151" s="244">
        <v>0</v>
      </c>
      <c r="AD151" s="87" t="s">
        <v>1648</v>
      </c>
      <c r="AE151" s="244">
        <v>1422</v>
      </c>
      <c r="AF151" s="87" t="s">
        <v>1651</v>
      </c>
      <c r="AG151" s="87" t="s">
        <v>1648</v>
      </c>
      <c r="AH151" s="87" t="s">
        <v>1648</v>
      </c>
      <c r="AI151" s="87" t="s">
        <v>1649</v>
      </c>
      <c r="AJ151" s="87" t="s">
        <v>1648</v>
      </c>
    </row>
    <row r="152" spans="1:36" ht="13.5" thickBot="1" x14ac:dyDescent="0.25">
      <c r="A152" s="48" t="s">
        <v>43</v>
      </c>
      <c r="B152" s="347" t="s">
        <v>42</v>
      </c>
      <c r="C152" s="48" t="s">
        <v>3058</v>
      </c>
      <c r="D152" s="48" t="s">
        <v>25</v>
      </c>
      <c r="E152" s="48" t="s">
        <v>890</v>
      </c>
      <c r="F152" s="87" t="s">
        <v>1648</v>
      </c>
      <c r="G152" s="87" t="s">
        <v>1648</v>
      </c>
      <c r="H152" s="244">
        <v>400</v>
      </c>
      <c r="I152" s="87" t="s">
        <v>1648</v>
      </c>
      <c r="J152" s="244">
        <v>560</v>
      </c>
      <c r="K152" s="87" t="s">
        <v>1649</v>
      </c>
      <c r="L152" s="87" t="s">
        <v>1648</v>
      </c>
      <c r="M152" s="244">
        <v>200000</v>
      </c>
      <c r="N152" s="87" t="s">
        <v>1648</v>
      </c>
      <c r="O152" s="87" t="s">
        <v>1648</v>
      </c>
      <c r="P152" s="87" t="s">
        <v>1648</v>
      </c>
      <c r="Q152" s="244">
        <v>88</v>
      </c>
      <c r="R152" s="244">
        <v>706</v>
      </c>
      <c r="S152" s="244">
        <v>0</v>
      </c>
      <c r="T152" s="244">
        <v>0</v>
      </c>
      <c r="U152" s="244">
        <v>0</v>
      </c>
      <c r="V152" s="244">
        <v>0</v>
      </c>
      <c r="W152" s="244">
        <v>0</v>
      </c>
      <c r="X152" s="244">
        <v>0</v>
      </c>
      <c r="Y152" s="244">
        <v>88</v>
      </c>
      <c r="Z152" s="244">
        <v>12123</v>
      </c>
      <c r="AA152" s="87" t="s">
        <v>1648</v>
      </c>
      <c r="AB152" s="87" t="s">
        <v>1648</v>
      </c>
      <c r="AC152" s="244">
        <v>73</v>
      </c>
      <c r="AD152" s="87" t="s">
        <v>1648</v>
      </c>
      <c r="AE152" s="244">
        <v>12521</v>
      </c>
      <c r="AF152" s="87" t="s">
        <v>1650</v>
      </c>
      <c r="AG152" s="87" t="s">
        <v>1648</v>
      </c>
      <c r="AH152" s="87" t="s">
        <v>1649</v>
      </c>
      <c r="AI152" s="87" t="s">
        <v>1649</v>
      </c>
      <c r="AJ152" s="87" t="s">
        <v>1649</v>
      </c>
    </row>
    <row r="153" spans="1:36" ht="13.5" thickBot="1" x14ac:dyDescent="0.25">
      <c r="A153" s="48" t="s">
        <v>51</v>
      </c>
      <c r="B153" s="347" t="s">
        <v>50</v>
      </c>
      <c r="C153" s="48" t="s">
        <v>3074</v>
      </c>
      <c r="D153" s="48" t="s">
        <v>25</v>
      </c>
      <c r="E153" s="48" t="s">
        <v>890</v>
      </c>
      <c r="F153" s="87" t="s">
        <v>1648</v>
      </c>
      <c r="G153" s="87" t="s">
        <v>1648</v>
      </c>
      <c r="H153" s="244">
        <v>816</v>
      </c>
      <c r="I153" s="87" t="s">
        <v>1649</v>
      </c>
      <c r="J153" s="244">
        <v>0</v>
      </c>
      <c r="K153" s="87" t="s">
        <v>1649</v>
      </c>
      <c r="L153" s="87" t="s">
        <v>1649</v>
      </c>
      <c r="M153" s="244">
        <v>0</v>
      </c>
      <c r="N153" s="87" t="s">
        <v>1648</v>
      </c>
      <c r="O153" s="87" t="s">
        <v>1648</v>
      </c>
      <c r="P153" s="87" t="s">
        <v>1648</v>
      </c>
      <c r="Q153" s="244">
        <v>171</v>
      </c>
      <c r="R153" s="244">
        <v>1723</v>
      </c>
      <c r="S153" s="244">
        <v>6</v>
      </c>
      <c r="T153" s="244">
        <v>117</v>
      </c>
      <c r="U153" s="244">
        <v>0</v>
      </c>
      <c r="V153" s="244">
        <v>0</v>
      </c>
      <c r="W153" s="244">
        <v>0</v>
      </c>
      <c r="X153" s="244">
        <v>0</v>
      </c>
      <c r="Y153" s="244">
        <v>171</v>
      </c>
      <c r="Z153" s="244">
        <v>4233</v>
      </c>
      <c r="AA153" s="87" t="s">
        <v>1648</v>
      </c>
      <c r="AB153" s="87" t="s">
        <v>1649</v>
      </c>
      <c r="AC153" s="244">
        <v>0</v>
      </c>
      <c r="AD153" s="87" t="s">
        <v>1648</v>
      </c>
      <c r="AE153" s="244">
        <v>3319</v>
      </c>
      <c r="AF153" s="87" t="s">
        <v>1651</v>
      </c>
      <c r="AG153" s="87" t="s">
        <v>1648</v>
      </c>
      <c r="AH153" s="87" t="s">
        <v>1648</v>
      </c>
      <c r="AI153" s="87" t="s">
        <v>1649</v>
      </c>
      <c r="AJ153" s="87" t="s">
        <v>1648</v>
      </c>
    </row>
    <row r="154" spans="1:36" ht="13.5" thickBot="1" x14ac:dyDescent="0.25">
      <c r="A154" s="48" t="s">
        <v>66</v>
      </c>
      <c r="B154" s="347" t="s">
        <v>65</v>
      </c>
      <c r="C154" s="48" t="s">
        <v>3072</v>
      </c>
      <c r="D154" s="48" t="s">
        <v>25</v>
      </c>
      <c r="E154" s="48" t="s">
        <v>1949</v>
      </c>
      <c r="F154" s="87" t="s">
        <v>1648</v>
      </c>
      <c r="G154" s="87" t="s">
        <v>1648</v>
      </c>
      <c r="H154" s="244">
        <v>301</v>
      </c>
      <c r="I154" s="87" t="s">
        <v>1649</v>
      </c>
      <c r="J154" s="244">
        <v>0</v>
      </c>
      <c r="K154" s="87" t="s">
        <v>1649</v>
      </c>
      <c r="L154" s="87" t="s">
        <v>1649</v>
      </c>
      <c r="M154" s="244">
        <v>0</v>
      </c>
      <c r="N154" s="87" t="s">
        <v>1648</v>
      </c>
      <c r="O154" s="87" t="s">
        <v>1648</v>
      </c>
      <c r="P154" s="87" t="s">
        <v>1648</v>
      </c>
      <c r="Q154" s="244">
        <v>0</v>
      </c>
      <c r="R154" s="244">
        <v>0</v>
      </c>
      <c r="S154" s="244">
        <v>1</v>
      </c>
      <c r="T154" s="244">
        <v>15</v>
      </c>
      <c r="U154" s="244">
        <v>0</v>
      </c>
      <c r="V154" s="244">
        <v>0</v>
      </c>
      <c r="W154" s="244">
        <v>0</v>
      </c>
      <c r="X154" s="244">
        <v>0</v>
      </c>
      <c r="Y154" s="244">
        <v>2</v>
      </c>
      <c r="Z154" s="244">
        <v>293</v>
      </c>
      <c r="AA154" s="87" t="s">
        <v>1648</v>
      </c>
      <c r="AB154" s="87" t="s">
        <v>1649</v>
      </c>
      <c r="AC154" s="244">
        <v>0</v>
      </c>
      <c r="AD154" s="87" t="s">
        <v>1648</v>
      </c>
      <c r="AE154" s="244">
        <v>600</v>
      </c>
      <c r="AF154" s="87" t="s">
        <v>1650</v>
      </c>
      <c r="AG154" s="87" t="s">
        <v>1648</v>
      </c>
      <c r="AH154" s="87" t="s">
        <v>1649</v>
      </c>
      <c r="AI154" s="87" t="s">
        <v>1649</v>
      </c>
      <c r="AJ154" s="87" t="s">
        <v>1648</v>
      </c>
    </row>
    <row r="155" spans="1:36" ht="13.5" thickBot="1" x14ac:dyDescent="0.25">
      <c r="A155" s="48" t="s">
        <v>76</v>
      </c>
      <c r="B155" s="347" t="s">
        <v>75</v>
      </c>
      <c r="C155" s="48" t="s">
        <v>3061</v>
      </c>
      <c r="D155" s="48" t="s">
        <v>25</v>
      </c>
      <c r="E155" s="48" t="s">
        <v>1919</v>
      </c>
      <c r="F155" s="87" t="s">
        <v>1648</v>
      </c>
      <c r="G155" s="87" t="s">
        <v>1648</v>
      </c>
      <c r="H155" s="244">
        <v>455</v>
      </c>
      <c r="I155" s="87" t="s">
        <v>1648</v>
      </c>
      <c r="J155" s="244">
        <v>1404</v>
      </c>
      <c r="K155" s="87" t="s">
        <v>1649</v>
      </c>
      <c r="L155" s="87" t="s">
        <v>1648</v>
      </c>
      <c r="M155" s="244">
        <v>13000</v>
      </c>
      <c r="N155" s="87" t="s">
        <v>1648</v>
      </c>
      <c r="O155" s="87" t="s">
        <v>1648</v>
      </c>
      <c r="P155" s="87" t="s">
        <v>1649</v>
      </c>
      <c r="Q155" s="244">
        <v>12</v>
      </c>
      <c r="R155" s="244">
        <v>12</v>
      </c>
      <c r="S155" s="244">
        <v>0</v>
      </c>
      <c r="T155" s="244">
        <v>0</v>
      </c>
      <c r="U155" s="244">
        <v>4</v>
      </c>
      <c r="V155" s="244">
        <v>20</v>
      </c>
      <c r="W155" s="244">
        <v>24</v>
      </c>
      <c r="X155" s="244">
        <v>50</v>
      </c>
      <c r="Y155" s="244">
        <v>0</v>
      </c>
      <c r="Z155" s="244">
        <v>0</v>
      </c>
      <c r="AA155" s="87" t="s">
        <v>1648</v>
      </c>
      <c r="AB155" s="87" t="s">
        <v>1648</v>
      </c>
      <c r="AC155" s="244">
        <v>210</v>
      </c>
      <c r="AD155" s="87" t="s">
        <v>1648</v>
      </c>
      <c r="AE155" s="244">
        <v>489</v>
      </c>
      <c r="AF155" s="87" t="s">
        <v>1651</v>
      </c>
      <c r="AG155" s="87" t="s">
        <v>1648</v>
      </c>
      <c r="AH155" s="87" t="s">
        <v>1649</v>
      </c>
      <c r="AI155" s="87" t="s">
        <v>1649</v>
      </c>
      <c r="AJ155" s="87" t="s">
        <v>1648</v>
      </c>
    </row>
    <row r="156" spans="1:36" ht="13.5" thickBot="1" x14ac:dyDescent="0.25">
      <c r="A156" s="48" t="s">
        <v>96</v>
      </c>
      <c r="B156" s="347" t="s">
        <v>95</v>
      </c>
      <c r="C156" s="48" t="s">
        <v>3072</v>
      </c>
      <c r="D156" s="48" t="s">
        <v>25</v>
      </c>
      <c r="E156" s="48" t="s">
        <v>1949</v>
      </c>
      <c r="F156" s="87" t="s">
        <v>1648</v>
      </c>
      <c r="G156" s="87" t="s">
        <v>1648</v>
      </c>
      <c r="H156" s="244">
        <v>9</v>
      </c>
      <c r="I156" s="87" t="s">
        <v>1649</v>
      </c>
      <c r="J156" s="244">
        <v>0</v>
      </c>
      <c r="K156" s="87" t="s">
        <v>1649</v>
      </c>
      <c r="L156" s="87" t="s">
        <v>1648</v>
      </c>
      <c r="M156" s="244">
        <v>8000</v>
      </c>
      <c r="N156" s="87" t="s">
        <v>1648</v>
      </c>
      <c r="O156" s="87" t="s">
        <v>1648</v>
      </c>
      <c r="P156" s="87" t="s">
        <v>1648</v>
      </c>
      <c r="Q156" s="244">
        <v>40</v>
      </c>
      <c r="R156" s="244">
        <v>179</v>
      </c>
      <c r="S156" s="244">
        <v>0</v>
      </c>
      <c r="T156" s="244">
        <v>0</v>
      </c>
      <c r="U156" s="244">
        <v>7</v>
      </c>
      <c r="V156" s="244">
        <v>43</v>
      </c>
      <c r="W156" s="244">
        <v>1</v>
      </c>
      <c r="X156" s="244">
        <v>4</v>
      </c>
      <c r="Y156" s="244">
        <v>20</v>
      </c>
      <c r="Z156" s="244">
        <v>745</v>
      </c>
      <c r="AA156" s="87" t="s">
        <v>1648</v>
      </c>
      <c r="AB156" s="87" t="s">
        <v>1648</v>
      </c>
      <c r="AC156" s="244">
        <v>21</v>
      </c>
      <c r="AD156" s="87" t="s">
        <v>1648</v>
      </c>
      <c r="AE156" s="244">
        <v>10709</v>
      </c>
      <c r="AF156" s="87" t="s">
        <v>1650</v>
      </c>
      <c r="AG156" s="87" t="s">
        <v>1648</v>
      </c>
      <c r="AH156" s="87" t="s">
        <v>1648</v>
      </c>
      <c r="AI156" s="87" t="s">
        <v>1649</v>
      </c>
      <c r="AJ156" s="87" t="s">
        <v>1649</v>
      </c>
    </row>
    <row r="157" spans="1:36" ht="13.5" thickBot="1" x14ac:dyDescent="0.25">
      <c r="A157" s="48" t="s">
        <v>106</v>
      </c>
      <c r="B157" s="347" t="s">
        <v>105</v>
      </c>
      <c r="C157" s="48" t="s">
        <v>3098</v>
      </c>
      <c r="D157" s="48" t="s">
        <v>25</v>
      </c>
      <c r="E157" s="48" t="s">
        <v>890</v>
      </c>
      <c r="F157" s="87" t="s">
        <v>1648</v>
      </c>
      <c r="G157" s="87" t="s">
        <v>1648</v>
      </c>
      <c r="H157" s="244">
        <v>336</v>
      </c>
      <c r="I157" s="87" t="s">
        <v>1648</v>
      </c>
      <c r="J157" s="244">
        <v>1683</v>
      </c>
      <c r="K157" s="87" t="s">
        <v>1649</v>
      </c>
      <c r="L157" s="87" t="s">
        <v>1649</v>
      </c>
      <c r="M157" s="244">
        <v>0</v>
      </c>
      <c r="N157" s="87" t="s">
        <v>1649</v>
      </c>
      <c r="O157" s="87" t="s">
        <v>1648</v>
      </c>
      <c r="P157" s="87" t="s">
        <v>1648</v>
      </c>
      <c r="Q157" s="244">
        <v>1</v>
      </c>
      <c r="R157" s="244">
        <v>12</v>
      </c>
      <c r="S157" s="244">
        <v>0</v>
      </c>
      <c r="T157" s="244">
        <v>0</v>
      </c>
      <c r="U157" s="244">
        <v>1</v>
      </c>
      <c r="V157" s="244">
        <v>23</v>
      </c>
      <c r="W157" s="244">
        <v>0</v>
      </c>
      <c r="X157" s="244">
        <v>0</v>
      </c>
      <c r="Y157" s="244">
        <v>14</v>
      </c>
      <c r="Z157" s="244">
        <v>141</v>
      </c>
      <c r="AA157" s="87" t="s">
        <v>1648</v>
      </c>
      <c r="AB157" s="87" t="s">
        <v>1649</v>
      </c>
      <c r="AC157" s="244">
        <v>0</v>
      </c>
      <c r="AD157" s="87" t="s">
        <v>1648</v>
      </c>
      <c r="AE157" s="244">
        <v>12300</v>
      </c>
      <c r="AF157" s="87" t="s">
        <v>1650</v>
      </c>
      <c r="AG157" s="87" t="s">
        <v>1648</v>
      </c>
      <c r="AH157" s="87" t="s">
        <v>1648</v>
      </c>
      <c r="AI157" s="87" t="s">
        <v>1649</v>
      </c>
      <c r="AJ157" s="87" t="s">
        <v>1648</v>
      </c>
    </row>
    <row r="158" spans="1:36" ht="13.5" thickBot="1" x14ac:dyDescent="0.25">
      <c r="A158" s="48" t="s">
        <v>110</v>
      </c>
      <c r="B158" s="347" t="s">
        <v>109</v>
      </c>
      <c r="C158" s="48" t="s">
        <v>3077</v>
      </c>
      <c r="D158" s="48" t="s">
        <v>25</v>
      </c>
      <c r="E158" s="48" t="s">
        <v>1949</v>
      </c>
      <c r="F158" s="87" t="s">
        <v>1648</v>
      </c>
      <c r="G158" s="87" t="s">
        <v>1648</v>
      </c>
      <c r="H158" s="244">
        <v>40</v>
      </c>
      <c r="I158" s="87" t="s">
        <v>1648</v>
      </c>
      <c r="J158" s="244">
        <v>20</v>
      </c>
      <c r="K158" s="87" t="s">
        <v>1649</v>
      </c>
      <c r="L158" s="87" t="s">
        <v>1649</v>
      </c>
      <c r="M158" s="244">
        <v>0</v>
      </c>
      <c r="N158" s="87" t="s">
        <v>1648</v>
      </c>
      <c r="O158" s="87" t="s">
        <v>1648</v>
      </c>
      <c r="P158" s="87" t="s">
        <v>1648</v>
      </c>
      <c r="Q158" s="244">
        <v>10</v>
      </c>
      <c r="R158" s="244">
        <v>150</v>
      </c>
      <c r="S158" s="244">
        <v>0</v>
      </c>
      <c r="T158" s="244">
        <v>0</v>
      </c>
      <c r="U158" s="244">
        <v>0</v>
      </c>
      <c r="V158" s="244">
        <v>0</v>
      </c>
      <c r="W158" s="244">
        <v>0</v>
      </c>
      <c r="X158" s="244">
        <v>0</v>
      </c>
      <c r="Y158" s="244">
        <v>0</v>
      </c>
      <c r="Z158" s="244">
        <v>0</v>
      </c>
      <c r="AA158" s="87" t="s">
        <v>1648</v>
      </c>
      <c r="AB158" s="87" t="s">
        <v>1648</v>
      </c>
      <c r="AC158" s="244">
        <v>312</v>
      </c>
      <c r="AD158" s="87" t="s">
        <v>1648</v>
      </c>
      <c r="AE158" s="244">
        <v>485</v>
      </c>
      <c r="AF158" s="87" t="s">
        <v>1650</v>
      </c>
      <c r="AG158" s="87" t="s">
        <v>1648</v>
      </c>
      <c r="AH158" s="87" t="s">
        <v>1648</v>
      </c>
      <c r="AI158" s="87" t="s">
        <v>1649</v>
      </c>
      <c r="AJ158" s="87" t="s">
        <v>1648</v>
      </c>
    </row>
    <row r="159" spans="1:36" ht="13.5" thickBot="1" x14ac:dyDescent="0.25">
      <c r="A159" s="48" t="s">
        <v>128</v>
      </c>
      <c r="B159" s="347" t="s">
        <v>127</v>
      </c>
      <c r="C159" s="48" t="s">
        <v>3072</v>
      </c>
      <c r="D159" s="48" t="s">
        <v>25</v>
      </c>
      <c r="E159" s="48" t="s">
        <v>1949</v>
      </c>
      <c r="F159" s="87" t="s">
        <v>1648</v>
      </c>
      <c r="G159" s="87" t="s">
        <v>1648</v>
      </c>
      <c r="H159" s="244">
        <v>472</v>
      </c>
      <c r="I159" s="87" t="s">
        <v>1649</v>
      </c>
      <c r="J159" s="244">
        <v>0</v>
      </c>
      <c r="K159" s="87" t="s">
        <v>1649</v>
      </c>
      <c r="L159" s="87" t="s">
        <v>1649</v>
      </c>
      <c r="M159" s="244">
        <v>0</v>
      </c>
      <c r="N159" s="87" t="s">
        <v>1649</v>
      </c>
      <c r="O159" s="87" t="s">
        <v>1648</v>
      </c>
      <c r="P159" s="87" t="s">
        <v>1648</v>
      </c>
      <c r="Q159" s="244">
        <v>41</v>
      </c>
      <c r="R159" s="244">
        <v>102</v>
      </c>
      <c r="S159" s="244">
        <v>22</v>
      </c>
      <c r="T159" s="244">
        <v>36</v>
      </c>
      <c r="U159" s="244">
        <v>19</v>
      </c>
      <c r="V159" s="244">
        <v>132</v>
      </c>
      <c r="W159" s="244">
        <v>0</v>
      </c>
      <c r="X159" s="244">
        <v>0</v>
      </c>
      <c r="Y159" s="244">
        <v>21</v>
      </c>
      <c r="Z159" s="244">
        <v>2056</v>
      </c>
      <c r="AA159" s="87" t="s">
        <v>1648</v>
      </c>
      <c r="AB159" s="87" t="s">
        <v>1648</v>
      </c>
      <c r="AC159" s="244">
        <v>15</v>
      </c>
      <c r="AD159" s="87" t="s">
        <v>1648</v>
      </c>
      <c r="AE159" s="244">
        <v>1123</v>
      </c>
      <c r="AF159" s="87" t="s">
        <v>1650</v>
      </c>
      <c r="AG159" s="87" t="s">
        <v>1648</v>
      </c>
      <c r="AH159" s="87" t="s">
        <v>1648</v>
      </c>
      <c r="AI159" s="87" t="s">
        <v>1649</v>
      </c>
      <c r="AJ159" s="87" t="s">
        <v>1648</v>
      </c>
    </row>
    <row r="160" spans="1:36" ht="13.5" thickBot="1" x14ac:dyDescent="0.25">
      <c r="A160" s="48" t="s">
        <v>130</v>
      </c>
      <c r="B160" s="347" t="s">
        <v>129</v>
      </c>
      <c r="C160" s="48" t="s">
        <v>3058</v>
      </c>
      <c r="D160" s="48" t="s">
        <v>25</v>
      </c>
      <c r="E160" s="48" t="s">
        <v>1949</v>
      </c>
      <c r="F160" s="87" t="s">
        <v>1648</v>
      </c>
      <c r="G160" s="87" t="s">
        <v>1648</v>
      </c>
      <c r="H160" s="244">
        <v>260</v>
      </c>
      <c r="I160" s="87" t="s">
        <v>1649</v>
      </c>
      <c r="J160" s="244">
        <v>26</v>
      </c>
      <c r="K160" s="87" t="s">
        <v>1649</v>
      </c>
      <c r="L160" s="87" t="s">
        <v>1649</v>
      </c>
      <c r="M160" s="244">
        <v>0</v>
      </c>
      <c r="N160" s="87" t="s">
        <v>1648</v>
      </c>
      <c r="O160" s="87" t="s">
        <v>1648</v>
      </c>
      <c r="P160" s="87" t="s">
        <v>1648</v>
      </c>
      <c r="Q160" s="244">
        <v>0</v>
      </c>
      <c r="R160" s="244">
        <v>0</v>
      </c>
      <c r="S160" s="244">
        <v>0</v>
      </c>
      <c r="T160" s="244">
        <v>0</v>
      </c>
      <c r="U160" s="244">
        <v>4</v>
      </c>
      <c r="V160" s="244">
        <v>23</v>
      </c>
      <c r="W160" s="244">
        <v>0</v>
      </c>
      <c r="X160" s="244">
        <v>0</v>
      </c>
      <c r="Y160" s="244">
        <v>4</v>
      </c>
      <c r="Z160" s="244">
        <v>1509</v>
      </c>
      <c r="AA160" s="87" t="s">
        <v>1648</v>
      </c>
      <c r="AB160" s="87" t="s">
        <v>1649</v>
      </c>
      <c r="AC160" s="87" t="s">
        <v>1660</v>
      </c>
      <c r="AD160" s="87" t="s">
        <v>1648</v>
      </c>
      <c r="AE160" s="244">
        <v>2248</v>
      </c>
      <c r="AF160" s="87" t="s">
        <v>1650</v>
      </c>
      <c r="AG160" s="87" t="s">
        <v>1648</v>
      </c>
      <c r="AH160" s="87" t="s">
        <v>1648</v>
      </c>
      <c r="AI160" s="87" t="s">
        <v>1649</v>
      </c>
      <c r="AJ160" s="87" t="s">
        <v>1648</v>
      </c>
    </row>
    <row r="161" spans="1:36" ht="13.5" thickBot="1" x14ac:dyDescent="0.25">
      <c r="A161" s="48" t="s">
        <v>136</v>
      </c>
      <c r="B161" s="347" t="s">
        <v>135</v>
      </c>
      <c r="C161" s="48" t="s">
        <v>3053</v>
      </c>
      <c r="D161" s="48" t="s">
        <v>25</v>
      </c>
      <c r="E161" s="48" t="s">
        <v>2133</v>
      </c>
      <c r="F161" s="87" t="s">
        <v>1648</v>
      </c>
      <c r="G161" s="87" t="s">
        <v>1648</v>
      </c>
      <c r="H161" s="244">
        <v>480</v>
      </c>
      <c r="I161" s="87" t="s">
        <v>1649</v>
      </c>
      <c r="J161" s="244">
        <v>0</v>
      </c>
      <c r="K161" s="87" t="s">
        <v>1649</v>
      </c>
      <c r="L161" s="87" t="s">
        <v>1649</v>
      </c>
      <c r="M161" s="244">
        <v>0</v>
      </c>
      <c r="N161" s="87" t="s">
        <v>1648</v>
      </c>
      <c r="O161" s="87" t="s">
        <v>1649</v>
      </c>
      <c r="P161" s="87" t="s">
        <v>1649</v>
      </c>
      <c r="Q161" s="244">
        <v>0</v>
      </c>
      <c r="R161" s="244">
        <v>0</v>
      </c>
      <c r="S161" s="244">
        <v>0</v>
      </c>
      <c r="T161" s="244">
        <v>0</v>
      </c>
      <c r="U161" s="244">
        <v>0</v>
      </c>
      <c r="V161" s="244">
        <v>0</v>
      </c>
      <c r="W161" s="244">
        <v>0</v>
      </c>
      <c r="X161" s="244">
        <v>0</v>
      </c>
      <c r="Y161" s="244">
        <v>0</v>
      </c>
      <c r="Z161" s="244">
        <v>0</v>
      </c>
      <c r="AA161" s="87" t="s">
        <v>1648</v>
      </c>
      <c r="AB161" s="87" t="s">
        <v>1649</v>
      </c>
      <c r="AC161" s="87" t="s">
        <v>1660</v>
      </c>
      <c r="AD161" s="87" t="s">
        <v>1648</v>
      </c>
      <c r="AE161" s="244">
        <v>2327</v>
      </c>
      <c r="AF161" s="87" t="s">
        <v>1650</v>
      </c>
      <c r="AG161" s="87" t="s">
        <v>1649</v>
      </c>
      <c r="AH161" s="87" t="s">
        <v>1648</v>
      </c>
      <c r="AI161" s="87" t="s">
        <v>1649</v>
      </c>
      <c r="AJ161" s="87" t="s">
        <v>1648</v>
      </c>
    </row>
    <row r="162" spans="1:36" ht="13.5" thickBot="1" x14ac:dyDescent="0.25">
      <c r="A162" s="48" t="s">
        <v>144</v>
      </c>
      <c r="B162" s="347" t="s">
        <v>143</v>
      </c>
      <c r="C162" s="48" t="s">
        <v>3058</v>
      </c>
      <c r="D162" s="48" t="s">
        <v>25</v>
      </c>
      <c r="E162" s="48" t="s">
        <v>1949</v>
      </c>
      <c r="F162" s="87" t="s">
        <v>1648</v>
      </c>
      <c r="G162" s="87" t="s">
        <v>1648</v>
      </c>
      <c r="H162" s="244">
        <v>50</v>
      </c>
      <c r="I162" s="87" t="s">
        <v>1649</v>
      </c>
      <c r="J162" s="244">
        <v>0</v>
      </c>
      <c r="K162" s="87" t="s">
        <v>1649</v>
      </c>
      <c r="L162" s="87" t="s">
        <v>1649</v>
      </c>
      <c r="M162" s="244">
        <v>0</v>
      </c>
      <c r="N162" s="87" t="s">
        <v>1649</v>
      </c>
      <c r="O162" s="87" t="s">
        <v>1648</v>
      </c>
      <c r="P162" s="87" t="s">
        <v>1648</v>
      </c>
      <c r="Q162" s="244">
        <v>0</v>
      </c>
      <c r="R162" s="244">
        <v>0</v>
      </c>
      <c r="S162" s="244">
        <v>0</v>
      </c>
      <c r="T162" s="244">
        <v>0</v>
      </c>
      <c r="U162" s="244">
        <v>15</v>
      </c>
      <c r="V162" s="244">
        <v>173</v>
      </c>
      <c r="W162" s="244">
        <v>0</v>
      </c>
      <c r="X162" s="244">
        <v>0</v>
      </c>
      <c r="Y162" s="244">
        <v>12</v>
      </c>
      <c r="Z162" s="244">
        <v>473</v>
      </c>
      <c r="AA162" s="87" t="s">
        <v>1648</v>
      </c>
      <c r="AB162" s="87" t="s">
        <v>1648</v>
      </c>
      <c r="AC162" s="244">
        <v>71</v>
      </c>
      <c r="AD162" s="87" t="s">
        <v>1648</v>
      </c>
      <c r="AE162" s="244">
        <v>4309</v>
      </c>
      <c r="AF162" s="87" t="s">
        <v>1650</v>
      </c>
      <c r="AG162" s="87" t="s">
        <v>1648</v>
      </c>
      <c r="AH162" s="87" t="s">
        <v>1648</v>
      </c>
      <c r="AI162" s="87" t="s">
        <v>1649</v>
      </c>
      <c r="AJ162" s="87" t="s">
        <v>1648</v>
      </c>
    </row>
    <row r="163" spans="1:36" ht="13.5" thickBot="1" x14ac:dyDescent="0.25">
      <c r="A163" s="48" t="s">
        <v>148</v>
      </c>
      <c r="B163" s="347" t="s">
        <v>147</v>
      </c>
      <c r="C163" s="48" t="s">
        <v>3074</v>
      </c>
      <c r="D163" s="48" t="s">
        <v>25</v>
      </c>
      <c r="E163" s="48" t="s">
        <v>890</v>
      </c>
      <c r="F163" s="87" t="s">
        <v>1648</v>
      </c>
      <c r="G163" s="87" t="s">
        <v>1648</v>
      </c>
      <c r="H163" s="244">
        <v>490</v>
      </c>
      <c r="I163" s="87" t="s">
        <v>1648</v>
      </c>
      <c r="J163" s="244">
        <v>1547</v>
      </c>
      <c r="K163" s="87" t="s">
        <v>1649</v>
      </c>
      <c r="L163" s="87" t="s">
        <v>1649</v>
      </c>
      <c r="M163" s="244">
        <v>0</v>
      </c>
      <c r="N163" s="87" t="s">
        <v>1648</v>
      </c>
      <c r="O163" s="87" t="s">
        <v>1649</v>
      </c>
      <c r="P163" s="87" t="s">
        <v>1649</v>
      </c>
      <c r="Q163" s="244">
        <v>0</v>
      </c>
      <c r="R163" s="244">
        <v>0</v>
      </c>
      <c r="S163" s="244">
        <v>0</v>
      </c>
      <c r="T163" s="244">
        <v>0</v>
      </c>
      <c r="U163" s="244">
        <v>0</v>
      </c>
      <c r="V163" s="244">
        <v>0</v>
      </c>
      <c r="W163" s="244">
        <v>0</v>
      </c>
      <c r="X163" s="244">
        <v>0</v>
      </c>
      <c r="Y163" s="244">
        <v>0</v>
      </c>
      <c r="Z163" s="244">
        <v>0</v>
      </c>
      <c r="AA163" s="87" t="s">
        <v>1648</v>
      </c>
      <c r="AB163" s="87" t="s">
        <v>1649</v>
      </c>
      <c r="AC163" s="244">
        <v>0</v>
      </c>
      <c r="AD163" s="87" t="s">
        <v>1648</v>
      </c>
      <c r="AE163" s="244">
        <v>7500</v>
      </c>
      <c r="AF163" s="87" t="s">
        <v>1650</v>
      </c>
      <c r="AG163" s="87" t="s">
        <v>1648</v>
      </c>
      <c r="AH163" s="87" t="s">
        <v>1648</v>
      </c>
      <c r="AI163" s="87" t="s">
        <v>1649</v>
      </c>
      <c r="AJ163" s="87" t="s">
        <v>1648</v>
      </c>
    </row>
    <row r="164" spans="1:36" ht="13.5" thickBot="1" x14ac:dyDescent="0.25">
      <c r="A164" s="48" t="s">
        <v>152</v>
      </c>
      <c r="B164" s="347" t="s">
        <v>151</v>
      </c>
      <c r="C164" s="48" t="s">
        <v>3074</v>
      </c>
      <c r="D164" s="48" t="s">
        <v>25</v>
      </c>
      <c r="E164" s="48" t="s">
        <v>890</v>
      </c>
      <c r="F164" s="87" t="s">
        <v>1648</v>
      </c>
      <c r="G164" s="87" t="s">
        <v>1648</v>
      </c>
      <c r="H164" s="244">
        <v>43</v>
      </c>
      <c r="I164" s="87" t="s">
        <v>1648</v>
      </c>
      <c r="J164" s="244">
        <v>1040</v>
      </c>
      <c r="K164" s="87" t="s">
        <v>1648</v>
      </c>
      <c r="L164" s="87" t="s">
        <v>1648</v>
      </c>
      <c r="M164" s="244">
        <v>0</v>
      </c>
      <c r="N164" s="87" t="s">
        <v>1648</v>
      </c>
      <c r="O164" s="87" t="s">
        <v>1648</v>
      </c>
      <c r="P164" s="87" t="s">
        <v>1648</v>
      </c>
      <c r="Q164" s="244">
        <v>6</v>
      </c>
      <c r="R164" s="244">
        <v>111</v>
      </c>
      <c r="S164" s="244">
        <v>1</v>
      </c>
      <c r="T164" s="244">
        <v>24</v>
      </c>
      <c r="U164" s="244">
        <v>11</v>
      </c>
      <c r="V164" s="244">
        <v>65</v>
      </c>
      <c r="W164" s="244">
        <v>1</v>
      </c>
      <c r="X164" s="244">
        <v>43</v>
      </c>
      <c r="Y164" s="244">
        <v>101</v>
      </c>
      <c r="Z164" s="244">
        <v>36408</v>
      </c>
      <c r="AA164" s="87" t="s">
        <v>1648</v>
      </c>
      <c r="AB164" s="87" t="s">
        <v>1649</v>
      </c>
      <c r="AC164" s="244">
        <v>0</v>
      </c>
      <c r="AD164" s="87" t="s">
        <v>1648</v>
      </c>
      <c r="AE164" s="244">
        <v>5500</v>
      </c>
      <c r="AF164" s="87" t="s">
        <v>1650</v>
      </c>
      <c r="AG164" s="87" t="s">
        <v>1648</v>
      </c>
      <c r="AH164" s="87" t="s">
        <v>1648</v>
      </c>
      <c r="AI164" s="87" t="s">
        <v>1649</v>
      </c>
      <c r="AJ164" s="87" t="s">
        <v>1649</v>
      </c>
    </row>
    <row r="165" spans="1:36" ht="13.5" thickBot="1" x14ac:dyDescent="0.25">
      <c r="A165" s="48" t="s">
        <v>154</v>
      </c>
      <c r="B165" s="347" t="s">
        <v>153</v>
      </c>
      <c r="C165" s="48" t="s">
        <v>3144</v>
      </c>
      <c r="D165" s="48" t="s">
        <v>25</v>
      </c>
      <c r="E165" s="48" t="s">
        <v>890</v>
      </c>
      <c r="F165" s="87" t="s">
        <v>1648</v>
      </c>
      <c r="G165" s="87" t="s">
        <v>1648</v>
      </c>
      <c r="H165" s="244">
        <v>84</v>
      </c>
      <c r="I165" s="87" t="s">
        <v>1649</v>
      </c>
      <c r="J165" s="244">
        <v>0</v>
      </c>
      <c r="K165" s="87" t="s">
        <v>1649</v>
      </c>
      <c r="L165" s="87" t="s">
        <v>1649</v>
      </c>
      <c r="M165" s="244">
        <v>0</v>
      </c>
      <c r="N165" s="87" t="s">
        <v>1649</v>
      </c>
      <c r="O165" s="87" t="s">
        <v>1649</v>
      </c>
      <c r="P165" s="87" t="s">
        <v>1649</v>
      </c>
      <c r="Q165" s="244">
        <v>0</v>
      </c>
      <c r="R165" s="244">
        <v>0</v>
      </c>
      <c r="S165" s="244">
        <v>0</v>
      </c>
      <c r="T165" s="244">
        <v>0</v>
      </c>
      <c r="U165" s="244">
        <v>0</v>
      </c>
      <c r="V165" s="244">
        <v>0</v>
      </c>
      <c r="W165" s="244">
        <v>0</v>
      </c>
      <c r="X165" s="244">
        <v>0</v>
      </c>
      <c r="Y165" s="244">
        <v>0</v>
      </c>
      <c r="Z165" s="244">
        <v>0</v>
      </c>
      <c r="AA165" s="87" t="s">
        <v>1648</v>
      </c>
      <c r="AB165" s="87" t="s">
        <v>1648</v>
      </c>
      <c r="AC165" s="244">
        <v>5</v>
      </c>
      <c r="AD165" s="87" t="s">
        <v>1648</v>
      </c>
      <c r="AE165" s="244">
        <v>4056</v>
      </c>
      <c r="AF165" s="87" t="s">
        <v>1650</v>
      </c>
      <c r="AG165" s="87" t="s">
        <v>1648</v>
      </c>
      <c r="AH165" s="87" t="s">
        <v>1648</v>
      </c>
      <c r="AI165" s="87" t="s">
        <v>1649</v>
      </c>
      <c r="AJ165" s="87" t="s">
        <v>1649</v>
      </c>
    </row>
    <row r="166" spans="1:36" ht="13.5" thickBot="1" x14ac:dyDescent="0.25">
      <c r="A166" s="48" t="s">
        <v>160</v>
      </c>
      <c r="B166" s="347" t="s">
        <v>159</v>
      </c>
      <c r="C166" s="48" t="s">
        <v>3077</v>
      </c>
      <c r="D166" s="48" t="s">
        <v>25</v>
      </c>
      <c r="E166" s="48" t="s">
        <v>1949</v>
      </c>
      <c r="F166" s="87" t="s">
        <v>1648</v>
      </c>
      <c r="G166" s="87" t="s">
        <v>1648</v>
      </c>
      <c r="H166" s="244">
        <v>375</v>
      </c>
      <c r="I166" s="87" t="s">
        <v>1648</v>
      </c>
      <c r="J166" s="244">
        <v>500</v>
      </c>
      <c r="K166" s="87" t="s">
        <v>1649</v>
      </c>
      <c r="L166" s="87" t="s">
        <v>1648</v>
      </c>
      <c r="M166" s="244">
        <v>35000</v>
      </c>
      <c r="N166" s="87" t="s">
        <v>1648</v>
      </c>
      <c r="O166" s="87" t="s">
        <v>1648</v>
      </c>
      <c r="P166" s="87" t="s">
        <v>1648</v>
      </c>
      <c r="Q166" s="244">
        <v>0</v>
      </c>
      <c r="R166" s="244">
        <v>0</v>
      </c>
      <c r="S166" s="244">
        <v>0</v>
      </c>
      <c r="T166" s="244">
        <v>0</v>
      </c>
      <c r="U166" s="244">
        <v>0</v>
      </c>
      <c r="V166" s="244">
        <v>0</v>
      </c>
      <c r="W166" s="244">
        <v>12</v>
      </c>
      <c r="X166" s="244">
        <v>0</v>
      </c>
      <c r="Y166" s="244">
        <v>38</v>
      </c>
      <c r="Z166" s="244">
        <v>8427</v>
      </c>
      <c r="AA166" s="87" t="s">
        <v>1648</v>
      </c>
      <c r="AB166" s="87" t="s">
        <v>1648</v>
      </c>
      <c r="AC166" s="244">
        <v>10</v>
      </c>
      <c r="AD166" s="87" t="s">
        <v>1648</v>
      </c>
      <c r="AE166" s="244">
        <v>5629</v>
      </c>
      <c r="AF166" s="87" t="s">
        <v>1650</v>
      </c>
      <c r="AG166" s="87" t="s">
        <v>1648</v>
      </c>
      <c r="AH166" s="87" t="s">
        <v>1648</v>
      </c>
      <c r="AI166" s="87" t="s">
        <v>1649</v>
      </c>
      <c r="AJ166" s="87" t="s">
        <v>1648</v>
      </c>
    </row>
    <row r="167" spans="1:36" ht="13.5" thickBot="1" x14ac:dyDescent="0.25">
      <c r="A167" s="48" t="s">
        <v>196</v>
      </c>
      <c r="B167" s="347" t="s">
        <v>195</v>
      </c>
      <c r="C167" s="48" t="s">
        <v>3074</v>
      </c>
      <c r="D167" s="48" t="s">
        <v>25</v>
      </c>
      <c r="E167" s="48" t="s">
        <v>1949</v>
      </c>
      <c r="F167" s="87" t="s">
        <v>1648</v>
      </c>
      <c r="G167" s="87" t="s">
        <v>1648</v>
      </c>
      <c r="H167" s="244">
        <v>23</v>
      </c>
      <c r="I167" s="87" t="s">
        <v>1648</v>
      </c>
      <c r="J167" s="244">
        <v>240</v>
      </c>
      <c r="K167" s="87" t="s">
        <v>1649</v>
      </c>
      <c r="L167" s="87" t="s">
        <v>1648</v>
      </c>
      <c r="M167" s="244">
        <v>4500</v>
      </c>
      <c r="N167" s="87" t="s">
        <v>1648</v>
      </c>
      <c r="O167" s="87" t="s">
        <v>1649</v>
      </c>
      <c r="P167" s="87" t="s">
        <v>1648</v>
      </c>
      <c r="Q167" s="244">
        <v>0</v>
      </c>
      <c r="R167" s="244">
        <v>0</v>
      </c>
      <c r="S167" s="244">
        <v>0</v>
      </c>
      <c r="T167" s="244">
        <v>0</v>
      </c>
      <c r="U167" s="244">
        <v>0</v>
      </c>
      <c r="V167" s="244">
        <v>0</v>
      </c>
      <c r="W167" s="244">
        <v>0</v>
      </c>
      <c r="X167" s="244">
        <v>0</v>
      </c>
      <c r="Y167" s="244">
        <v>0</v>
      </c>
      <c r="Z167" s="244">
        <v>0</v>
      </c>
      <c r="AA167" s="87" t="s">
        <v>1648</v>
      </c>
      <c r="AB167" s="87" t="s">
        <v>1648</v>
      </c>
      <c r="AC167" s="244">
        <v>55</v>
      </c>
      <c r="AD167" s="87" t="s">
        <v>1649</v>
      </c>
      <c r="AE167" s="244">
        <v>10900</v>
      </c>
      <c r="AF167" s="87" t="s">
        <v>1650</v>
      </c>
      <c r="AG167" s="87" t="s">
        <v>1648</v>
      </c>
      <c r="AH167" s="87" t="s">
        <v>1648</v>
      </c>
      <c r="AI167" s="87" t="s">
        <v>1649</v>
      </c>
      <c r="AJ167" s="87" t="s">
        <v>1648</v>
      </c>
    </row>
    <row r="168" spans="1:36" ht="13.5" thickBot="1" x14ac:dyDescent="0.25">
      <c r="A168" s="48" t="s">
        <v>220</v>
      </c>
      <c r="B168" s="347" t="s">
        <v>219</v>
      </c>
      <c r="C168" s="48" t="s">
        <v>3061</v>
      </c>
      <c r="D168" s="48" t="s">
        <v>25</v>
      </c>
      <c r="E168" s="48" t="s">
        <v>1949</v>
      </c>
      <c r="F168" s="87" t="s">
        <v>1648</v>
      </c>
      <c r="G168" s="87" t="s">
        <v>1649</v>
      </c>
      <c r="H168" s="244">
        <v>0</v>
      </c>
      <c r="I168" s="87" t="s">
        <v>1648</v>
      </c>
      <c r="J168" s="244">
        <v>216</v>
      </c>
      <c r="K168" s="87" t="s">
        <v>1649</v>
      </c>
      <c r="L168" s="87" t="s">
        <v>1649</v>
      </c>
      <c r="M168" s="244">
        <v>0</v>
      </c>
      <c r="N168" s="87" t="s">
        <v>1649</v>
      </c>
      <c r="O168" s="87" t="s">
        <v>1649</v>
      </c>
      <c r="P168" s="87" t="s">
        <v>1649</v>
      </c>
      <c r="Q168" s="244">
        <v>0</v>
      </c>
      <c r="R168" s="244">
        <v>0</v>
      </c>
      <c r="S168" s="244">
        <v>0</v>
      </c>
      <c r="T168" s="244">
        <v>0</v>
      </c>
      <c r="U168" s="244">
        <v>0</v>
      </c>
      <c r="V168" s="244">
        <v>0</v>
      </c>
      <c r="W168" s="244">
        <v>0</v>
      </c>
      <c r="X168" s="244">
        <v>0</v>
      </c>
      <c r="Y168" s="244">
        <v>0</v>
      </c>
      <c r="Z168" s="244">
        <v>0</v>
      </c>
      <c r="AA168" s="87" t="s">
        <v>1649</v>
      </c>
      <c r="AB168" s="87" t="s">
        <v>1649</v>
      </c>
      <c r="AC168" s="244">
        <v>0</v>
      </c>
      <c r="AD168" s="87" t="s">
        <v>1649</v>
      </c>
      <c r="AE168" s="244">
        <v>8000</v>
      </c>
      <c r="AF168" s="87" t="s">
        <v>1650</v>
      </c>
      <c r="AG168" s="87" t="s">
        <v>1648</v>
      </c>
      <c r="AH168" s="87" t="s">
        <v>1648</v>
      </c>
      <c r="AI168" s="87" t="s">
        <v>1649</v>
      </c>
      <c r="AJ168" s="87" t="s">
        <v>1648</v>
      </c>
    </row>
    <row r="169" spans="1:36" ht="13.5" thickBot="1" x14ac:dyDescent="0.25">
      <c r="A169" s="48" t="s">
        <v>232</v>
      </c>
      <c r="B169" s="347" t="s">
        <v>231</v>
      </c>
      <c r="C169" s="48" t="s">
        <v>3074</v>
      </c>
      <c r="D169" s="48" t="s">
        <v>25</v>
      </c>
      <c r="E169" s="48" t="s">
        <v>1919</v>
      </c>
      <c r="F169" s="87" t="s">
        <v>1648</v>
      </c>
      <c r="G169" s="87" t="s">
        <v>1648</v>
      </c>
      <c r="H169" s="244">
        <v>352</v>
      </c>
      <c r="I169" s="87" t="s">
        <v>1649</v>
      </c>
      <c r="J169" s="244">
        <v>0</v>
      </c>
      <c r="K169" s="87" t="s">
        <v>1649</v>
      </c>
      <c r="L169" s="87" t="s">
        <v>1649</v>
      </c>
      <c r="M169" s="244">
        <v>0</v>
      </c>
      <c r="N169" s="87" t="s">
        <v>1648</v>
      </c>
      <c r="O169" s="87" t="s">
        <v>1648</v>
      </c>
      <c r="P169" s="87" t="s">
        <v>1648</v>
      </c>
      <c r="Q169" s="244">
        <v>14</v>
      </c>
      <c r="R169" s="244">
        <v>57</v>
      </c>
      <c r="S169" s="244">
        <v>0</v>
      </c>
      <c r="T169" s="244">
        <v>0</v>
      </c>
      <c r="U169" s="244">
        <v>0</v>
      </c>
      <c r="V169" s="244">
        <v>0</v>
      </c>
      <c r="W169" s="244">
        <v>0</v>
      </c>
      <c r="X169" s="244">
        <v>0</v>
      </c>
      <c r="Y169" s="244">
        <v>32</v>
      </c>
      <c r="Z169" s="244">
        <v>157</v>
      </c>
      <c r="AA169" s="87" t="s">
        <v>1648</v>
      </c>
      <c r="AB169" s="87" t="s">
        <v>1648</v>
      </c>
      <c r="AC169" s="244">
        <v>2</v>
      </c>
      <c r="AD169" s="87" t="s">
        <v>1648</v>
      </c>
      <c r="AE169" s="244">
        <v>8971</v>
      </c>
      <c r="AF169" s="87" t="s">
        <v>1650</v>
      </c>
      <c r="AG169" s="87" t="s">
        <v>1649</v>
      </c>
      <c r="AH169" s="87" t="s">
        <v>1648</v>
      </c>
      <c r="AI169" s="87" t="s">
        <v>1649</v>
      </c>
      <c r="AJ169" s="87" t="s">
        <v>1648</v>
      </c>
    </row>
    <row r="170" spans="1:36" ht="13.5" thickBot="1" x14ac:dyDescent="0.25">
      <c r="A170" s="48" t="s">
        <v>246</v>
      </c>
      <c r="B170" s="347" t="s">
        <v>245</v>
      </c>
      <c r="C170" s="48" t="s">
        <v>3072</v>
      </c>
      <c r="D170" s="48" t="s">
        <v>25</v>
      </c>
      <c r="E170" s="48" t="s">
        <v>1949</v>
      </c>
      <c r="F170" s="87" t="s">
        <v>1648</v>
      </c>
      <c r="G170" s="87" t="s">
        <v>1648</v>
      </c>
      <c r="H170" s="244">
        <v>588</v>
      </c>
      <c r="I170" s="87" t="s">
        <v>1649</v>
      </c>
      <c r="J170" s="244">
        <v>0</v>
      </c>
      <c r="K170" s="87" t="s">
        <v>1649</v>
      </c>
      <c r="L170" s="87" t="s">
        <v>1649</v>
      </c>
      <c r="M170" s="244">
        <v>0</v>
      </c>
      <c r="N170" s="87" t="s">
        <v>1649</v>
      </c>
      <c r="O170" s="87" t="s">
        <v>1649</v>
      </c>
      <c r="P170" s="87" t="s">
        <v>1649</v>
      </c>
      <c r="Q170" s="244">
        <v>0</v>
      </c>
      <c r="R170" s="244">
        <v>0</v>
      </c>
      <c r="S170" s="244">
        <v>0</v>
      </c>
      <c r="T170" s="244">
        <v>0</v>
      </c>
      <c r="U170" s="244">
        <v>0</v>
      </c>
      <c r="V170" s="244">
        <v>0</v>
      </c>
      <c r="W170" s="244">
        <v>0</v>
      </c>
      <c r="X170" s="244">
        <v>0</v>
      </c>
      <c r="Y170" s="244">
        <v>0</v>
      </c>
      <c r="Z170" s="244">
        <v>0</v>
      </c>
      <c r="AA170" s="87" t="s">
        <v>1648</v>
      </c>
      <c r="AB170" s="87" t="s">
        <v>1648</v>
      </c>
      <c r="AC170" s="244">
        <v>3</v>
      </c>
      <c r="AD170" s="87" t="s">
        <v>1648</v>
      </c>
      <c r="AE170" s="244">
        <v>100</v>
      </c>
      <c r="AF170" s="87" t="s">
        <v>1650</v>
      </c>
      <c r="AG170" s="87" t="s">
        <v>1648</v>
      </c>
      <c r="AH170" s="87" t="s">
        <v>1648</v>
      </c>
      <c r="AI170" s="87" t="s">
        <v>1649</v>
      </c>
      <c r="AJ170" s="87" t="s">
        <v>1648</v>
      </c>
    </row>
    <row r="171" spans="1:36" ht="13.5" thickBot="1" x14ac:dyDescent="0.25">
      <c r="A171" s="48" t="s">
        <v>250</v>
      </c>
      <c r="B171" s="347" t="s">
        <v>249</v>
      </c>
      <c r="C171" s="48" t="s">
        <v>3098</v>
      </c>
      <c r="D171" s="48" t="s">
        <v>25</v>
      </c>
      <c r="E171" s="48" t="s">
        <v>890</v>
      </c>
      <c r="F171" s="87" t="s">
        <v>1648</v>
      </c>
      <c r="G171" s="87" t="s">
        <v>1649</v>
      </c>
      <c r="H171" s="244">
        <v>0</v>
      </c>
      <c r="I171" s="87" t="s">
        <v>1649</v>
      </c>
      <c r="J171" s="244">
        <v>61</v>
      </c>
      <c r="K171" s="87" t="s">
        <v>1649</v>
      </c>
      <c r="L171" s="87" t="s">
        <v>1649</v>
      </c>
      <c r="M171" s="244">
        <v>0</v>
      </c>
      <c r="N171" s="87" t="s">
        <v>1649</v>
      </c>
      <c r="O171" s="87" t="s">
        <v>1649</v>
      </c>
      <c r="P171" s="87" t="s">
        <v>1649</v>
      </c>
      <c r="Q171" s="244">
        <v>0</v>
      </c>
      <c r="R171" s="244">
        <v>0</v>
      </c>
      <c r="S171" s="244">
        <v>0</v>
      </c>
      <c r="T171" s="244">
        <v>0</v>
      </c>
      <c r="U171" s="244">
        <v>0</v>
      </c>
      <c r="V171" s="244">
        <v>0</v>
      </c>
      <c r="W171" s="244">
        <v>0</v>
      </c>
      <c r="X171" s="244">
        <v>0</v>
      </c>
      <c r="Y171" s="244">
        <v>0</v>
      </c>
      <c r="Z171" s="244">
        <v>0</v>
      </c>
      <c r="AA171" s="87" t="s">
        <v>1649</v>
      </c>
      <c r="AB171" s="87" t="s">
        <v>1649</v>
      </c>
      <c r="AC171" s="244">
        <v>0</v>
      </c>
      <c r="AD171" s="87" t="s">
        <v>1649</v>
      </c>
      <c r="AE171" s="244">
        <v>2000</v>
      </c>
      <c r="AF171" s="87" t="s">
        <v>1651</v>
      </c>
      <c r="AG171" s="87" t="s">
        <v>1648</v>
      </c>
      <c r="AH171" s="87" t="s">
        <v>1649</v>
      </c>
      <c r="AI171" s="87" t="s">
        <v>1649</v>
      </c>
      <c r="AJ171" s="87" t="s">
        <v>1649</v>
      </c>
    </row>
    <row r="172" spans="1:36" ht="13.5" thickBot="1" x14ac:dyDescent="0.25">
      <c r="A172" s="48" t="s">
        <v>262</v>
      </c>
      <c r="B172" s="347" t="s">
        <v>261</v>
      </c>
      <c r="C172" s="48" t="s">
        <v>3059</v>
      </c>
      <c r="D172" s="48" t="s">
        <v>25</v>
      </c>
      <c r="E172" s="48" t="s">
        <v>1949</v>
      </c>
      <c r="F172" s="87" t="s">
        <v>1648</v>
      </c>
      <c r="G172" s="87" t="s">
        <v>1649</v>
      </c>
      <c r="H172" s="244">
        <v>0</v>
      </c>
      <c r="I172" s="87" t="s">
        <v>1648</v>
      </c>
      <c r="J172" s="244">
        <v>429</v>
      </c>
      <c r="K172" s="87" t="s">
        <v>1649</v>
      </c>
      <c r="L172" s="87" t="s">
        <v>1648</v>
      </c>
      <c r="M172" s="244">
        <v>3000</v>
      </c>
      <c r="N172" s="87" t="s">
        <v>1649</v>
      </c>
      <c r="O172" s="87" t="s">
        <v>1649</v>
      </c>
      <c r="P172" s="87" t="s">
        <v>1649</v>
      </c>
      <c r="Q172" s="244">
        <v>0</v>
      </c>
      <c r="R172" s="244">
        <v>0</v>
      </c>
      <c r="S172" s="244">
        <v>0</v>
      </c>
      <c r="T172" s="244">
        <v>0</v>
      </c>
      <c r="U172" s="244">
        <v>0</v>
      </c>
      <c r="V172" s="244">
        <v>0</v>
      </c>
      <c r="W172" s="244">
        <v>0</v>
      </c>
      <c r="X172" s="244">
        <v>0</v>
      </c>
      <c r="Y172" s="244">
        <v>0</v>
      </c>
      <c r="Z172" s="244">
        <v>0</v>
      </c>
      <c r="AA172" s="87" t="s">
        <v>1649</v>
      </c>
      <c r="AB172" s="87" t="s">
        <v>1649</v>
      </c>
      <c r="AC172" s="244">
        <v>0</v>
      </c>
      <c r="AD172" s="87" t="s">
        <v>1649</v>
      </c>
      <c r="AE172" s="244">
        <v>6521</v>
      </c>
      <c r="AF172" s="87" t="s">
        <v>1650</v>
      </c>
      <c r="AG172" s="87" t="s">
        <v>1648</v>
      </c>
      <c r="AH172" s="87" t="s">
        <v>1648</v>
      </c>
      <c r="AI172" s="87" t="s">
        <v>1649</v>
      </c>
      <c r="AJ172" s="87" t="s">
        <v>1649</v>
      </c>
    </row>
    <row r="173" spans="1:36" ht="13.5" thickBot="1" x14ac:dyDescent="0.25">
      <c r="A173" s="48" t="s">
        <v>284</v>
      </c>
      <c r="B173" s="347" t="s">
        <v>283</v>
      </c>
      <c r="C173" s="48" t="s">
        <v>3058</v>
      </c>
      <c r="D173" s="48" t="s">
        <v>25</v>
      </c>
      <c r="E173" s="48" t="s">
        <v>1949</v>
      </c>
      <c r="F173" s="87" t="s">
        <v>1648</v>
      </c>
      <c r="G173" s="87" t="s">
        <v>1648</v>
      </c>
      <c r="H173" s="244">
        <v>100</v>
      </c>
      <c r="I173" s="87" t="s">
        <v>1649</v>
      </c>
      <c r="J173" s="244">
        <v>112</v>
      </c>
      <c r="K173" s="87" t="s">
        <v>1649</v>
      </c>
      <c r="L173" s="87" t="s">
        <v>1649</v>
      </c>
      <c r="M173" s="244">
        <v>0</v>
      </c>
      <c r="N173" s="87" t="s">
        <v>1648</v>
      </c>
      <c r="O173" s="87" t="s">
        <v>1648</v>
      </c>
      <c r="P173" s="87" t="s">
        <v>1648</v>
      </c>
      <c r="Q173" s="244">
        <v>9</v>
      </c>
      <c r="R173" s="244">
        <v>160</v>
      </c>
      <c r="S173" s="244">
        <v>0</v>
      </c>
      <c r="T173" s="244">
        <v>0</v>
      </c>
      <c r="U173" s="244">
        <v>13</v>
      </c>
      <c r="V173" s="244">
        <v>191</v>
      </c>
      <c r="W173" s="244">
        <v>40</v>
      </c>
      <c r="X173" s="244">
        <v>1239</v>
      </c>
      <c r="Y173" s="244">
        <v>0</v>
      </c>
      <c r="Z173" s="244">
        <v>0</v>
      </c>
      <c r="AA173" s="87" t="s">
        <v>1648</v>
      </c>
      <c r="AB173" s="87" t="s">
        <v>1648</v>
      </c>
      <c r="AC173" s="244">
        <v>10</v>
      </c>
      <c r="AD173" s="87" t="s">
        <v>1648</v>
      </c>
      <c r="AE173" s="244">
        <v>15000</v>
      </c>
      <c r="AF173" s="87" t="s">
        <v>1650</v>
      </c>
      <c r="AG173" s="87" t="s">
        <v>1648</v>
      </c>
      <c r="AH173" s="87" t="s">
        <v>1648</v>
      </c>
      <c r="AI173" s="87" t="s">
        <v>1649</v>
      </c>
      <c r="AJ173" s="87" t="s">
        <v>1648</v>
      </c>
    </row>
    <row r="174" spans="1:36" ht="13.5" thickBot="1" x14ac:dyDescent="0.25">
      <c r="A174" s="48" t="s">
        <v>296</v>
      </c>
      <c r="B174" s="347" t="s">
        <v>295</v>
      </c>
      <c r="C174" s="48" t="s">
        <v>3072</v>
      </c>
      <c r="D174" s="48" t="s">
        <v>25</v>
      </c>
      <c r="E174" s="48" t="s">
        <v>1949</v>
      </c>
      <c r="F174" s="87" t="s">
        <v>1648</v>
      </c>
      <c r="G174" s="87" t="s">
        <v>1648</v>
      </c>
      <c r="H174" s="244">
        <v>29</v>
      </c>
      <c r="I174" s="87" t="s">
        <v>1649</v>
      </c>
      <c r="J174" s="244">
        <v>0</v>
      </c>
      <c r="K174" s="87" t="s">
        <v>1649</v>
      </c>
      <c r="L174" s="87" t="s">
        <v>1649</v>
      </c>
      <c r="M174" s="244">
        <v>0</v>
      </c>
      <c r="N174" s="87" t="s">
        <v>1648</v>
      </c>
      <c r="O174" s="87" t="s">
        <v>1649</v>
      </c>
      <c r="P174" s="87" t="s">
        <v>1649</v>
      </c>
      <c r="Q174" s="244">
        <v>0</v>
      </c>
      <c r="R174" s="244">
        <v>0</v>
      </c>
      <c r="S174" s="244">
        <v>0</v>
      </c>
      <c r="T174" s="244">
        <v>0</v>
      </c>
      <c r="U174" s="244">
        <v>0</v>
      </c>
      <c r="V174" s="244">
        <v>0</v>
      </c>
      <c r="W174" s="244">
        <v>0</v>
      </c>
      <c r="X174" s="244">
        <v>0</v>
      </c>
      <c r="Y174" s="244">
        <v>0</v>
      </c>
      <c r="Z174" s="244">
        <v>0</v>
      </c>
      <c r="AA174" s="87" t="s">
        <v>1648</v>
      </c>
      <c r="AB174" s="87" t="s">
        <v>1649</v>
      </c>
      <c r="AC174" s="87" t="s">
        <v>1660</v>
      </c>
      <c r="AD174" s="87" t="s">
        <v>1649</v>
      </c>
      <c r="AE174" s="244">
        <v>1040</v>
      </c>
      <c r="AF174" s="87" t="s">
        <v>1650</v>
      </c>
      <c r="AG174" s="87" t="s">
        <v>1648</v>
      </c>
      <c r="AH174" s="87" t="s">
        <v>1648</v>
      </c>
      <c r="AI174" s="87" t="s">
        <v>1649</v>
      </c>
      <c r="AJ174" s="87" t="s">
        <v>1648</v>
      </c>
    </row>
    <row r="175" spans="1:36" ht="13.5" thickBot="1" x14ac:dyDescent="0.25">
      <c r="A175" s="48" t="s">
        <v>302</v>
      </c>
      <c r="B175" s="347" t="s">
        <v>301</v>
      </c>
      <c r="C175" s="48" t="s">
        <v>3074</v>
      </c>
      <c r="D175" s="48" t="s">
        <v>25</v>
      </c>
      <c r="E175" s="48" t="s">
        <v>890</v>
      </c>
      <c r="F175" s="87" t="s">
        <v>1648</v>
      </c>
      <c r="G175" s="87" t="s">
        <v>1648</v>
      </c>
      <c r="H175" s="244">
        <v>1034</v>
      </c>
      <c r="I175" s="87" t="s">
        <v>1649</v>
      </c>
      <c r="J175" s="244">
        <v>130</v>
      </c>
      <c r="K175" s="87" t="s">
        <v>1649</v>
      </c>
      <c r="L175" s="87" t="s">
        <v>1649</v>
      </c>
      <c r="M175" s="244">
        <v>0</v>
      </c>
      <c r="N175" s="87" t="s">
        <v>1648</v>
      </c>
      <c r="O175" s="87" t="s">
        <v>1648</v>
      </c>
      <c r="P175" s="87" t="s">
        <v>1648</v>
      </c>
      <c r="Q175" s="244">
        <v>13</v>
      </c>
      <c r="R175" s="244">
        <v>612</v>
      </c>
      <c r="S175" s="244">
        <v>0</v>
      </c>
      <c r="T175" s="244">
        <v>0</v>
      </c>
      <c r="U175" s="244">
        <v>0</v>
      </c>
      <c r="V175" s="244">
        <v>0</v>
      </c>
      <c r="W175" s="244">
        <v>0</v>
      </c>
      <c r="X175" s="244">
        <v>0</v>
      </c>
      <c r="Y175" s="244">
        <v>28</v>
      </c>
      <c r="Z175" s="244">
        <v>1468</v>
      </c>
      <c r="AA175" s="87" t="s">
        <v>1648</v>
      </c>
      <c r="AB175" s="87" t="s">
        <v>1648</v>
      </c>
      <c r="AC175" s="87" t="s">
        <v>1660</v>
      </c>
      <c r="AD175" s="87" t="s">
        <v>1649</v>
      </c>
      <c r="AE175" s="244">
        <v>3478</v>
      </c>
      <c r="AF175" s="87" t="s">
        <v>1650</v>
      </c>
      <c r="AG175" s="87" t="s">
        <v>1648</v>
      </c>
      <c r="AH175" s="87" t="s">
        <v>1648</v>
      </c>
      <c r="AI175" s="87" t="s">
        <v>1649</v>
      </c>
      <c r="AJ175" s="87" t="s">
        <v>1648</v>
      </c>
    </row>
    <row r="176" spans="1:36" ht="13.5" thickBot="1" x14ac:dyDescent="0.25">
      <c r="A176" s="48" t="s">
        <v>310</v>
      </c>
      <c r="B176" s="347" t="s">
        <v>309</v>
      </c>
      <c r="C176" s="48" t="s">
        <v>3053</v>
      </c>
      <c r="D176" s="48" t="s">
        <v>25</v>
      </c>
      <c r="E176" s="48" t="s">
        <v>2133</v>
      </c>
      <c r="F176" s="87" t="s">
        <v>1648</v>
      </c>
      <c r="G176" s="87" t="s">
        <v>1649</v>
      </c>
      <c r="H176" s="244">
        <v>112</v>
      </c>
      <c r="I176" s="87" t="s">
        <v>1648</v>
      </c>
      <c r="J176" s="244">
        <v>192</v>
      </c>
      <c r="K176" s="87" t="s">
        <v>1649</v>
      </c>
      <c r="L176" s="87" t="s">
        <v>1648</v>
      </c>
      <c r="M176" s="244">
        <v>900</v>
      </c>
      <c r="N176" s="87" t="s">
        <v>1648</v>
      </c>
      <c r="O176" s="87" t="s">
        <v>1649</v>
      </c>
      <c r="P176" s="87" t="s">
        <v>1649</v>
      </c>
      <c r="Q176" s="244">
        <v>0</v>
      </c>
      <c r="R176" s="244">
        <v>0</v>
      </c>
      <c r="S176" s="244">
        <v>0</v>
      </c>
      <c r="T176" s="244">
        <v>0</v>
      </c>
      <c r="U176" s="244">
        <v>0</v>
      </c>
      <c r="V176" s="244">
        <v>0</v>
      </c>
      <c r="W176" s="244">
        <v>0</v>
      </c>
      <c r="X176" s="244">
        <v>0</v>
      </c>
      <c r="Y176" s="244">
        <v>0</v>
      </c>
      <c r="Z176" s="244">
        <v>0</v>
      </c>
      <c r="AA176" s="87" t="s">
        <v>1648</v>
      </c>
      <c r="AB176" s="87" t="s">
        <v>1648</v>
      </c>
      <c r="AC176" s="244">
        <v>16</v>
      </c>
      <c r="AD176" s="87" t="s">
        <v>1649</v>
      </c>
      <c r="AE176" s="244">
        <v>3660</v>
      </c>
      <c r="AF176" s="87" t="s">
        <v>1650</v>
      </c>
      <c r="AG176" s="87" t="s">
        <v>1649</v>
      </c>
      <c r="AH176" s="87" t="s">
        <v>1649</v>
      </c>
      <c r="AI176" s="87" t="s">
        <v>1649</v>
      </c>
      <c r="AJ176" s="87" t="s">
        <v>1648</v>
      </c>
    </row>
    <row r="177" spans="1:36" ht="13.5" thickBot="1" x14ac:dyDescent="0.25">
      <c r="A177" s="48" t="s">
        <v>324</v>
      </c>
      <c r="B177" s="347" t="s">
        <v>323</v>
      </c>
      <c r="C177" s="48" t="s">
        <v>3074</v>
      </c>
      <c r="D177" s="48" t="s">
        <v>25</v>
      </c>
      <c r="E177" s="48" t="s">
        <v>1949</v>
      </c>
      <c r="F177" s="87" t="s">
        <v>1648</v>
      </c>
      <c r="G177" s="87" t="s">
        <v>1649</v>
      </c>
      <c r="H177" s="244">
        <v>0</v>
      </c>
      <c r="I177" s="87" t="s">
        <v>1649</v>
      </c>
      <c r="J177" s="244">
        <v>0</v>
      </c>
      <c r="K177" s="87" t="s">
        <v>1649</v>
      </c>
      <c r="L177" s="87" t="s">
        <v>1649</v>
      </c>
      <c r="M177" s="244">
        <v>0</v>
      </c>
      <c r="N177" s="87" t="s">
        <v>1649</v>
      </c>
      <c r="O177" s="87" t="s">
        <v>1648</v>
      </c>
      <c r="P177" s="87" t="s">
        <v>1648</v>
      </c>
      <c r="Q177" s="244">
        <v>0</v>
      </c>
      <c r="R177" s="244">
        <v>0</v>
      </c>
      <c r="S177" s="244">
        <v>0</v>
      </c>
      <c r="T177" s="244">
        <v>0</v>
      </c>
      <c r="U177" s="244">
        <v>0</v>
      </c>
      <c r="V177" s="244">
        <v>0</v>
      </c>
      <c r="W177" s="244">
        <v>0</v>
      </c>
      <c r="X177" s="244">
        <v>0</v>
      </c>
      <c r="Y177" s="244">
        <v>8</v>
      </c>
      <c r="Z177" s="244">
        <v>713</v>
      </c>
      <c r="AA177" s="87" t="s">
        <v>1649</v>
      </c>
      <c r="AB177" s="87" t="s">
        <v>1649</v>
      </c>
      <c r="AC177" s="244">
        <v>0</v>
      </c>
      <c r="AD177" s="87" t="s">
        <v>1649</v>
      </c>
      <c r="AE177" s="244">
        <v>15587</v>
      </c>
      <c r="AF177" s="87" t="s">
        <v>1650</v>
      </c>
      <c r="AG177" s="87" t="s">
        <v>1648</v>
      </c>
      <c r="AH177" s="87" t="s">
        <v>1648</v>
      </c>
      <c r="AI177" s="87" t="s">
        <v>1649</v>
      </c>
      <c r="AJ177" s="87" t="s">
        <v>1649</v>
      </c>
    </row>
    <row r="178" spans="1:36" ht="13.5" thickBot="1" x14ac:dyDescent="0.25">
      <c r="A178" s="48" t="s">
        <v>342</v>
      </c>
      <c r="B178" s="347" t="s">
        <v>341</v>
      </c>
      <c r="C178" s="48" t="s">
        <v>3059</v>
      </c>
      <c r="D178" s="48" t="s">
        <v>25</v>
      </c>
      <c r="E178" s="48" t="s">
        <v>1949</v>
      </c>
      <c r="F178" s="87" t="s">
        <v>1648</v>
      </c>
      <c r="G178" s="87" t="s">
        <v>1648</v>
      </c>
      <c r="H178" s="244">
        <v>24</v>
      </c>
      <c r="I178" s="87" t="s">
        <v>1649</v>
      </c>
      <c r="J178" s="244">
        <v>0</v>
      </c>
      <c r="K178" s="87" t="s">
        <v>1649</v>
      </c>
      <c r="L178" s="87" t="s">
        <v>1649</v>
      </c>
      <c r="M178" s="244">
        <v>0</v>
      </c>
      <c r="N178" s="87" t="s">
        <v>1648</v>
      </c>
      <c r="O178" s="87" t="s">
        <v>1649</v>
      </c>
      <c r="P178" s="87" t="s">
        <v>1649</v>
      </c>
      <c r="Q178" s="244">
        <v>0</v>
      </c>
      <c r="R178" s="244">
        <v>0</v>
      </c>
      <c r="S178" s="244">
        <v>0</v>
      </c>
      <c r="T178" s="244">
        <v>0</v>
      </c>
      <c r="U178" s="244">
        <v>0</v>
      </c>
      <c r="V178" s="244">
        <v>0</v>
      </c>
      <c r="W178" s="244">
        <v>0</v>
      </c>
      <c r="X178" s="244">
        <v>0</v>
      </c>
      <c r="Y178" s="244">
        <v>0</v>
      </c>
      <c r="Z178" s="244">
        <v>0</v>
      </c>
      <c r="AA178" s="87" t="s">
        <v>1648</v>
      </c>
      <c r="AB178" s="87" t="s">
        <v>1648</v>
      </c>
      <c r="AC178" s="244">
        <v>6</v>
      </c>
      <c r="AD178" s="87" t="s">
        <v>1648</v>
      </c>
      <c r="AE178" s="244">
        <v>1000</v>
      </c>
      <c r="AF178" s="87" t="s">
        <v>1650</v>
      </c>
      <c r="AG178" s="87" t="s">
        <v>1648</v>
      </c>
      <c r="AH178" s="87" t="s">
        <v>1648</v>
      </c>
      <c r="AI178" s="87" t="s">
        <v>1649</v>
      </c>
      <c r="AJ178" s="87" t="s">
        <v>1648</v>
      </c>
    </row>
    <row r="179" spans="1:36" ht="13.5" thickBot="1" x14ac:dyDescent="0.25">
      <c r="A179" s="48" t="s">
        <v>350</v>
      </c>
      <c r="B179" s="347" t="s">
        <v>349</v>
      </c>
      <c r="C179" s="48" t="s">
        <v>3074</v>
      </c>
      <c r="D179" s="48" t="s">
        <v>25</v>
      </c>
      <c r="E179" s="48" t="s">
        <v>1949</v>
      </c>
      <c r="F179" s="87" t="s">
        <v>1648</v>
      </c>
      <c r="G179" s="87" t="s">
        <v>1648</v>
      </c>
      <c r="H179" s="244">
        <v>704</v>
      </c>
      <c r="I179" s="87" t="s">
        <v>1649</v>
      </c>
      <c r="J179" s="244">
        <v>15</v>
      </c>
      <c r="K179" s="87" t="s">
        <v>1649</v>
      </c>
      <c r="L179" s="87" t="s">
        <v>1648</v>
      </c>
      <c r="M179" s="244">
        <v>13000</v>
      </c>
      <c r="N179" s="87" t="s">
        <v>1648</v>
      </c>
      <c r="O179" s="87" t="s">
        <v>1648</v>
      </c>
      <c r="P179" s="87" t="s">
        <v>1648</v>
      </c>
      <c r="Q179" s="244">
        <v>4</v>
      </c>
      <c r="R179" s="244">
        <v>232</v>
      </c>
      <c r="S179" s="244">
        <v>3</v>
      </c>
      <c r="T179" s="244">
        <v>8</v>
      </c>
      <c r="U179" s="244">
        <v>14</v>
      </c>
      <c r="V179" s="244">
        <v>106</v>
      </c>
      <c r="W179" s="244">
        <v>0</v>
      </c>
      <c r="X179" s="244">
        <v>0</v>
      </c>
      <c r="Y179" s="244">
        <v>17</v>
      </c>
      <c r="Z179" s="244">
        <v>1444</v>
      </c>
      <c r="AA179" s="87" t="s">
        <v>1648</v>
      </c>
      <c r="AB179" s="87" t="s">
        <v>1649</v>
      </c>
      <c r="AC179" s="87" t="s">
        <v>1660</v>
      </c>
      <c r="AD179" s="87" t="s">
        <v>1648</v>
      </c>
      <c r="AE179" s="244">
        <v>29432</v>
      </c>
      <c r="AF179" s="87" t="s">
        <v>1650</v>
      </c>
      <c r="AG179" s="87" t="s">
        <v>1648</v>
      </c>
      <c r="AH179" s="87" t="s">
        <v>1648</v>
      </c>
      <c r="AI179" s="87" t="s">
        <v>1649</v>
      </c>
      <c r="AJ179" s="87" t="s">
        <v>1648</v>
      </c>
    </row>
    <row r="180" spans="1:36" ht="13.5" thickBot="1" x14ac:dyDescent="0.25">
      <c r="A180" s="48" t="s">
        <v>358</v>
      </c>
      <c r="B180" s="347" t="s">
        <v>357</v>
      </c>
      <c r="C180" s="48" t="s">
        <v>3061</v>
      </c>
      <c r="D180" s="48" t="s">
        <v>25</v>
      </c>
      <c r="E180" s="48" t="s">
        <v>890</v>
      </c>
      <c r="F180" s="87" t="s">
        <v>1648</v>
      </c>
      <c r="G180" s="87" t="s">
        <v>1648</v>
      </c>
      <c r="H180" s="244">
        <v>0</v>
      </c>
      <c r="I180" s="87" t="s">
        <v>1648</v>
      </c>
      <c r="J180" s="244">
        <v>56</v>
      </c>
      <c r="K180" s="87" t="s">
        <v>1649</v>
      </c>
      <c r="L180" s="87" t="s">
        <v>1649</v>
      </c>
      <c r="M180" s="244">
        <v>0</v>
      </c>
      <c r="N180" s="87" t="s">
        <v>1648</v>
      </c>
      <c r="O180" s="87" t="s">
        <v>1649</v>
      </c>
      <c r="P180" s="87" t="s">
        <v>1649</v>
      </c>
      <c r="Q180" s="244">
        <v>0</v>
      </c>
      <c r="R180" s="244">
        <v>0</v>
      </c>
      <c r="S180" s="244">
        <v>0</v>
      </c>
      <c r="T180" s="244">
        <v>0</v>
      </c>
      <c r="U180" s="244">
        <v>0</v>
      </c>
      <c r="V180" s="244">
        <v>0</v>
      </c>
      <c r="W180" s="244">
        <v>0</v>
      </c>
      <c r="X180" s="244">
        <v>0</v>
      </c>
      <c r="Y180" s="244">
        <v>45</v>
      </c>
      <c r="Z180" s="244">
        <v>10767</v>
      </c>
      <c r="AA180" s="87" t="s">
        <v>1649</v>
      </c>
      <c r="AB180" s="87" t="s">
        <v>1649</v>
      </c>
      <c r="AC180" s="244">
        <v>0</v>
      </c>
      <c r="AD180" s="87" t="s">
        <v>1648</v>
      </c>
      <c r="AE180" s="244">
        <v>400</v>
      </c>
      <c r="AF180" s="87" t="s">
        <v>1650</v>
      </c>
      <c r="AG180" s="87" t="s">
        <v>1648</v>
      </c>
      <c r="AH180" s="87" t="s">
        <v>1648</v>
      </c>
      <c r="AI180" s="87" t="s">
        <v>1649</v>
      </c>
      <c r="AJ180" s="87" t="s">
        <v>1649</v>
      </c>
    </row>
    <row r="181" spans="1:36" ht="13.5" thickBot="1" x14ac:dyDescent="0.25">
      <c r="A181" s="48" t="s">
        <v>378</v>
      </c>
      <c r="B181" s="347" t="s">
        <v>377</v>
      </c>
      <c r="C181" s="48" t="s">
        <v>3098</v>
      </c>
      <c r="D181" s="48" t="s">
        <v>25</v>
      </c>
      <c r="E181" s="48" t="s">
        <v>890</v>
      </c>
      <c r="F181" s="87" t="s">
        <v>1648</v>
      </c>
      <c r="G181" s="87" t="s">
        <v>1648</v>
      </c>
      <c r="H181" s="244">
        <v>20</v>
      </c>
      <c r="I181" s="87" t="s">
        <v>1648</v>
      </c>
      <c r="J181" s="244">
        <v>31</v>
      </c>
      <c r="K181" s="87" t="s">
        <v>1649</v>
      </c>
      <c r="L181" s="87" t="s">
        <v>1648</v>
      </c>
      <c r="M181" s="244">
        <v>0</v>
      </c>
      <c r="N181" s="87" t="s">
        <v>1648</v>
      </c>
      <c r="O181" s="87" t="s">
        <v>1648</v>
      </c>
      <c r="P181" s="87" t="s">
        <v>1648</v>
      </c>
      <c r="Q181" s="244">
        <v>8</v>
      </c>
      <c r="R181" s="244">
        <v>160</v>
      </c>
      <c r="S181" s="244">
        <v>0</v>
      </c>
      <c r="T181" s="244">
        <v>0</v>
      </c>
      <c r="U181" s="244">
        <v>13</v>
      </c>
      <c r="V181" s="244">
        <v>260</v>
      </c>
      <c r="W181" s="244">
        <v>0</v>
      </c>
      <c r="X181" s="244">
        <v>0</v>
      </c>
      <c r="Y181" s="244">
        <v>5</v>
      </c>
      <c r="Z181" s="244">
        <v>25</v>
      </c>
      <c r="AA181" s="87" t="s">
        <v>1648</v>
      </c>
      <c r="AB181" s="87" t="s">
        <v>1649</v>
      </c>
      <c r="AC181" s="244">
        <v>0</v>
      </c>
      <c r="AD181" s="87" t="s">
        <v>1648</v>
      </c>
      <c r="AE181" s="244">
        <v>100</v>
      </c>
      <c r="AF181" s="87" t="s">
        <v>1650</v>
      </c>
      <c r="AG181" s="87" t="s">
        <v>1648</v>
      </c>
      <c r="AH181" s="87" t="s">
        <v>1649</v>
      </c>
      <c r="AI181" s="87" t="s">
        <v>1649</v>
      </c>
      <c r="AJ181" s="87" t="s">
        <v>1648</v>
      </c>
    </row>
    <row r="182" spans="1:36" ht="13.5" thickBot="1" x14ac:dyDescent="0.25">
      <c r="A182" s="48" t="s">
        <v>410</v>
      </c>
      <c r="B182" s="347" t="s">
        <v>409</v>
      </c>
      <c r="C182" s="48" t="s">
        <v>3055</v>
      </c>
      <c r="D182" s="48" t="s">
        <v>25</v>
      </c>
      <c r="E182" s="48" t="s">
        <v>890</v>
      </c>
      <c r="F182" s="87" t="s">
        <v>1648</v>
      </c>
      <c r="G182" s="87" t="s">
        <v>1649</v>
      </c>
      <c r="H182" s="244">
        <v>0</v>
      </c>
      <c r="I182" s="87" t="s">
        <v>1648</v>
      </c>
      <c r="J182" s="244">
        <v>480</v>
      </c>
      <c r="K182" s="87" t="s">
        <v>1649</v>
      </c>
      <c r="L182" s="87" t="s">
        <v>1649</v>
      </c>
      <c r="M182" s="244">
        <v>0</v>
      </c>
      <c r="N182" s="87" t="s">
        <v>1649</v>
      </c>
      <c r="O182" s="87" t="s">
        <v>1649</v>
      </c>
      <c r="P182" s="87" t="s">
        <v>1649</v>
      </c>
      <c r="Q182" s="244">
        <v>0</v>
      </c>
      <c r="R182" s="244">
        <v>0</v>
      </c>
      <c r="S182" s="244">
        <v>0</v>
      </c>
      <c r="T182" s="244">
        <v>0</v>
      </c>
      <c r="U182" s="244">
        <v>0</v>
      </c>
      <c r="V182" s="244">
        <v>0</v>
      </c>
      <c r="W182" s="244">
        <v>0</v>
      </c>
      <c r="X182" s="244">
        <v>0</v>
      </c>
      <c r="Y182" s="244">
        <v>0</v>
      </c>
      <c r="Z182" s="244">
        <v>0</v>
      </c>
      <c r="AA182" s="87" t="s">
        <v>1649</v>
      </c>
      <c r="AB182" s="87" t="s">
        <v>1649</v>
      </c>
      <c r="AC182" s="244">
        <v>0</v>
      </c>
      <c r="AD182" s="87" t="s">
        <v>1648</v>
      </c>
      <c r="AE182" s="244">
        <v>900</v>
      </c>
      <c r="AF182" s="87" t="s">
        <v>1650</v>
      </c>
      <c r="AG182" s="87" t="s">
        <v>1648</v>
      </c>
      <c r="AH182" s="87" t="s">
        <v>1648</v>
      </c>
      <c r="AI182" s="87" t="s">
        <v>1649</v>
      </c>
      <c r="AJ182" s="87" t="s">
        <v>1648</v>
      </c>
    </row>
    <row r="183" spans="1:36" ht="13.5" thickBot="1" x14ac:dyDescent="0.25">
      <c r="A183" s="48" t="s">
        <v>408</v>
      </c>
      <c r="B183" s="347" t="s">
        <v>407</v>
      </c>
      <c r="C183" s="48" t="s">
        <v>3053</v>
      </c>
      <c r="D183" s="48" t="s">
        <v>25</v>
      </c>
      <c r="E183" s="48" t="s">
        <v>2133</v>
      </c>
      <c r="F183" s="87" t="s">
        <v>1648</v>
      </c>
      <c r="G183" s="87" t="s">
        <v>1649</v>
      </c>
      <c r="H183" s="244">
        <v>0</v>
      </c>
      <c r="I183" s="87" t="s">
        <v>1648</v>
      </c>
      <c r="J183" s="244">
        <v>448</v>
      </c>
      <c r="K183" s="87" t="s">
        <v>1649</v>
      </c>
      <c r="L183" s="87" t="s">
        <v>1648</v>
      </c>
      <c r="M183" s="244">
        <v>9000</v>
      </c>
      <c r="N183" s="87" t="s">
        <v>1648</v>
      </c>
      <c r="O183" s="87" t="s">
        <v>1649</v>
      </c>
      <c r="P183" s="87" t="s">
        <v>1649</v>
      </c>
      <c r="Q183" s="244">
        <v>0</v>
      </c>
      <c r="R183" s="244">
        <v>0</v>
      </c>
      <c r="S183" s="244">
        <v>0</v>
      </c>
      <c r="T183" s="244">
        <v>0</v>
      </c>
      <c r="U183" s="244">
        <v>0</v>
      </c>
      <c r="V183" s="244">
        <v>0</v>
      </c>
      <c r="W183" s="244">
        <v>0</v>
      </c>
      <c r="X183" s="244">
        <v>0</v>
      </c>
      <c r="Y183" s="244">
        <v>0</v>
      </c>
      <c r="Z183" s="244">
        <v>0</v>
      </c>
      <c r="AA183" s="87" t="s">
        <v>1649</v>
      </c>
      <c r="AB183" s="87" t="s">
        <v>1649</v>
      </c>
      <c r="AC183" s="244">
        <v>0</v>
      </c>
      <c r="AD183" s="87" t="s">
        <v>1648</v>
      </c>
      <c r="AE183" s="244">
        <v>7</v>
      </c>
      <c r="AF183" s="87" t="s">
        <v>1650</v>
      </c>
      <c r="AG183" s="87" t="s">
        <v>1649</v>
      </c>
      <c r="AH183" s="87" t="s">
        <v>1649</v>
      </c>
      <c r="AI183" s="87" t="s">
        <v>1649</v>
      </c>
      <c r="AJ183" s="87" t="s">
        <v>1649</v>
      </c>
    </row>
    <row r="184" spans="1:36" ht="13.5" thickBot="1" x14ac:dyDescent="0.25">
      <c r="A184" s="48" t="s">
        <v>433</v>
      </c>
      <c r="B184" s="347" t="s">
        <v>432</v>
      </c>
      <c r="C184" s="48" t="s">
        <v>3144</v>
      </c>
      <c r="D184" s="48" t="s">
        <v>25</v>
      </c>
      <c r="E184" s="48" t="s">
        <v>1919</v>
      </c>
      <c r="F184" s="87" t="s">
        <v>1648</v>
      </c>
      <c r="G184" s="87" t="s">
        <v>1648</v>
      </c>
      <c r="H184" s="244">
        <v>39</v>
      </c>
      <c r="I184" s="87" t="s">
        <v>1649</v>
      </c>
      <c r="J184" s="244">
        <v>0</v>
      </c>
      <c r="K184" s="87" t="s">
        <v>1649</v>
      </c>
      <c r="L184" s="87" t="s">
        <v>1649</v>
      </c>
      <c r="M184" s="244">
        <v>0</v>
      </c>
      <c r="N184" s="87" t="s">
        <v>1649</v>
      </c>
      <c r="O184" s="87" t="s">
        <v>1648</v>
      </c>
      <c r="P184" s="87" t="s">
        <v>1648</v>
      </c>
      <c r="Q184" s="244">
        <v>0</v>
      </c>
      <c r="R184" s="244">
        <v>0</v>
      </c>
      <c r="S184" s="244">
        <v>2</v>
      </c>
      <c r="T184" s="244">
        <v>0</v>
      </c>
      <c r="U184" s="244">
        <v>1</v>
      </c>
      <c r="V184" s="244">
        <v>3</v>
      </c>
      <c r="W184" s="244">
        <v>3</v>
      </c>
      <c r="X184" s="244">
        <v>3</v>
      </c>
      <c r="Y184" s="244">
        <v>7</v>
      </c>
      <c r="Z184" s="244">
        <v>999</v>
      </c>
      <c r="AA184" s="87" t="s">
        <v>1648</v>
      </c>
      <c r="AB184" s="87" t="s">
        <v>1649</v>
      </c>
      <c r="AC184" s="244">
        <v>0</v>
      </c>
      <c r="AD184" s="87" t="s">
        <v>1648</v>
      </c>
      <c r="AE184" s="244">
        <v>2815</v>
      </c>
      <c r="AF184" s="87" t="s">
        <v>1651</v>
      </c>
      <c r="AG184" s="87" t="s">
        <v>1648</v>
      </c>
      <c r="AH184" s="87" t="s">
        <v>1648</v>
      </c>
      <c r="AI184" s="87" t="s">
        <v>1649</v>
      </c>
      <c r="AJ184" s="87" t="s">
        <v>1648</v>
      </c>
    </row>
    <row r="185" spans="1:36" ht="13.5" thickBot="1" x14ac:dyDescent="0.25">
      <c r="A185" s="48" t="s">
        <v>446</v>
      </c>
      <c r="B185" s="347" t="s">
        <v>445</v>
      </c>
      <c r="C185" s="48" t="s">
        <v>3144</v>
      </c>
      <c r="D185" s="48" t="s">
        <v>25</v>
      </c>
      <c r="E185" s="48" t="s">
        <v>890</v>
      </c>
      <c r="F185" s="87" t="s">
        <v>1648</v>
      </c>
      <c r="G185" s="87" t="s">
        <v>1648</v>
      </c>
      <c r="H185" s="244">
        <v>120</v>
      </c>
      <c r="I185" s="87" t="s">
        <v>1649</v>
      </c>
      <c r="J185" s="244">
        <v>0</v>
      </c>
      <c r="K185" s="87" t="s">
        <v>1649</v>
      </c>
      <c r="L185" s="87" t="s">
        <v>1648</v>
      </c>
      <c r="M185" s="244">
        <v>5000</v>
      </c>
      <c r="N185" s="87" t="s">
        <v>1648</v>
      </c>
      <c r="O185" s="87" t="s">
        <v>1649</v>
      </c>
      <c r="P185" s="87" t="s">
        <v>1649</v>
      </c>
      <c r="Q185" s="244">
        <v>0</v>
      </c>
      <c r="R185" s="244">
        <v>0</v>
      </c>
      <c r="S185" s="244">
        <v>0</v>
      </c>
      <c r="T185" s="244">
        <v>0</v>
      </c>
      <c r="U185" s="244">
        <v>0</v>
      </c>
      <c r="V185" s="244">
        <v>0</v>
      </c>
      <c r="W185" s="244">
        <v>0</v>
      </c>
      <c r="X185" s="244">
        <v>0</v>
      </c>
      <c r="Y185" s="244">
        <v>0</v>
      </c>
      <c r="Z185" s="244">
        <v>0</v>
      </c>
      <c r="AA185" s="87" t="s">
        <v>1648</v>
      </c>
      <c r="AB185" s="87" t="s">
        <v>1649</v>
      </c>
      <c r="AC185" s="244">
        <v>0</v>
      </c>
      <c r="AD185" s="87" t="s">
        <v>1649</v>
      </c>
      <c r="AE185" s="244">
        <v>817</v>
      </c>
      <c r="AF185" s="87" t="s">
        <v>1651</v>
      </c>
      <c r="AG185" s="87" t="s">
        <v>1648</v>
      </c>
      <c r="AH185" s="87" t="s">
        <v>1648</v>
      </c>
      <c r="AI185" s="87" t="s">
        <v>1649</v>
      </c>
      <c r="AJ185" s="87" t="s">
        <v>1648</v>
      </c>
    </row>
    <row r="186" spans="1:36" ht="13.5" thickBot="1" x14ac:dyDescent="0.25">
      <c r="A186" s="48" t="s">
        <v>468</v>
      </c>
      <c r="B186" s="347" t="s">
        <v>467</v>
      </c>
      <c r="C186" s="48" t="s">
        <v>3098</v>
      </c>
      <c r="D186" s="48" t="s">
        <v>25</v>
      </c>
      <c r="E186" s="48" t="s">
        <v>1949</v>
      </c>
      <c r="F186" s="87" t="s">
        <v>1648</v>
      </c>
      <c r="G186" s="87" t="s">
        <v>1648</v>
      </c>
      <c r="H186" s="244">
        <v>220</v>
      </c>
      <c r="I186" s="87" t="s">
        <v>1648</v>
      </c>
      <c r="J186" s="244">
        <v>550</v>
      </c>
      <c r="K186" s="87" t="s">
        <v>1649</v>
      </c>
      <c r="L186" s="87" t="s">
        <v>1649</v>
      </c>
      <c r="M186" s="244">
        <v>0</v>
      </c>
      <c r="N186" s="87" t="s">
        <v>1648</v>
      </c>
      <c r="O186" s="87" t="s">
        <v>1648</v>
      </c>
      <c r="P186" s="87" t="s">
        <v>1648</v>
      </c>
      <c r="Q186" s="244">
        <v>72</v>
      </c>
      <c r="R186" s="244">
        <v>840</v>
      </c>
      <c r="S186" s="244">
        <v>4</v>
      </c>
      <c r="T186" s="244">
        <v>18</v>
      </c>
      <c r="U186" s="244">
        <v>0</v>
      </c>
      <c r="V186" s="244">
        <v>0</v>
      </c>
      <c r="W186" s="244">
        <v>16</v>
      </c>
      <c r="X186" s="244">
        <v>40</v>
      </c>
      <c r="Y186" s="244">
        <v>77</v>
      </c>
      <c r="Z186" s="244">
        <v>12</v>
      </c>
      <c r="AA186" s="87" t="s">
        <v>1648</v>
      </c>
      <c r="AB186" s="87" t="s">
        <v>1648</v>
      </c>
      <c r="AC186" s="244">
        <v>10</v>
      </c>
      <c r="AD186" s="87" t="s">
        <v>1648</v>
      </c>
      <c r="AE186" s="244">
        <v>5000</v>
      </c>
      <c r="AF186" s="87" t="s">
        <v>1650</v>
      </c>
      <c r="AG186" s="87" t="s">
        <v>1648</v>
      </c>
      <c r="AH186" s="87" t="s">
        <v>1648</v>
      </c>
      <c r="AI186" s="87" t="s">
        <v>1649</v>
      </c>
      <c r="AJ186" s="87" t="s">
        <v>1648</v>
      </c>
    </row>
    <row r="187" spans="1:36" ht="13.5" thickBot="1" x14ac:dyDescent="0.25">
      <c r="A187" s="48" t="s">
        <v>474</v>
      </c>
      <c r="B187" s="347" t="s">
        <v>473</v>
      </c>
      <c r="C187" s="48" t="s">
        <v>3053</v>
      </c>
      <c r="D187" s="48" t="s">
        <v>25</v>
      </c>
      <c r="E187" s="48" t="s">
        <v>2133</v>
      </c>
      <c r="F187" s="87" t="s">
        <v>1648</v>
      </c>
      <c r="G187" s="87" t="s">
        <v>1648</v>
      </c>
      <c r="H187" s="244">
        <v>180</v>
      </c>
      <c r="I187" s="87" t="s">
        <v>1649</v>
      </c>
      <c r="J187" s="244">
        <v>0</v>
      </c>
      <c r="K187" s="87" t="s">
        <v>1649</v>
      </c>
      <c r="L187" s="87" t="s">
        <v>1649</v>
      </c>
      <c r="M187" s="244">
        <v>0</v>
      </c>
      <c r="N187" s="87" t="s">
        <v>1648</v>
      </c>
      <c r="O187" s="87" t="s">
        <v>1648</v>
      </c>
      <c r="P187" s="87" t="s">
        <v>1648</v>
      </c>
      <c r="Q187" s="244">
        <v>6</v>
      </c>
      <c r="R187" s="244">
        <v>58</v>
      </c>
      <c r="S187" s="244">
        <v>0</v>
      </c>
      <c r="T187" s="244">
        <v>0</v>
      </c>
      <c r="U187" s="244">
        <v>0</v>
      </c>
      <c r="V187" s="244">
        <v>0</v>
      </c>
      <c r="W187" s="244">
        <v>2</v>
      </c>
      <c r="X187" s="244">
        <v>277</v>
      </c>
      <c r="Y187" s="244">
        <v>0</v>
      </c>
      <c r="Z187" s="244">
        <v>0</v>
      </c>
      <c r="AA187" s="87" t="s">
        <v>1648</v>
      </c>
      <c r="AB187" s="87" t="s">
        <v>1649</v>
      </c>
      <c r="AC187" s="87" t="s">
        <v>1660</v>
      </c>
      <c r="AD187" s="87" t="s">
        <v>1648</v>
      </c>
      <c r="AE187" s="244">
        <v>1750</v>
      </c>
      <c r="AF187" s="87" t="s">
        <v>1650</v>
      </c>
      <c r="AG187" s="87" t="s">
        <v>1649</v>
      </c>
      <c r="AH187" s="87" t="s">
        <v>1648</v>
      </c>
      <c r="AI187" s="87" t="s">
        <v>1649</v>
      </c>
      <c r="AJ187" s="87" t="s">
        <v>1649</v>
      </c>
    </row>
    <row r="188" spans="1:36" ht="13.5" thickBot="1" x14ac:dyDescent="0.25">
      <c r="A188" s="48" t="s">
        <v>492</v>
      </c>
      <c r="B188" s="347" t="s">
        <v>491</v>
      </c>
      <c r="C188" s="48" t="s">
        <v>3098</v>
      </c>
      <c r="D188" s="48" t="s">
        <v>25</v>
      </c>
      <c r="E188" s="48" t="s">
        <v>890</v>
      </c>
      <c r="F188" s="87" t="s">
        <v>1648</v>
      </c>
      <c r="G188" s="87" t="s">
        <v>1649</v>
      </c>
      <c r="H188" s="244">
        <v>50</v>
      </c>
      <c r="I188" s="87" t="s">
        <v>1648</v>
      </c>
      <c r="J188" s="244">
        <v>848</v>
      </c>
      <c r="K188" s="87" t="s">
        <v>1649</v>
      </c>
      <c r="L188" s="87" t="s">
        <v>1649</v>
      </c>
      <c r="M188" s="244">
        <v>0</v>
      </c>
      <c r="N188" s="87" t="s">
        <v>1649</v>
      </c>
      <c r="O188" s="87" t="s">
        <v>1649</v>
      </c>
      <c r="P188" s="87" t="s">
        <v>1649</v>
      </c>
      <c r="Q188" s="244">
        <v>0</v>
      </c>
      <c r="R188" s="244">
        <v>0</v>
      </c>
      <c r="S188" s="244">
        <v>0</v>
      </c>
      <c r="T188" s="244">
        <v>0</v>
      </c>
      <c r="U188" s="244">
        <v>0</v>
      </c>
      <c r="V188" s="244">
        <v>0</v>
      </c>
      <c r="W188" s="244">
        <v>0</v>
      </c>
      <c r="X188" s="244">
        <v>0</v>
      </c>
      <c r="Y188" s="244">
        <v>0</v>
      </c>
      <c r="Z188" s="244">
        <v>0</v>
      </c>
      <c r="AA188" s="87" t="s">
        <v>1648</v>
      </c>
      <c r="AB188" s="87" t="s">
        <v>1649</v>
      </c>
      <c r="AC188" s="244">
        <v>0</v>
      </c>
      <c r="AD188" s="87" t="s">
        <v>1648</v>
      </c>
      <c r="AE188" s="244">
        <v>45</v>
      </c>
      <c r="AF188" s="87" t="s">
        <v>1650</v>
      </c>
      <c r="AG188" s="87" t="s">
        <v>1648</v>
      </c>
      <c r="AH188" s="87" t="s">
        <v>1648</v>
      </c>
      <c r="AI188" s="87" t="s">
        <v>1649</v>
      </c>
      <c r="AJ188" s="87" t="s">
        <v>1648</v>
      </c>
    </row>
    <row r="189" spans="1:36" ht="13.5" thickBot="1" x14ac:dyDescent="0.25">
      <c r="A189" s="48" t="s">
        <v>504</v>
      </c>
      <c r="B189" s="347" t="s">
        <v>503</v>
      </c>
      <c r="C189" s="48" t="s">
        <v>3058</v>
      </c>
      <c r="D189" s="48" t="s">
        <v>25</v>
      </c>
      <c r="E189" s="48" t="s">
        <v>1949</v>
      </c>
      <c r="F189" s="87" t="s">
        <v>1648</v>
      </c>
      <c r="G189" s="87" t="s">
        <v>1649</v>
      </c>
      <c r="H189" s="244">
        <v>0</v>
      </c>
      <c r="I189" s="87" t="s">
        <v>1648</v>
      </c>
      <c r="J189" s="244">
        <v>1189</v>
      </c>
      <c r="K189" s="87" t="s">
        <v>1649</v>
      </c>
      <c r="L189" s="87" t="s">
        <v>1649</v>
      </c>
      <c r="M189" s="244">
        <v>0</v>
      </c>
      <c r="N189" s="87" t="s">
        <v>1649</v>
      </c>
      <c r="O189" s="87" t="s">
        <v>1648</v>
      </c>
      <c r="P189" s="87" t="s">
        <v>1648</v>
      </c>
      <c r="Q189" s="244">
        <v>1</v>
      </c>
      <c r="R189" s="244">
        <v>15</v>
      </c>
      <c r="S189" s="244">
        <v>0</v>
      </c>
      <c r="T189" s="244">
        <v>0</v>
      </c>
      <c r="U189" s="244">
        <v>4</v>
      </c>
      <c r="V189" s="244">
        <v>5</v>
      </c>
      <c r="W189" s="244">
        <v>0</v>
      </c>
      <c r="X189" s="244">
        <v>0</v>
      </c>
      <c r="Y189" s="244">
        <v>17</v>
      </c>
      <c r="Z189" s="244">
        <v>2111</v>
      </c>
      <c r="AA189" s="87" t="s">
        <v>1649</v>
      </c>
      <c r="AB189" s="87" t="s">
        <v>1648</v>
      </c>
      <c r="AC189" s="244">
        <v>11</v>
      </c>
      <c r="AD189" s="87" t="s">
        <v>1648</v>
      </c>
      <c r="AE189" s="244">
        <v>1047</v>
      </c>
      <c r="AF189" s="87" t="s">
        <v>1650</v>
      </c>
      <c r="AG189" s="87" t="s">
        <v>1648</v>
      </c>
      <c r="AH189" s="87" t="s">
        <v>1648</v>
      </c>
      <c r="AI189" s="87" t="s">
        <v>1649</v>
      </c>
      <c r="AJ189" s="87" t="s">
        <v>1649</v>
      </c>
    </row>
    <row r="190" spans="1:36" ht="13.5" thickBot="1" x14ac:dyDescent="0.25">
      <c r="A190" s="48" t="s">
        <v>510</v>
      </c>
      <c r="B190" s="347" t="s">
        <v>509</v>
      </c>
      <c r="C190" s="48" t="s">
        <v>3077</v>
      </c>
      <c r="D190" s="48" t="s">
        <v>25</v>
      </c>
      <c r="E190" s="48" t="s">
        <v>894</v>
      </c>
      <c r="F190" s="87" t="s">
        <v>1648</v>
      </c>
      <c r="G190" s="87" t="s">
        <v>1648</v>
      </c>
      <c r="H190" s="244">
        <v>3360</v>
      </c>
      <c r="I190" s="87" t="s">
        <v>1649</v>
      </c>
      <c r="J190" s="244">
        <v>0</v>
      </c>
      <c r="K190" s="87" t="s">
        <v>1649</v>
      </c>
      <c r="L190" s="87" t="s">
        <v>1648</v>
      </c>
      <c r="M190" s="244">
        <v>13000</v>
      </c>
      <c r="N190" s="87" t="s">
        <v>1649</v>
      </c>
      <c r="O190" s="87" t="s">
        <v>1649</v>
      </c>
      <c r="P190" s="87" t="s">
        <v>1649</v>
      </c>
      <c r="Q190" s="244">
        <v>0</v>
      </c>
      <c r="R190" s="244">
        <v>0</v>
      </c>
      <c r="S190" s="244">
        <v>0</v>
      </c>
      <c r="T190" s="244">
        <v>0</v>
      </c>
      <c r="U190" s="244">
        <v>0</v>
      </c>
      <c r="V190" s="244">
        <v>0</v>
      </c>
      <c r="W190" s="244">
        <v>0</v>
      </c>
      <c r="X190" s="244">
        <v>0</v>
      </c>
      <c r="Y190" s="244">
        <v>0</v>
      </c>
      <c r="Z190" s="244">
        <v>0</v>
      </c>
      <c r="AA190" s="87" t="s">
        <v>1648</v>
      </c>
      <c r="AB190" s="87" t="s">
        <v>1648</v>
      </c>
      <c r="AC190" s="244">
        <v>95</v>
      </c>
      <c r="AD190" s="87" t="s">
        <v>1648</v>
      </c>
      <c r="AE190" s="244">
        <v>41265</v>
      </c>
      <c r="AF190" s="87" t="s">
        <v>1650</v>
      </c>
      <c r="AG190" s="87" t="s">
        <v>1648</v>
      </c>
      <c r="AH190" s="87" t="s">
        <v>1648</v>
      </c>
      <c r="AI190" s="87" t="s">
        <v>1649</v>
      </c>
      <c r="AJ190" s="87" t="s">
        <v>1649</v>
      </c>
    </row>
    <row r="191" spans="1:36" ht="13.5" thickBot="1" x14ac:dyDescent="0.25">
      <c r="A191" s="48" t="s">
        <v>520</v>
      </c>
      <c r="B191" s="347" t="s">
        <v>519</v>
      </c>
      <c r="C191" s="48" t="s">
        <v>3053</v>
      </c>
      <c r="D191" s="48" t="s">
        <v>25</v>
      </c>
      <c r="E191" s="48" t="s">
        <v>2133</v>
      </c>
      <c r="F191" s="87" t="s">
        <v>1648</v>
      </c>
      <c r="G191" s="87" t="s">
        <v>1648</v>
      </c>
      <c r="H191" s="244">
        <v>85</v>
      </c>
      <c r="I191" s="87" t="s">
        <v>1649</v>
      </c>
      <c r="J191" s="244">
        <v>0</v>
      </c>
      <c r="K191" s="87" t="s">
        <v>1649</v>
      </c>
      <c r="L191" s="87" t="s">
        <v>1649</v>
      </c>
      <c r="M191" s="244">
        <v>0</v>
      </c>
      <c r="N191" s="87" t="s">
        <v>1648</v>
      </c>
      <c r="O191" s="87" t="s">
        <v>1648</v>
      </c>
      <c r="P191" s="87" t="s">
        <v>1648</v>
      </c>
      <c r="Q191" s="244">
        <v>2</v>
      </c>
      <c r="R191" s="244">
        <v>7</v>
      </c>
      <c r="S191" s="244">
        <v>0</v>
      </c>
      <c r="T191" s="244">
        <v>0</v>
      </c>
      <c r="U191" s="244">
        <v>2</v>
      </c>
      <c r="V191" s="244">
        <v>12</v>
      </c>
      <c r="W191" s="244">
        <v>4</v>
      </c>
      <c r="X191" s="244">
        <v>44</v>
      </c>
      <c r="Y191" s="244">
        <v>1</v>
      </c>
      <c r="Z191" s="244">
        <v>332</v>
      </c>
      <c r="AA191" s="87" t="s">
        <v>1648</v>
      </c>
      <c r="AB191" s="87" t="s">
        <v>1649</v>
      </c>
      <c r="AC191" s="244">
        <v>0</v>
      </c>
      <c r="AD191" s="87" t="s">
        <v>1648</v>
      </c>
      <c r="AE191" s="244">
        <v>10284</v>
      </c>
      <c r="AF191" s="87" t="s">
        <v>1650</v>
      </c>
      <c r="AG191" s="87" t="s">
        <v>1648</v>
      </c>
      <c r="AH191" s="87" t="s">
        <v>1648</v>
      </c>
      <c r="AI191" s="87" t="s">
        <v>1649</v>
      </c>
      <c r="AJ191" s="87" t="s">
        <v>1648</v>
      </c>
    </row>
    <row r="192" spans="1:36" ht="13.5" thickBot="1" x14ac:dyDescent="0.25">
      <c r="A192" s="48" t="s">
        <v>524</v>
      </c>
      <c r="B192" s="347" t="s">
        <v>523</v>
      </c>
      <c r="C192" s="48" t="s">
        <v>3053</v>
      </c>
      <c r="D192" s="48" t="s">
        <v>25</v>
      </c>
      <c r="E192" s="48" t="s">
        <v>890</v>
      </c>
      <c r="F192" s="87" t="s">
        <v>1648</v>
      </c>
      <c r="G192" s="87" t="s">
        <v>1648</v>
      </c>
      <c r="H192" s="244">
        <v>43</v>
      </c>
      <c r="I192" s="87" t="s">
        <v>1648</v>
      </c>
      <c r="J192" s="244">
        <v>0</v>
      </c>
      <c r="K192" s="87" t="s">
        <v>1649</v>
      </c>
      <c r="L192" s="87" t="s">
        <v>1648</v>
      </c>
      <c r="M192" s="244">
        <v>4281</v>
      </c>
      <c r="N192" s="87" t="s">
        <v>1648</v>
      </c>
      <c r="O192" s="87" t="s">
        <v>1648</v>
      </c>
      <c r="P192" s="87" t="s">
        <v>1648</v>
      </c>
      <c r="Q192" s="244">
        <v>53</v>
      </c>
      <c r="R192" s="244">
        <v>613</v>
      </c>
      <c r="S192" s="244">
        <v>25</v>
      </c>
      <c r="T192" s="244">
        <v>147</v>
      </c>
      <c r="U192" s="244">
        <v>1</v>
      </c>
      <c r="V192" s="244">
        <v>29</v>
      </c>
      <c r="W192" s="244">
        <v>1</v>
      </c>
      <c r="X192" s="244">
        <v>238</v>
      </c>
      <c r="Y192" s="244">
        <v>0</v>
      </c>
      <c r="Z192" s="244">
        <v>0</v>
      </c>
      <c r="AA192" s="87" t="s">
        <v>1648</v>
      </c>
      <c r="AB192" s="87" t="s">
        <v>1649</v>
      </c>
      <c r="AC192" s="244">
        <v>0</v>
      </c>
      <c r="AD192" s="87" t="s">
        <v>1648</v>
      </c>
      <c r="AE192" s="244">
        <v>2475</v>
      </c>
      <c r="AF192" s="87" t="s">
        <v>1650</v>
      </c>
      <c r="AG192" s="87" t="s">
        <v>1648</v>
      </c>
      <c r="AH192" s="87" t="s">
        <v>1648</v>
      </c>
      <c r="AI192" s="87" t="s">
        <v>1648</v>
      </c>
      <c r="AJ192" s="87" t="s">
        <v>1648</v>
      </c>
    </row>
    <row r="193" spans="1:36" ht="13.5" thickBot="1" x14ac:dyDescent="0.25">
      <c r="A193" s="48" t="s">
        <v>536</v>
      </c>
      <c r="B193" s="347" t="s">
        <v>535</v>
      </c>
      <c r="C193" s="48" t="s">
        <v>3098</v>
      </c>
      <c r="D193" s="48" t="s">
        <v>25</v>
      </c>
      <c r="E193" s="48" t="s">
        <v>1919</v>
      </c>
      <c r="F193" s="87" t="s">
        <v>1648</v>
      </c>
      <c r="G193" s="87" t="s">
        <v>1648</v>
      </c>
      <c r="H193" s="244">
        <v>208</v>
      </c>
      <c r="I193" s="87" t="s">
        <v>1649</v>
      </c>
      <c r="J193" s="244">
        <v>0</v>
      </c>
      <c r="K193" s="87" t="s">
        <v>1649</v>
      </c>
      <c r="L193" s="87" t="s">
        <v>1649</v>
      </c>
      <c r="M193" s="244">
        <v>0</v>
      </c>
      <c r="N193" s="87" t="s">
        <v>1648</v>
      </c>
      <c r="O193" s="87" t="s">
        <v>1648</v>
      </c>
      <c r="P193" s="87" t="s">
        <v>1648</v>
      </c>
      <c r="Q193" s="244">
        <v>7</v>
      </c>
      <c r="R193" s="244">
        <v>777</v>
      </c>
      <c r="S193" s="244">
        <v>0</v>
      </c>
      <c r="T193" s="244">
        <v>0</v>
      </c>
      <c r="U193" s="244">
        <v>0</v>
      </c>
      <c r="V193" s="244">
        <v>0</v>
      </c>
      <c r="W193" s="244">
        <v>0</v>
      </c>
      <c r="X193" s="244">
        <v>0</v>
      </c>
      <c r="Y193" s="244">
        <v>62</v>
      </c>
      <c r="Z193" s="244">
        <v>4953</v>
      </c>
      <c r="AA193" s="87" t="s">
        <v>1648</v>
      </c>
      <c r="AB193" s="87" t="s">
        <v>1648</v>
      </c>
      <c r="AC193" s="244">
        <v>468</v>
      </c>
      <c r="AD193" s="87" t="s">
        <v>1648</v>
      </c>
      <c r="AE193" s="244">
        <v>6592</v>
      </c>
      <c r="AF193" s="87" t="s">
        <v>1650</v>
      </c>
      <c r="AG193" s="87" t="s">
        <v>1648</v>
      </c>
      <c r="AH193" s="87" t="s">
        <v>1648</v>
      </c>
      <c r="AI193" s="87" t="s">
        <v>1649</v>
      </c>
      <c r="AJ193" s="87" t="s">
        <v>1648</v>
      </c>
    </row>
    <row r="194" spans="1:36" ht="13.5" thickBot="1" x14ac:dyDescent="0.25">
      <c r="A194" s="48" t="s">
        <v>554</v>
      </c>
      <c r="B194" s="347" t="s">
        <v>553</v>
      </c>
      <c r="C194" s="48" t="s">
        <v>3077</v>
      </c>
      <c r="D194" s="48" t="s">
        <v>25</v>
      </c>
      <c r="E194" s="48" t="s">
        <v>894</v>
      </c>
      <c r="F194" s="87" t="s">
        <v>1648</v>
      </c>
      <c r="G194" s="87" t="s">
        <v>1648</v>
      </c>
      <c r="H194" s="244">
        <v>332</v>
      </c>
      <c r="I194" s="87" t="s">
        <v>1648</v>
      </c>
      <c r="J194" s="244">
        <v>2272</v>
      </c>
      <c r="K194" s="87" t="s">
        <v>1649</v>
      </c>
      <c r="L194" s="87" t="s">
        <v>1649</v>
      </c>
      <c r="M194" s="244">
        <v>0</v>
      </c>
      <c r="N194" s="87" t="s">
        <v>1648</v>
      </c>
      <c r="O194" s="87" t="s">
        <v>1649</v>
      </c>
      <c r="P194" s="87" t="s">
        <v>1649</v>
      </c>
      <c r="Q194" s="244">
        <v>1</v>
      </c>
      <c r="R194" s="244">
        <v>7</v>
      </c>
      <c r="S194" s="244">
        <v>0</v>
      </c>
      <c r="T194" s="244">
        <v>0</v>
      </c>
      <c r="U194" s="244">
        <v>0</v>
      </c>
      <c r="V194" s="244">
        <v>0</v>
      </c>
      <c r="W194" s="244">
        <v>0</v>
      </c>
      <c r="X194" s="244">
        <v>0</v>
      </c>
      <c r="Y194" s="244">
        <v>0</v>
      </c>
      <c r="Z194" s="244">
        <v>0</v>
      </c>
      <c r="AA194" s="87" t="s">
        <v>1648</v>
      </c>
      <c r="AB194" s="87" t="s">
        <v>1649</v>
      </c>
      <c r="AC194" s="244">
        <v>0</v>
      </c>
      <c r="AD194" s="87" t="s">
        <v>1648</v>
      </c>
      <c r="AE194" s="244">
        <v>1250</v>
      </c>
      <c r="AF194" s="87" t="s">
        <v>1650</v>
      </c>
      <c r="AG194" s="87" t="s">
        <v>1648</v>
      </c>
      <c r="AH194" s="87" t="s">
        <v>1648</v>
      </c>
      <c r="AI194" s="87" t="s">
        <v>1649</v>
      </c>
      <c r="AJ194" s="87" t="s">
        <v>1648</v>
      </c>
    </row>
    <row r="195" spans="1:36" ht="13.5" thickBot="1" x14ac:dyDescent="0.25">
      <c r="A195" s="48" t="s">
        <v>564</v>
      </c>
      <c r="B195" s="347" t="s">
        <v>563</v>
      </c>
      <c r="C195" s="48" t="s">
        <v>3072</v>
      </c>
      <c r="D195" s="48" t="s">
        <v>25</v>
      </c>
      <c r="E195" s="48" t="s">
        <v>1949</v>
      </c>
      <c r="F195" s="87" t="s">
        <v>1648</v>
      </c>
      <c r="G195" s="87" t="s">
        <v>1648</v>
      </c>
      <c r="H195" s="244">
        <v>528</v>
      </c>
      <c r="I195" s="87" t="s">
        <v>1649</v>
      </c>
      <c r="J195" s="244">
        <v>0</v>
      </c>
      <c r="K195" s="87" t="s">
        <v>1649</v>
      </c>
      <c r="L195" s="87" t="s">
        <v>1649</v>
      </c>
      <c r="M195" s="244">
        <v>0</v>
      </c>
      <c r="N195" s="87" t="s">
        <v>1648</v>
      </c>
      <c r="O195" s="87" t="s">
        <v>1648</v>
      </c>
      <c r="P195" s="87" t="s">
        <v>1648</v>
      </c>
      <c r="Q195" s="244">
        <v>2</v>
      </c>
      <c r="R195" s="244">
        <v>8</v>
      </c>
      <c r="S195" s="244">
        <v>0</v>
      </c>
      <c r="T195" s="244">
        <v>0</v>
      </c>
      <c r="U195" s="244">
        <v>17</v>
      </c>
      <c r="V195" s="244">
        <v>92</v>
      </c>
      <c r="W195" s="244">
        <v>0</v>
      </c>
      <c r="X195" s="244">
        <v>0</v>
      </c>
      <c r="Y195" s="244">
        <v>20</v>
      </c>
      <c r="Z195" s="244">
        <v>1629</v>
      </c>
      <c r="AA195" s="87" t="s">
        <v>1648</v>
      </c>
      <c r="AB195" s="87" t="s">
        <v>1649</v>
      </c>
      <c r="AC195" s="244">
        <v>0</v>
      </c>
      <c r="AD195" s="87" t="s">
        <v>1648</v>
      </c>
      <c r="AE195" s="244">
        <v>9277</v>
      </c>
      <c r="AF195" s="87" t="s">
        <v>1650</v>
      </c>
      <c r="AG195" s="87" t="s">
        <v>1649</v>
      </c>
      <c r="AH195" s="87" t="s">
        <v>1648</v>
      </c>
      <c r="AI195" s="87" t="s">
        <v>1649</v>
      </c>
      <c r="AJ195" s="87" t="s">
        <v>1648</v>
      </c>
    </row>
    <row r="196" spans="1:36" ht="13.5" thickBot="1" x14ac:dyDescent="0.25">
      <c r="A196" s="48" t="s">
        <v>568</v>
      </c>
      <c r="B196" s="347" t="s">
        <v>567</v>
      </c>
      <c r="C196" s="48" t="s">
        <v>3074</v>
      </c>
      <c r="D196" s="48" t="s">
        <v>25</v>
      </c>
      <c r="E196" s="48" t="s">
        <v>1919</v>
      </c>
      <c r="F196" s="87" t="s">
        <v>1648</v>
      </c>
      <c r="G196" s="87" t="s">
        <v>1649</v>
      </c>
      <c r="H196" s="244">
        <v>0</v>
      </c>
      <c r="I196" s="87" t="s">
        <v>1649</v>
      </c>
      <c r="J196" s="244">
        <v>0</v>
      </c>
      <c r="K196" s="87" t="s">
        <v>1649</v>
      </c>
      <c r="L196" s="87" t="s">
        <v>1649</v>
      </c>
      <c r="M196" s="244">
        <v>0</v>
      </c>
      <c r="N196" s="87" t="s">
        <v>1649</v>
      </c>
      <c r="O196" s="87" t="s">
        <v>1649</v>
      </c>
      <c r="P196" s="87" t="s">
        <v>1649</v>
      </c>
      <c r="Q196" s="244">
        <v>0</v>
      </c>
      <c r="R196" s="244">
        <v>0</v>
      </c>
      <c r="S196" s="244">
        <v>0</v>
      </c>
      <c r="T196" s="244">
        <v>0</v>
      </c>
      <c r="U196" s="244">
        <v>0</v>
      </c>
      <c r="V196" s="244">
        <v>0</v>
      </c>
      <c r="W196" s="244">
        <v>0</v>
      </c>
      <c r="X196" s="244">
        <v>0</v>
      </c>
      <c r="Y196" s="244">
        <v>0</v>
      </c>
      <c r="Z196" s="244">
        <v>0</v>
      </c>
      <c r="AA196" s="87" t="s">
        <v>1648</v>
      </c>
      <c r="AB196" s="87" t="s">
        <v>1648</v>
      </c>
      <c r="AC196" s="244">
        <v>130</v>
      </c>
      <c r="AD196" s="87" t="s">
        <v>1648</v>
      </c>
      <c r="AE196" s="244">
        <v>4189</v>
      </c>
      <c r="AF196" s="87" t="s">
        <v>1651</v>
      </c>
      <c r="AG196" s="87" t="s">
        <v>1648</v>
      </c>
      <c r="AH196" s="87" t="s">
        <v>1648</v>
      </c>
      <c r="AI196" s="87" t="s">
        <v>1649</v>
      </c>
      <c r="AJ196" s="87" t="s">
        <v>1648</v>
      </c>
    </row>
    <row r="197" spans="1:36" ht="13.5" thickBot="1" x14ac:dyDescent="0.25">
      <c r="A197" s="48" t="s">
        <v>576</v>
      </c>
      <c r="B197" s="347" t="s">
        <v>575</v>
      </c>
      <c r="C197" s="48" t="s">
        <v>3055</v>
      </c>
      <c r="D197" s="48" t="s">
        <v>25</v>
      </c>
      <c r="E197" s="48" t="s">
        <v>1949</v>
      </c>
      <c r="F197" s="87" t="s">
        <v>1648</v>
      </c>
      <c r="G197" s="87" t="s">
        <v>1648</v>
      </c>
      <c r="H197" s="244">
        <v>77</v>
      </c>
      <c r="I197" s="87" t="s">
        <v>1648</v>
      </c>
      <c r="J197" s="244">
        <v>120</v>
      </c>
      <c r="K197" s="87" t="s">
        <v>1649</v>
      </c>
      <c r="L197" s="87" t="s">
        <v>1649</v>
      </c>
      <c r="M197" s="244">
        <v>0</v>
      </c>
      <c r="N197" s="87" t="s">
        <v>1649</v>
      </c>
      <c r="O197" s="87" t="s">
        <v>1648</v>
      </c>
      <c r="P197" s="87" t="s">
        <v>1648</v>
      </c>
      <c r="Q197" s="244">
        <v>48</v>
      </c>
      <c r="R197" s="244">
        <v>273</v>
      </c>
      <c r="S197" s="244">
        <v>0</v>
      </c>
      <c r="T197" s="244">
        <v>0</v>
      </c>
      <c r="U197" s="244">
        <v>4</v>
      </c>
      <c r="V197" s="244">
        <v>47</v>
      </c>
      <c r="W197" s="244">
        <v>0</v>
      </c>
      <c r="X197" s="244">
        <v>0</v>
      </c>
      <c r="Y197" s="244">
        <v>33</v>
      </c>
      <c r="Z197" s="244">
        <v>3727</v>
      </c>
      <c r="AA197" s="87" t="s">
        <v>1648</v>
      </c>
      <c r="AB197" s="87" t="s">
        <v>1648</v>
      </c>
      <c r="AC197" s="244">
        <v>54</v>
      </c>
      <c r="AD197" s="87" t="s">
        <v>1648</v>
      </c>
      <c r="AE197" s="244">
        <v>5942</v>
      </c>
      <c r="AF197" s="87" t="s">
        <v>1650</v>
      </c>
      <c r="AG197" s="87" t="s">
        <v>1648</v>
      </c>
      <c r="AH197" s="87" t="s">
        <v>1648</v>
      </c>
      <c r="AI197" s="87" t="s">
        <v>1649</v>
      </c>
      <c r="AJ197" s="87" t="s">
        <v>1648</v>
      </c>
    </row>
    <row r="198" spans="1:36" ht="13.5" thickBot="1" x14ac:dyDescent="0.25">
      <c r="A198" s="48" t="s">
        <v>584</v>
      </c>
      <c r="B198" s="347" t="s">
        <v>583</v>
      </c>
      <c r="C198" s="48" t="s">
        <v>3098</v>
      </c>
      <c r="D198" s="48" t="s">
        <v>25</v>
      </c>
      <c r="E198" s="48" t="s">
        <v>1949</v>
      </c>
      <c r="F198" s="87" t="s">
        <v>1648</v>
      </c>
      <c r="G198" s="87" t="s">
        <v>1648</v>
      </c>
      <c r="H198" s="244">
        <v>400</v>
      </c>
      <c r="I198" s="87" t="s">
        <v>1648</v>
      </c>
      <c r="J198" s="244">
        <v>115</v>
      </c>
      <c r="K198" s="87" t="s">
        <v>1649</v>
      </c>
      <c r="L198" s="87" t="s">
        <v>1648</v>
      </c>
      <c r="M198" s="244">
        <v>21281</v>
      </c>
      <c r="N198" s="87" t="s">
        <v>1648</v>
      </c>
      <c r="O198" s="87" t="s">
        <v>1648</v>
      </c>
      <c r="P198" s="87" t="s">
        <v>1648</v>
      </c>
      <c r="Q198" s="244">
        <v>4</v>
      </c>
      <c r="R198" s="244">
        <v>500</v>
      </c>
      <c r="S198" s="244">
        <v>0</v>
      </c>
      <c r="T198" s="244">
        <v>0</v>
      </c>
      <c r="U198" s="244">
        <v>9</v>
      </c>
      <c r="V198" s="244">
        <v>217</v>
      </c>
      <c r="W198" s="244">
        <v>8</v>
      </c>
      <c r="X198" s="244">
        <v>96</v>
      </c>
      <c r="Y198" s="244">
        <v>16</v>
      </c>
      <c r="Z198" s="244">
        <v>2704</v>
      </c>
      <c r="AA198" s="87" t="s">
        <v>1648</v>
      </c>
      <c r="AB198" s="87" t="s">
        <v>1648</v>
      </c>
      <c r="AC198" s="244">
        <v>119</v>
      </c>
      <c r="AD198" s="87" t="s">
        <v>1648</v>
      </c>
      <c r="AE198" s="244">
        <v>123801</v>
      </c>
      <c r="AF198" s="87" t="s">
        <v>1650</v>
      </c>
      <c r="AG198" s="87" t="s">
        <v>1648</v>
      </c>
      <c r="AH198" s="87" t="s">
        <v>1648</v>
      </c>
      <c r="AI198" s="87" t="s">
        <v>1649</v>
      </c>
      <c r="AJ198" s="87" t="s">
        <v>1648</v>
      </c>
    </row>
    <row r="199" spans="1:36" ht="13.5" thickBot="1" x14ac:dyDescent="0.25">
      <c r="A199" s="48" t="s">
        <v>610</v>
      </c>
      <c r="B199" s="347" t="s">
        <v>609</v>
      </c>
      <c r="C199" s="48" t="s">
        <v>3058</v>
      </c>
      <c r="D199" s="48" t="s">
        <v>25</v>
      </c>
      <c r="E199" s="48" t="s">
        <v>1949</v>
      </c>
      <c r="F199" s="87" t="s">
        <v>1648</v>
      </c>
      <c r="G199" s="87" t="s">
        <v>1648</v>
      </c>
      <c r="H199" s="244">
        <v>1313</v>
      </c>
      <c r="I199" s="87" t="s">
        <v>1648</v>
      </c>
      <c r="J199" s="244">
        <v>2400</v>
      </c>
      <c r="K199" s="87" t="s">
        <v>1649</v>
      </c>
      <c r="L199" s="87" t="s">
        <v>1649</v>
      </c>
      <c r="M199" s="244">
        <v>0</v>
      </c>
      <c r="N199" s="87" t="s">
        <v>1648</v>
      </c>
      <c r="O199" s="87" t="s">
        <v>1649</v>
      </c>
      <c r="P199" s="87" t="s">
        <v>1648</v>
      </c>
      <c r="Q199" s="244">
        <v>0</v>
      </c>
      <c r="R199" s="244">
        <v>0</v>
      </c>
      <c r="S199" s="244">
        <v>0</v>
      </c>
      <c r="T199" s="244">
        <v>0</v>
      </c>
      <c r="U199" s="244">
        <v>0</v>
      </c>
      <c r="V199" s="244">
        <v>0</v>
      </c>
      <c r="W199" s="244">
        <v>0</v>
      </c>
      <c r="X199" s="244">
        <v>0</v>
      </c>
      <c r="Y199" s="244">
        <v>29</v>
      </c>
      <c r="Z199" s="244">
        <v>2790</v>
      </c>
      <c r="AA199" s="87" t="s">
        <v>1648</v>
      </c>
      <c r="AB199" s="87" t="s">
        <v>1649</v>
      </c>
      <c r="AC199" s="244">
        <v>0</v>
      </c>
      <c r="AD199" s="87" t="s">
        <v>1648</v>
      </c>
      <c r="AE199" s="244">
        <v>500</v>
      </c>
      <c r="AF199" s="87" t="s">
        <v>1650</v>
      </c>
      <c r="AG199" s="87" t="s">
        <v>1648</v>
      </c>
      <c r="AH199" s="87" t="s">
        <v>1648</v>
      </c>
      <c r="AI199" s="87" t="s">
        <v>1649</v>
      </c>
      <c r="AJ199" s="87" t="s">
        <v>1649</v>
      </c>
    </row>
    <row r="200" spans="1:36" ht="13.5" thickBot="1" x14ac:dyDescent="0.25">
      <c r="A200" s="48" t="s">
        <v>618</v>
      </c>
      <c r="B200" s="347" t="s">
        <v>617</v>
      </c>
      <c r="C200" s="48" t="s">
        <v>3059</v>
      </c>
      <c r="D200" s="48" t="s">
        <v>25</v>
      </c>
      <c r="E200" s="48" t="s">
        <v>1949</v>
      </c>
      <c r="F200" s="87" t="s">
        <v>1648</v>
      </c>
      <c r="G200" s="87" t="s">
        <v>1648</v>
      </c>
      <c r="H200" s="244">
        <v>218</v>
      </c>
      <c r="I200" s="87" t="s">
        <v>1648</v>
      </c>
      <c r="J200" s="244">
        <v>112</v>
      </c>
      <c r="K200" s="87" t="s">
        <v>1649</v>
      </c>
      <c r="L200" s="87" t="s">
        <v>1649</v>
      </c>
      <c r="M200" s="244">
        <v>0</v>
      </c>
      <c r="N200" s="87" t="s">
        <v>1648</v>
      </c>
      <c r="O200" s="87" t="s">
        <v>1649</v>
      </c>
      <c r="P200" s="87" t="s">
        <v>1648</v>
      </c>
      <c r="Q200" s="244">
        <v>0</v>
      </c>
      <c r="R200" s="244">
        <v>0</v>
      </c>
      <c r="S200" s="244">
        <v>0</v>
      </c>
      <c r="T200" s="244">
        <v>0</v>
      </c>
      <c r="U200" s="244">
        <v>0</v>
      </c>
      <c r="V200" s="244">
        <v>0</v>
      </c>
      <c r="W200" s="244">
        <v>0</v>
      </c>
      <c r="X200" s="244">
        <v>0</v>
      </c>
      <c r="Y200" s="244">
        <v>-1</v>
      </c>
      <c r="Z200" s="244">
        <v>-1</v>
      </c>
      <c r="AA200" s="87" t="s">
        <v>1648</v>
      </c>
      <c r="AB200" s="87" t="s">
        <v>1649</v>
      </c>
      <c r="AC200" s="244">
        <v>0</v>
      </c>
      <c r="AD200" s="87" t="s">
        <v>1648</v>
      </c>
      <c r="AE200" s="244">
        <v>3500</v>
      </c>
      <c r="AF200" s="87" t="s">
        <v>1650</v>
      </c>
      <c r="AG200" s="87" t="s">
        <v>1648</v>
      </c>
      <c r="AH200" s="87" t="s">
        <v>1648</v>
      </c>
      <c r="AI200" s="87" t="s">
        <v>1649</v>
      </c>
      <c r="AJ200" s="87" t="s">
        <v>1648</v>
      </c>
    </row>
    <row r="201" spans="1:36" ht="13.5" thickBot="1" x14ac:dyDescent="0.25">
      <c r="A201" s="48" t="s">
        <v>626</v>
      </c>
      <c r="B201" s="347" t="s">
        <v>625</v>
      </c>
      <c r="C201" s="48" t="s">
        <v>3072</v>
      </c>
      <c r="D201" s="48" t="s">
        <v>25</v>
      </c>
      <c r="E201" s="48" t="s">
        <v>1949</v>
      </c>
      <c r="F201" s="87" t="s">
        <v>1648</v>
      </c>
      <c r="G201" s="87" t="s">
        <v>1648</v>
      </c>
      <c r="H201" s="244">
        <v>120</v>
      </c>
      <c r="I201" s="87" t="s">
        <v>1649</v>
      </c>
      <c r="J201" s="244">
        <v>0</v>
      </c>
      <c r="K201" s="87" t="s">
        <v>1649</v>
      </c>
      <c r="L201" s="87" t="s">
        <v>1648</v>
      </c>
      <c r="M201" s="244">
        <v>5773</v>
      </c>
      <c r="N201" s="87" t="s">
        <v>1648</v>
      </c>
      <c r="O201" s="87" t="s">
        <v>1648</v>
      </c>
      <c r="P201" s="87" t="s">
        <v>1648</v>
      </c>
      <c r="Q201" s="244">
        <v>0</v>
      </c>
      <c r="R201" s="244">
        <v>0</v>
      </c>
      <c r="S201" s="244">
        <v>2</v>
      </c>
      <c r="T201" s="244">
        <v>5</v>
      </c>
      <c r="U201" s="244">
        <v>0</v>
      </c>
      <c r="V201" s="244">
        <v>0</v>
      </c>
      <c r="W201" s="244">
        <v>0</v>
      </c>
      <c r="X201" s="244">
        <v>0</v>
      </c>
      <c r="Y201" s="244">
        <v>47</v>
      </c>
      <c r="Z201" s="244">
        <v>1396</v>
      </c>
      <c r="AA201" s="87" t="s">
        <v>1649</v>
      </c>
      <c r="AB201" s="87" t="s">
        <v>1649</v>
      </c>
      <c r="AC201" s="244">
        <v>0</v>
      </c>
      <c r="AD201" s="87" t="s">
        <v>1648</v>
      </c>
      <c r="AE201" s="244">
        <v>1200</v>
      </c>
      <c r="AF201" s="87" t="s">
        <v>1650</v>
      </c>
      <c r="AG201" s="87" t="s">
        <v>1648</v>
      </c>
      <c r="AH201" s="87" t="s">
        <v>1648</v>
      </c>
      <c r="AI201" s="87" t="s">
        <v>1648</v>
      </c>
      <c r="AJ201" s="87" t="s">
        <v>1648</v>
      </c>
    </row>
    <row r="202" spans="1:36" ht="13.5" thickBot="1" x14ac:dyDescent="0.25">
      <c r="A202" s="48" t="s">
        <v>634</v>
      </c>
      <c r="B202" s="347" t="s">
        <v>633</v>
      </c>
      <c r="C202" s="48" t="s">
        <v>3098</v>
      </c>
      <c r="D202" s="48" t="s">
        <v>25</v>
      </c>
      <c r="E202" s="48" t="s">
        <v>890</v>
      </c>
      <c r="F202" s="87" t="s">
        <v>1648</v>
      </c>
      <c r="G202" s="87" t="s">
        <v>1649</v>
      </c>
      <c r="H202" s="244">
        <v>0</v>
      </c>
      <c r="I202" s="87" t="s">
        <v>1648</v>
      </c>
      <c r="J202" s="244">
        <v>957</v>
      </c>
      <c r="K202" s="87" t="s">
        <v>1649</v>
      </c>
      <c r="L202" s="87" t="s">
        <v>1649</v>
      </c>
      <c r="M202" s="244">
        <v>0</v>
      </c>
      <c r="N202" s="87" t="s">
        <v>1649</v>
      </c>
      <c r="O202" s="87" t="s">
        <v>1649</v>
      </c>
      <c r="P202" s="87" t="s">
        <v>1649</v>
      </c>
      <c r="Q202" s="244">
        <v>0</v>
      </c>
      <c r="R202" s="244">
        <v>0</v>
      </c>
      <c r="S202" s="87" t="s">
        <v>1660</v>
      </c>
      <c r="T202" s="244">
        <v>0</v>
      </c>
      <c r="U202" s="244">
        <v>0</v>
      </c>
      <c r="V202" s="244">
        <v>0</v>
      </c>
      <c r="W202" s="244">
        <v>0</v>
      </c>
      <c r="X202" s="244">
        <v>0</v>
      </c>
      <c r="Y202" s="244">
        <v>0</v>
      </c>
      <c r="Z202" s="244">
        <v>0</v>
      </c>
      <c r="AA202" s="87" t="s">
        <v>1649</v>
      </c>
      <c r="AB202" s="87" t="s">
        <v>1649</v>
      </c>
      <c r="AC202" s="87" t="s">
        <v>1660</v>
      </c>
      <c r="AD202" s="87" t="s">
        <v>1649</v>
      </c>
      <c r="AE202" s="244">
        <v>1814</v>
      </c>
      <c r="AF202" s="87" t="s">
        <v>1651</v>
      </c>
      <c r="AG202" s="87" t="s">
        <v>1648</v>
      </c>
      <c r="AH202" s="87" t="s">
        <v>1648</v>
      </c>
      <c r="AI202" s="87" t="s">
        <v>1649</v>
      </c>
      <c r="AJ202" s="87" t="s">
        <v>1649</v>
      </c>
    </row>
    <row r="203" spans="1:36" ht="13.5" thickBot="1" x14ac:dyDescent="0.25">
      <c r="A203" s="48" t="s">
        <v>650</v>
      </c>
      <c r="B203" s="347" t="s">
        <v>649</v>
      </c>
      <c r="C203" s="48" t="s">
        <v>3055</v>
      </c>
      <c r="D203" s="48" t="s">
        <v>25</v>
      </c>
      <c r="E203" s="48" t="s">
        <v>1949</v>
      </c>
      <c r="F203" s="87" t="s">
        <v>1648</v>
      </c>
      <c r="G203" s="87" t="s">
        <v>1648</v>
      </c>
      <c r="H203" s="244">
        <v>740</v>
      </c>
      <c r="I203" s="87" t="s">
        <v>1648</v>
      </c>
      <c r="J203" s="244">
        <v>304</v>
      </c>
      <c r="K203" s="87" t="s">
        <v>1649</v>
      </c>
      <c r="L203" s="87" t="s">
        <v>1649</v>
      </c>
      <c r="M203" s="244">
        <v>0</v>
      </c>
      <c r="N203" s="87" t="s">
        <v>1648</v>
      </c>
      <c r="O203" s="87" t="s">
        <v>1648</v>
      </c>
      <c r="P203" s="87" t="s">
        <v>1649</v>
      </c>
      <c r="Q203" s="244">
        <v>2</v>
      </c>
      <c r="R203" s="244">
        <v>0</v>
      </c>
      <c r="S203" s="244">
        <v>1</v>
      </c>
      <c r="T203" s="244">
        <v>0</v>
      </c>
      <c r="U203" s="244">
        <v>1</v>
      </c>
      <c r="V203" s="244">
        <v>4</v>
      </c>
      <c r="W203" s="244">
        <v>0</v>
      </c>
      <c r="X203" s="244">
        <v>0</v>
      </c>
      <c r="Y203" s="244">
        <v>0</v>
      </c>
      <c r="Z203" s="244">
        <v>0</v>
      </c>
      <c r="AA203" s="87" t="s">
        <v>1648</v>
      </c>
      <c r="AB203" s="87" t="s">
        <v>1649</v>
      </c>
      <c r="AC203" s="244">
        <v>0</v>
      </c>
      <c r="AD203" s="87" t="s">
        <v>1648</v>
      </c>
      <c r="AE203" s="244">
        <v>15912</v>
      </c>
      <c r="AF203" s="87" t="s">
        <v>1650</v>
      </c>
      <c r="AG203" s="87" t="s">
        <v>1648</v>
      </c>
      <c r="AH203" s="87" t="s">
        <v>1648</v>
      </c>
      <c r="AI203" s="87" t="s">
        <v>1649</v>
      </c>
      <c r="AJ203" s="87" t="s">
        <v>1649</v>
      </c>
    </row>
    <row r="204" spans="1:36" ht="13.5" thickBot="1" x14ac:dyDescent="0.25">
      <c r="A204" s="48" t="s">
        <v>652</v>
      </c>
      <c r="B204" s="347" t="s">
        <v>651</v>
      </c>
      <c r="C204" s="48" t="s">
        <v>3058</v>
      </c>
      <c r="D204" s="48" t="s">
        <v>25</v>
      </c>
      <c r="E204" s="48" t="s">
        <v>1949</v>
      </c>
      <c r="F204" s="87" t="s">
        <v>1648</v>
      </c>
      <c r="G204" s="87" t="s">
        <v>1649</v>
      </c>
      <c r="H204" s="244">
        <v>10</v>
      </c>
      <c r="I204" s="87" t="s">
        <v>1648</v>
      </c>
      <c r="J204" s="244">
        <v>750</v>
      </c>
      <c r="K204" s="87" t="s">
        <v>1649</v>
      </c>
      <c r="L204" s="87" t="s">
        <v>1648</v>
      </c>
      <c r="M204" s="244">
        <v>4624</v>
      </c>
      <c r="N204" s="87" t="s">
        <v>1648</v>
      </c>
      <c r="O204" s="87" t="s">
        <v>1648</v>
      </c>
      <c r="P204" s="87" t="s">
        <v>1648</v>
      </c>
      <c r="Q204" s="244">
        <v>2</v>
      </c>
      <c r="R204" s="244">
        <v>10</v>
      </c>
      <c r="S204" s="244">
        <v>0</v>
      </c>
      <c r="T204" s="244">
        <v>0</v>
      </c>
      <c r="U204" s="244">
        <v>0</v>
      </c>
      <c r="V204" s="244">
        <v>0</v>
      </c>
      <c r="W204" s="244">
        <v>0</v>
      </c>
      <c r="X204" s="244">
        <v>0</v>
      </c>
      <c r="Y204" s="244">
        <v>10</v>
      </c>
      <c r="Z204" s="244">
        <v>30</v>
      </c>
      <c r="AA204" s="87" t="s">
        <v>1649</v>
      </c>
      <c r="AB204" s="87" t="s">
        <v>1649</v>
      </c>
      <c r="AC204" s="244">
        <v>0</v>
      </c>
      <c r="AD204" s="87" t="s">
        <v>1649</v>
      </c>
      <c r="AE204" s="244">
        <v>3964</v>
      </c>
      <c r="AF204" s="87" t="s">
        <v>1650</v>
      </c>
      <c r="AG204" s="87" t="s">
        <v>1649</v>
      </c>
      <c r="AH204" s="87" t="s">
        <v>1648</v>
      </c>
      <c r="AI204" s="87" t="s">
        <v>1649</v>
      </c>
      <c r="AJ204" s="87" t="s">
        <v>1648</v>
      </c>
    </row>
    <row r="205" spans="1:36" ht="13.5" thickBot="1" x14ac:dyDescent="0.25">
      <c r="A205" s="48" t="s">
        <v>660</v>
      </c>
      <c r="B205" s="347" t="s">
        <v>659</v>
      </c>
      <c r="C205" s="48" t="s">
        <v>3074</v>
      </c>
      <c r="D205" s="48" t="s">
        <v>25</v>
      </c>
      <c r="E205" s="48" t="s">
        <v>1919</v>
      </c>
      <c r="F205" s="87" t="s">
        <v>1648</v>
      </c>
      <c r="G205" s="87" t="s">
        <v>1648</v>
      </c>
      <c r="H205" s="244">
        <v>520</v>
      </c>
      <c r="I205" s="87" t="s">
        <v>1649</v>
      </c>
      <c r="J205" s="244">
        <v>117</v>
      </c>
      <c r="K205" s="87" t="s">
        <v>1649</v>
      </c>
      <c r="L205" s="87" t="s">
        <v>1649</v>
      </c>
      <c r="M205" s="244">
        <v>0</v>
      </c>
      <c r="N205" s="87" t="s">
        <v>1649</v>
      </c>
      <c r="O205" s="87" t="s">
        <v>1649</v>
      </c>
      <c r="P205" s="87" t="s">
        <v>1649</v>
      </c>
      <c r="Q205" s="244">
        <v>0</v>
      </c>
      <c r="R205" s="244">
        <v>0</v>
      </c>
      <c r="S205" s="244">
        <v>0</v>
      </c>
      <c r="T205" s="244">
        <v>0</v>
      </c>
      <c r="U205" s="244">
        <v>0</v>
      </c>
      <c r="V205" s="244">
        <v>0</v>
      </c>
      <c r="W205" s="244">
        <v>0</v>
      </c>
      <c r="X205" s="244">
        <v>0</v>
      </c>
      <c r="Y205" s="244">
        <v>0</v>
      </c>
      <c r="Z205" s="244">
        <v>0</v>
      </c>
      <c r="AA205" s="87" t="s">
        <v>1648</v>
      </c>
      <c r="AB205" s="87" t="s">
        <v>1649</v>
      </c>
      <c r="AC205" s="244">
        <v>0</v>
      </c>
      <c r="AD205" s="87" t="s">
        <v>1649</v>
      </c>
      <c r="AE205" s="244">
        <v>4087</v>
      </c>
      <c r="AF205" s="87" t="s">
        <v>1650</v>
      </c>
      <c r="AG205" s="87" t="s">
        <v>1648</v>
      </c>
      <c r="AH205" s="87" t="s">
        <v>1649</v>
      </c>
      <c r="AI205" s="87" t="s">
        <v>1649</v>
      </c>
      <c r="AJ205" s="87" t="s">
        <v>1649</v>
      </c>
    </row>
    <row r="206" spans="1:36" ht="13.5" thickBot="1" x14ac:dyDescent="0.25">
      <c r="A206" s="48" t="s">
        <v>666</v>
      </c>
      <c r="B206" s="347" t="s">
        <v>665</v>
      </c>
      <c r="C206" s="48" t="s">
        <v>3058</v>
      </c>
      <c r="D206" s="48" t="s">
        <v>25</v>
      </c>
      <c r="E206" s="48" t="s">
        <v>1949</v>
      </c>
      <c r="F206" s="257" t="s">
        <v>1648</v>
      </c>
      <c r="G206" s="87" t="s">
        <v>1649</v>
      </c>
      <c r="H206" s="244">
        <v>0</v>
      </c>
      <c r="I206" s="87" t="s">
        <v>1649</v>
      </c>
      <c r="J206" s="244">
        <v>0</v>
      </c>
      <c r="K206" s="87" t="s">
        <v>1649</v>
      </c>
      <c r="L206" s="87" t="s">
        <v>1649</v>
      </c>
      <c r="M206" s="244">
        <v>0</v>
      </c>
      <c r="N206" s="87" t="s">
        <v>1648</v>
      </c>
      <c r="O206" s="87" t="s">
        <v>1649</v>
      </c>
      <c r="P206" s="87" t="s">
        <v>1649</v>
      </c>
      <c r="Q206" s="244">
        <v>0</v>
      </c>
      <c r="R206" s="244">
        <v>0</v>
      </c>
      <c r="S206" s="244">
        <v>0</v>
      </c>
      <c r="T206" s="244">
        <v>0</v>
      </c>
      <c r="U206" s="244">
        <v>0</v>
      </c>
      <c r="V206" s="244">
        <v>0</v>
      </c>
      <c r="W206" s="244">
        <v>0</v>
      </c>
      <c r="X206" s="244">
        <v>0</v>
      </c>
      <c r="Y206" s="244">
        <v>0</v>
      </c>
      <c r="Z206" s="244">
        <v>0</v>
      </c>
      <c r="AA206" s="87" t="s">
        <v>1649</v>
      </c>
      <c r="AB206" s="87" t="s">
        <v>1649</v>
      </c>
      <c r="AC206" s="244">
        <v>0</v>
      </c>
      <c r="AD206" s="87" t="s">
        <v>1649</v>
      </c>
      <c r="AE206" s="244">
        <v>6500</v>
      </c>
      <c r="AF206" s="87" t="s">
        <v>1650</v>
      </c>
      <c r="AG206" s="87" t="s">
        <v>1648</v>
      </c>
      <c r="AH206" s="87" t="s">
        <v>1648</v>
      </c>
      <c r="AI206" s="87" t="s">
        <v>1649</v>
      </c>
      <c r="AJ206" s="87" t="s">
        <v>1648</v>
      </c>
    </row>
    <row r="207" spans="1:36" ht="13.5" thickBot="1" x14ac:dyDescent="0.25">
      <c r="A207" s="48" t="s">
        <v>670</v>
      </c>
      <c r="B207" s="347" t="s">
        <v>669</v>
      </c>
      <c r="C207" s="48" t="s">
        <v>3074</v>
      </c>
      <c r="D207" s="48" t="s">
        <v>25</v>
      </c>
      <c r="E207" s="48" t="s">
        <v>1949</v>
      </c>
      <c r="F207" s="87" t="s">
        <v>1648</v>
      </c>
      <c r="G207" s="87" t="s">
        <v>1648</v>
      </c>
      <c r="H207" s="244">
        <v>680</v>
      </c>
      <c r="I207" s="87" t="s">
        <v>1649</v>
      </c>
      <c r="J207" s="244">
        <v>0</v>
      </c>
      <c r="K207" s="87" t="s">
        <v>1649</v>
      </c>
      <c r="L207" s="87" t="s">
        <v>1649</v>
      </c>
      <c r="M207" s="244">
        <v>0</v>
      </c>
      <c r="N207" s="87" t="s">
        <v>1648</v>
      </c>
      <c r="O207" s="87" t="s">
        <v>1649</v>
      </c>
      <c r="P207" s="87" t="s">
        <v>1648</v>
      </c>
      <c r="Q207" s="244">
        <v>0</v>
      </c>
      <c r="R207" s="244">
        <v>0</v>
      </c>
      <c r="S207" s="244">
        <v>0</v>
      </c>
      <c r="T207" s="244">
        <v>0</v>
      </c>
      <c r="U207" s="244">
        <v>0</v>
      </c>
      <c r="V207" s="244">
        <v>0</v>
      </c>
      <c r="W207" s="244">
        <v>0</v>
      </c>
      <c r="X207" s="244">
        <v>0</v>
      </c>
      <c r="Y207" s="244">
        <v>11</v>
      </c>
      <c r="Z207" s="244">
        <v>150</v>
      </c>
      <c r="AA207" s="87" t="s">
        <v>1648</v>
      </c>
      <c r="AB207" s="87" t="s">
        <v>1648</v>
      </c>
      <c r="AC207" s="244">
        <v>8</v>
      </c>
      <c r="AD207" s="87" t="s">
        <v>1648</v>
      </c>
      <c r="AE207" s="244">
        <v>1500</v>
      </c>
      <c r="AF207" s="87" t="s">
        <v>1650</v>
      </c>
      <c r="AG207" s="87" t="s">
        <v>1648</v>
      </c>
      <c r="AH207" s="87" t="s">
        <v>1648</v>
      </c>
      <c r="AI207" s="87" t="s">
        <v>1649</v>
      </c>
      <c r="AJ207" s="87" t="s">
        <v>1649</v>
      </c>
    </row>
    <row r="208" spans="1:36" ht="13.5" thickBot="1" x14ac:dyDescent="0.25">
      <c r="A208" s="48" t="s">
        <v>676</v>
      </c>
      <c r="B208" s="347" t="s">
        <v>675</v>
      </c>
      <c r="C208" s="48" t="s">
        <v>3061</v>
      </c>
      <c r="D208" s="48" t="s">
        <v>25</v>
      </c>
      <c r="E208" s="48" t="s">
        <v>2066</v>
      </c>
      <c r="F208" s="87" t="s">
        <v>1648</v>
      </c>
      <c r="G208" s="87" t="s">
        <v>1648</v>
      </c>
      <c r="H208" s="244">
        <v>480</v>
      </c>
      <c r="I208" s="87" t="s">
        <v>1649</v>
      </c>
      <c r="J208" s="244">
        <v>0</v>
      </c>
      <c r="K208" s="87" t="s">
        <v>1649</v>
      </c>
      <c r="L208" s="87" t="s">
        <v>1649</v>
      </c>
      <c r="M208" s="244">
        <v>0</v>
      </c>
      <c r="N208" s="87" t="s">
        <v>1648</v>
      </c>
      <c r="O208" s="87" t="s">
        <v>1648</v>
      </c>
      <c r="P208" s="87" t="s">
        <v>1648</v>
      </c>
      <c r="Q208" s="244">
        <v>14</v>
      </c>
      <c r="R208" s="244">
        <v>32</v>
      </c>
      <c r="S208" s="244">
        <v>1</v>
      </c>
      <c r="T208" s="244">
        <v>3</v>
      </c>
      <c r="U208" s="244">
        <v>0</v>
      </c>
      <c r="V208" s="244">
        <v>0</v>
      </c>
      <c r="W208" s="244">
        <v>14</v>
      </c>
      <c r="X208" s="244">
        <v>109</v>
      </c>
      <c r="Y208" s="244">
        <v>11</v>
      </c>
      <c r="Z208" s="244">
        <v>8499</v>
      </c>
      <c r="AA208" s="87" t="s">
        <v>1648</v>
      </c>
      <c r="AB208" s="87" t="s">
        <v>1649</v>
      </c>
      <c r="AC208" s="244">
        <v>0</v>
      </c>
      <c r="AD208" s="87" t="s">
        <v>1648</v>
      </c>
      <c r="AE208" s="244">
        <v>1848</v>
      </c>
      <c r="AF208" s="87" t="s">
        <v>1650</v>
      </c>
      <c r="AG208" s="87" t="s">
        <v>1648</v>
      </c>
      <c r="AH208" s="87" t="s">
        <v>1648</v>
      </c>
      <c r="AI208" s="87" t="s">
        <v>1649</v>
      </c>
      <c r="AJ208" s="87" t="s">
        <v>1648</v>
      </c>
    </row>
    <row r="209" spans="1:36" ht="13.5" thickBot="1" x14ac:dyDescent="0.25">
      <c r="A209" s="48" t="s">
        <v>682</v>
      </c>
      <c r="B209" s="347" t="s">
        <v>681</v>
      </c>
      <c r="C209" s="48" t="s">
        <v>3059</v>
      </c>
      <c r="D209" s="48" t="s">
        <v>25</v>
      </c>
      <c r="E209" s="48" t="s">
        <v>1949</v>
      </c>
      <c r="F209" s="87" t="s">
        <v>1648</v>
      </c>
      <c r="G209" s="87" t="s">
        <v>1648</v>
      </c>
      <c r="H209" s="244">
        <v>84</v>
      </c>
      <c r="I209" s="87" t="s">
        <v>1648</v>
      </c>
      <c r="J209" s="244">
        <v>2290</v>
      </c>
      <c r="K209" s="87" t="s">
        <v>1649</v>
      </c>
      <c r="L209" s="87" t="s">
        <v>1648</v>
      </c>
      <c r="M209" s="244">
        <v>16000</v>
      </c>
      <c r="N209" s="87" t="s">
        <v>1648</v>
      </c>
      <c r="O209" s="87" t="s">
        <v>1648</v>
      </c>
      <c r="P209" s="87" t="s">
        <v>1648</v>
      </c>
      <c r="Q209" s="244">
        <v>15</v>
      </c>
      <c r="R209" s="244">
        <v>0</v>
      </c>
      <c r="S209" s="244">
        <v>0</v>
      </c>
      <c r="T209" s="244">
        <v>0</v>
      </c>
      <c r="U209" s="244">
        <v>0</v>
      </c>
      <c r="V209" s="244">
        <v>0</v>
      </c>
      <c r="W209" s="244">
        <v>0</v>
      </c>
      <c r="X209" s="244">
        <v>0</v>
      </c>
      <c r="Y209" s="244">
        <v>0</v>
      </c>
      <c r="Z209" s="244">
        <v>0</v>
      </c>
      <c r="AA209" s="87" t="s">
        <v>1648</v>
      </c>
      <c r="AB209" s="87" t="s">
        <v>1649</v>
      </c>
      <c r="AC209" s="244">
        <v>0</v>
      </c>
      <c r="AD209" s="87" t="s">
        <v>1648</v>
      </c>
      <c r="AE209" s="244">
        <v>0</v>
      </c>
      <c r="AF209" s="87" t="s">
        <v>1650</v>
      </c>
      <c r="AG209" s="87" t="s">
        <v>1648</v>
      </c>
      <c r="AH209" s="87" t="s">
        <v>1648</v>
      </c>
      <c r="AI209" s="87" t="s">
        <v>1648</v>
      </c>
      <c r="AJ209" s="87" t="s">
        <v>1648</v>
      </c>
    </row>
    <row r="210" spans="1:36" ht="13.5" thickBot="1" x14ac:dyDescent="0.25">
      <c r="A210" s="48" t="s">
        <v>694</v>
      </c>
      <c r="B210" s="347" t="s">
        <v>693</v>
      </c>
      <c r="C210" s="48" t="s">
        <v>3072</v>
      </c>
      <c r="D210" s="48" t="s">
        <v>25</v>
      </c>
      <c r="E210" s="48" t="s">
        <v>890</v>
      </c>
      <c r="F210" s="87" t="s">
        <v>1648</v>
      </c>
      <c r="G210" s="87" t="s">
        <v>1648</v>
      </c>
      <c r="H210" s="244">
        <v>832</v>
      </c>
      <c r="I210" s="87" t="s">
        <v>1649</v>
      </c>
      <c r="J210" s="244">
        <v>0</v>
      </c>
      <c r="K210" s="87" t="s">
        <v>1649</v>
      </c>
      <c r="L210" s="87" t="s">
        <v>1649</v>
      </c>
      <c r="M210" s="244">
        <v>0</v>
      </c>
      <c r="N210" s="87" t="s">
        <v>1649</v>
      </c>
      <c r="O210" s="87" t="s">
        <v>1649</v>
      </c>
      <c r="P210" s="87" t="s">
        <v>1649</v>
      </c>
      <c r="Q210" s="244">
        <v>0</v>
      </c>
      <c r="R210" s="244">
        <v>0</v>
      </c>
      <c r="S210" s="244">
        <v>0</v>
      </c>
      <c r="T210" s="244">
        <v>0</v>
      </c>
      <c r="U210" s="244">
        <v>0</v>
      </c>
      <c r="V210" s="244">
        <v>0</v>
      </c>
      <c r="W210" s="244">
        <v>0</v>
      </c>
      <c r="X210" s="244">
        <v>0</v>
      </c>
      <c r="Y210" s="244">
        <v>0</v>
      </c>
      <c r="Z210" s="244">
        <v>0</v>
      </c>
      <c r="AA210" s="87" t="s">
        <v>1649</v>
      </c>
      <c r="AB210" s="87" t="s">
        <v>1649</v>
      </c>
      <c r="AC210" s="244">
        <v>0</v>
      </c>
      <c r="AD210" s="87" t="s">
        <v>1648</v>
      </c>
      <c r="AE210" s="244">
        <v>3798</v>
      </c>
      <c r="AF210" s="87" t="s">
        <v>1650</v>
      </c>
      <c r="AG210" s="87" t="s">
        <v>1649</v>
      </c>
      <c r="AH210" s="87" t="s">
        <v>1648</v>
      </c>
      <c r="AI210" s="87" t="s">
        <v>1649</v>
      </c>
      <c r="AJ210" s="87" t="s">
        <v>1649</v>
      </c>
    </row>
    <row r="211" spans="1:36" ht="13.5" thickBot="1" x14ac:dyDescent="0.25">
      <c r="A211" s="48" t="s">
        <v>700</v>
      </c>
      <c r="B211" s="347" t="s">
        <v>699</v>
      </c>
      <c r="C211" s="48" t="s">
        <v>3074</v>
      </c>
      <c r="D211" s="48" t="s">
        <v>25</v>
      </c>
      <c r="E211" s="48" t="s">
        <v>1919</v>
      </c>
      <c r="F211" s="87" t="s">
        <v>1648</v>
      </c>
      <c r="G211" s="87" t="s">
        <v>1648</v>
      </c>
      <c r="H211" s="244">
        <v>26</v>
      </c>
      <c r="I211" s="87" t="s">
        <v>1649</v>
      </c>
      <c r="J211" s="244">
        <v>20</v>
      </c>
      <c r="K211" s="87" t="s">
        <v>1649</v>
      </c>
      <c r="L211" s="87" t="s">
        <v>1649</v>
      </c>
      <c r="M211" s="244">
        <v>0</v>
      </c>
      <c r="N211" s="87" t="s">
        <v>1648</v>
      </c>
      <c r="O211" s="87" t="s">
        <v>1649</v>
      </c>
      <c r="P211" s="87" t="s">
        <v>1648</v>
      </c>
      <c r="Q211" s="244">
        <v>1</v>
      </c>
      <c r="R211" s="244">
        <v>193</v>
      </c>
      <c r="S211" s="244">
        <v>0</v>
      </c>
      <c r="T211" s="244">
        <v>0</v>
      </c>
      <c r="U211" s="244">
        <v>0</v>
      </c>
      <c r="V211" s="244">
        <v>0</v>
      </c>
      <c r="W211" s="244">
        <v>0</v>
      </c>
      <c r="X211" s="244">
        <v>0</v>
      </c>
      <c r="Y211" s="244">
        <v>1</v>
      </c>
      <c r="Z211" s="244">
        <v>193</v>
      </c>
      <c r="AA211" s="87" t="s">
        <v>1648</v>
      </c>
      <c r="AB211" s="87" t="s">
        <v>1649</v>
      </c>
      <c r="AC211" s="244">
        <v>0</v>
      </c>
      <c r="AD211" s="87" t="s">
        <v>1648</v>
      </c>
      <c r="AE211" s="244">
        <v>9073</v>
      </c>
      <c r="AF211" s="87" t="s">
        <v>1650</v>
      </c>
      <c r="AG211" s="87" t="s">
        <v>1648</v>
      </c>
      <c r="AH211" s="87" t="s">
        <v>1648</v>
      </c>
      <c r="AI211" s="87" t="s">
        <v>1649</v>
      </c>
      <c r="AJ211" s="87" t="s">
        <v>1648</v>
      </c>
    </row>
    <row r="212" spans="1:36" ht="13.5" thickBot="1" x14ac:dyDescent="0.25">
      <c r="A212" s="48" t="s">
        <v>702</v>
      </c>
      <c r="B212" s="347" t="s">
        <v>701</v>
      </c>
      <c r="C212" s="48" t="s">
        <v>3053</v>
      </c>
      <c r="D212" s="48" t="s">
        <v>25</v>
      </c>
      <c r="E212" s="48" t="s">
        <v>890</v>
      </c>
      <c r="F212" s="87" t="s">
        <v>1648</v>
      </c>
      <c r="G212" s="87" t="s">
        <v>1648</v>
      </c>
      <c r="H212" s="244">
        <v>440</v>
      </c>
      <c r="I212" s="87" t="s">
        <v>1649</v>
      </c>
      <c r="J212" s="244">
        <v>0</v>
      </c>
      <c r="K212" s="87" t="s">
        <v>1649</v>
      </c>
      <c r="L212" s="87" t="s">
        <v>1649</v>
      </c>
      <c r="M212" s="244">
        <v>0</v>
      </c>
      <c r="N212" s="87" t="s">
        <v>1648</v>
      </c>
      <c r="O212" s="87" t="s">
        <v>1648</v>
      </c>
      <c r="P212" s="87" t="s">
        <v>1648</v>
      </c>
      <c r="Q212" s="244">
        <v>9</v>
      </c>
      <c r="R212" s="244">
        <v>195</v>
      </c>
      <c r="S212" s="244">
        <v>0</v>
      </c>
      <c r="T212" s="244">
        <v>0</v>
      </c>
      <c r="U212" s="244">
        <v>0</v>
      </c>
      <c r="V212" s="244">
        <v>0</v>
      </c>
      <c r="W212" s="244">
        <v>0</v>
      </c>
      <c r="X212" s="244">
        <v>0</v>
      </c>
      <c r="Y212" s="244">
        <v>18</v>
      </c>
      <c r="Z212" s="244">
        <v>269</v>
      </c>
      <c r="AA212" s="87" t="s">
        <v>1648</v>
      </c>
      <c r="AB212" s="87" t="s">
        <v>1649</v>
      </c>
      <c r="AC212" s="244">
        <v>0</v>
      </c>
      <c r="AD212" s="87" t="s">
        <v>1648</v>
      </c>
      <c r="AE212" s="244">
        <v>2400</v>
      </c>
      <c r="AF212" s="87" t="s">
        <v>1650</v>
      </c>
      <c r="AG212" s="87" t="s">
        <v>1648</v>
      </c>
      <c r="AH212" s="87" t="s">
        <v>1648</v>
      </c>
      <c r="AI212" s="87" t="s">
        <v>1649</v>
      </c>
      <c r="AJ212" s="87" t="s">
        <v>1648</v>
      </c>
    </row>
    <row r="213" spans="1:36" ht="13.5" thickBot="1" x14ac:dyDescent="0.25">
      <c r="A213" s="48" t="s">
        <v>718</v>
      </c>
      <c r="B213" s="347" t="s">
        <v>717</v>
      </c>
      <c r="C213" s="48" t="s">
        <v>3059</v>
      </c>
      <c r="D213" s="48" t="s">
        <v>25</v>
      </c>
      <c r="E213" s="48" t="s">
        <v>1919</v>
      </c>
      <c r="F213" s="87" t="s">
        <v>1648</v>
      </c>
      <c r="G213" s="87" t="s">
        <v>1648</v>
      </c>
      <c r="H213" s="244">
        <v>0</v>
      </c>
      <c r="I213" s="87" t="s">
        <v>1649</v>
      </c>
      <c r="J213" s="244">
        <v>0</v>
      </c>
      <c r="K213" s="87" t="s">
        <v>1649</v>
      </c>
      <c r="L213" s="87" t="s">
        <v>1649</v>
      </c>
      <c r="M213" s="244">
        <v>0</v>
      </c>
      <c r="N213" s="87" t="s">
        <v>1649</v>
      </c>
      <c r="O213" s="87" t="s">
        <v>1649</v>
      </c>
      <c r="P213" s="87" t="s">
        <v>1649</v>
      </c>
      <c r="Q213" s="244">
        <v>0</v>
      </c>
      <c r="R213" s="244">
        <v>0</v>
      </c>
      <c r="S213" s="244">
        <v>0</v>
      </c>
      <c r="T213" s="244">
        <v>0</v>
      </c>
      <c r="U213" s="244">
        <v>0</v>
      </c>
      <c r="V213" s="244">
        <v>0</v>
      </c>
      <c r="W213" s="244">
        <v>0</v>
      </c>
      <c r="X213" s="244">
        <v>0</v>
      </c>
      <c r="Y213" s="244">
        <v>0</v>
      </c>
      <c r="Z213" s="244">
        <v>0</v>
      </c>
      <c r="AA213" s="87" t="s">
        <v>1648</v>
      </c>
      <c r="AB213" s="87" t="s">
        <v>1648</v>
      </c>
      <c r="AC213" s="244">
        <v>15</v>
      </c>
      <c r="AD213" s="87" t="s">
        <v>1648</v>
      </c>
      <c r="AE213" s="244">
        <v>3100</v>
      </c>
      <c r="AF213" s="87" t="s">
        <v>1650</v>
      </c>
      <c r="AG213" s="87" t="s">
        <v>1648</v>
      </c>
      <c r="AH213" s="87" t="s">
        <v>1648</v>
      </c>
      <c r="AI213" s="87" t="s">
        <v>1649</v>
      </c>
      <c r="AJ213" s="87" t="s">
        <v>1649</v>
      </c>
    </row>
    <row r="214" spans="1:36" ht="13.5" thickBot="1" x14ac:dyDescent="0.25">
      <c r="A214" s="48" t="s">
        <v>722</v>
      </c>
      <c r="B214" s="347" t="s">
        <v>721</v>
      </c>
      <c r="C214" s="48" t="s">
        <v>3077</v>
      </c>
      <c r="D214" s="48" t="s">
        <v>25</v>
      </c>
      <c r="E214" s="48" t="s">
        <v>2133</v>
      </c>
      <c r="F214" s="87" t="s">
        <v>1648</v>
      </c>
      <c r="G214" s="87" t="s">
        <v>1648</v>
      </c>
      <c r="H214" s="244">
        <v>600</v>
      </c>
      <c r="I214" s="87" t="s">
        <v>1648</v>
      </c>
      <c r="J214" s="244">
        <v>48</v>
      </c>
      <c r="K214" s="87" t="s">
        <v>1649</v>
      </c>
      <c r="L214" s="87" t="s">
        <v>1648</v>
      </c>
      <c r="M214" s="244">
        <v>1763</v>
      </c>
      <c r="N214" s="87" t="s">
        <v>1648</v>
      </c>
      <c r="O214" s="87" t="s">
        <v>1649</v>
      </c>
      <c r="P214" s="87" t="s">
        <v>1649</v>
      </c>
      <c r="Q214" s="244">
        <v>0</v>
      </c>
      <c r="R214" s="244">
        <v>0</v>
      </c>
      <c r="S214" s="244">
        <v>0</v>
      </c>
      <c r="T214" s="244">
        <v>0</v>
      </c>
      <c r="U214" s="244">
        <v>0</v>
      </c>
      <c r="V214" s="244">
        <v>0</v>
      </c>
      <c r="W214" s="244">
        <v>0</v>
      </c>
      <c r="X214" s="244">
        <v>0</v>
      </c>
      <c r="Y214" s="244">
        <v>0</v>
      </c>
      <c r="Z214" s="244">
        <v>0</v>
      </c>
      <c r="AA214" s="87" t="s">
        <v>1648</v>
      </c>
      <c r="AB214" s="87" t="s">
        <v>1649</v>
      </c>
      <c r="AC214" s="244">
        <v>0</v>
      </c>
      <c r="AD214" s="87" t="s">
        <v>1648</v>
      </c>
      <c r="AE214" s="244">
        <v>765</v>
      </c>
      <c r="AF214" s="87" t="s">
        <v>1650</v>
      </c>
      <c r="AG214" s="87" t="s">
        <v>1648</v>
      </c>
      <c r="AH214" s="87" t="s">
        <v>1648</v>
      </c>
      <c r="AI214" s="87" t="s">
        <v>1649</v>
      </c>
      <c r="AJ214" s="87" t="s">
        <v>1648</v>
      </c>
    </row>
    <row r="215" spans="1:36" ht="13.5" thickBot="1" x14ac:dyDescent="0.25">
      <c r="A215" s="48" t="s">
        <v>724</v>
      </c>
      <c r="B215" s="347" t="s">
        <v>723</v>
      </c>
      <c r="C215" s="48" t="s">
        <v>3074</v>
      </c>
      <c r="D215" s="48" t="s">
        <v>25</v>
      </c>
      <c r="E215" s="48" t="s">
        <v>1949</v>
      </c>
      <c r="F215" s="87" t="s">
        <v>1648</v>
      </c>
      <c r="G215" s="87" t="s">
        <v>1649</v>
      </c>
      <c r="H215" s="244">
        <v>400</v>
      </c>
      <c r="I215" s="87" t="s">
        <v>1648</v>
      </c>
      <c r="J215" s="244">
        <v>64</v>
      </c>
      <c r="K215" s="87" t="s">
        <v>1649</v>
      </c>
      <c r="L215" s="87" t="s">
        <v>1649</v>
      </c>
      <c r="M215" s="244">
        <v>0</v>
      </c>
      <c r="N215" s="87" t="s">
        <v>1648</v>
      </c>
      <c r="O215" s="87" t="s">
        <v>1648</v>
      </c>
      <c r="P215" s="87" t="s">
        <v>1648</v>
      </c>
      <c r="Q215" s="244">
        <v>0</v>
      </c>
      <c r="R215" s="244">
        <v>0</v>
      </c>
      <c r="S215" s="244">
        <v>0</v>
      </c>
      <c r="T215" s="244">
        <v>0</v>
      </c>
      <c r="U215" s="244">
        <v>0</v>
      </c>
      <c r="V215" s="244">
        <v>0</v>
      </c>
      <c r="W215" s="244">
        <v>0</v>
      </c>
      <c r="X215" s="244">
        <v>0</v>
      </c>
      <c r="Y215" s="244">
        <v>0</v>
      </c>
      <c r="Z215" s="244">
        <v>0</v>
      </c>
      <c r="AA215" s="87" t="s">
        <v>1649</v>
      </c>
      <c r="AB215" s="87" t="s">
        <v>1648</v>
      </c>
      <c r="AC215" s="87" t="s">
        <v>1660</v>
      </c>
      <c r="AD215" s="87" t="s">
        <v>1648</v>
      </c>
      <c r="AE215" s="244">
        <v>5220</v>
      </c>
      <c r="AF215" s="87" t="s">
        <v>1650</v>
      </c>
      <c r="AG215" s="87" t="s">
        <v>1648</v>
      </c>
      <c r="AH215" s="87" t="s">
        <v>1648</v>
      </c>
      <c r="AI215" s="87" t="s">
        <v>1648</v>
      </c>
      <c r="AJ215" s="87" t="s">
        <v>1648</v>
      </c>
    </row>
    <row r="216" spans="1:36" ht="13.5" thickBot="1" x14ac:dyDescent="0.25">
      <c r="A216" s="48" t="s">
        <v>734</v>
      </c>
      <c r="B216" s="347" t="s">
        <v>733</v>
      </c>
      <c r="C216" s="48" t="s">
        <v>3058</v>
      </c>
      <c r="D216" s="48" t="s">
        <v>25</v>
      </c>
      <c r="E216" s="48" t="s">
        <v>890</v>
      </c>
      <c r="F216" s="87" t="s">
        <v>1648</v>
      </c>
      <c r="G216" s="87" t="s">
        <v>1648</v>
      </c>
      <c r="H216" s="244">
        <v>517</v>
      </c>
      <c r="I216" s="87" t="s">
        <v>1649</v>
      </c>
      <c r="J216" s="244">
        <v>0</v>
      </c>
      <c r="K216" s="87" t="s">
        <v>1649</v>
      </c>
      <c r="L216" s="87" t="s">
        <v>1649</v>
      </c>
      <c r="M216" s="244">
        <v>0</v>
      </c>
      <c r="N216" s="87" t="s">
        <v>1649</v>
      </c>
      <c r="O216" s="87" t="s">
        <v>1648</v>
      </c>
      <c r="P216" s="87" t="s">
        <v>1649</v>
      </c>
      <c r="Q216" s="244">
        <v>0</v>
      </c>
      <c r="R216" s="244">
        <v>0</v>
      </c>
      <c r="S216" s="244">
        <v>2</v>
      </c>
      <c r="T216" s="244">
        <v>6</v>
      </c>
      <c r="U216" s="244">
        <v>0</v>
      </c>
      <c r="V216" s="244">
        <v>0</v>
      </c>
      <c r="W216" s="244">
        <v>0</v>
      </c>
      <c r="X216" s="244">
        <v>0</v>
      </c>
      <c r="Y216" s="244">
        <v>0</v>
      </c>
      <c r="Z216" s="244">
        <v>0</v>
      </c>
      <c r="AA216" s="87" t="s">
        <v>1648</v>
      </c>
      <c r="AB216" s="87" t="s">
        <v>1649</v>
      </c>
      <c r="AC216" s="244">
        <v>0</v>
      </c>
      <c r="AD216" s="87" t="s">
        <v>1648</v>
      </c>
      <c r="AE216" s="244">
        <v>2450</v>
      </c>
      <c r="AF216" s="87" t="s">
        <v>1651</v>
      </c>
      <c r="AG216" s="87" t="s">
        <v>1648</v>
      </c>
      <c r="AH216" s="87" t="s">
        <v>1648</v>
      </c>
      <c r="AI216" s="87" t="s">
        <v>1649</v>
      </c>
      <c r="AJ216" s="87" t="s">
        <v>1649</v>
      </c>
    </row>
    <row r="217" spans="1:36" ht="13.5" thickBot="1" x14ac:dyDescent="0.25">
      <c r="A217" s="48" t="s">
        <v>738</v>
      </c>
      <c r="B217" s="347" t="s">
        <v>737</v>
      </c>
      <c r="C217" s="48" t="s">
        <v>3058</v>
      </c>
      <c r="D217" s="48" t="s">
        <v>25</v>
      </c>
      <c r="E217" s="48" t="s">
        <v>1919</v>
      </c>
      <c r="F217" s="87" t="s">
        <v>1648</v>
      </c>
      <c r="G217" s="87" t="s">
        <v>1648</v>
      </c>
      <c r="H217" s="244">
        <v>870</v>
      </c>
      <c r="I217" s="87" t="s">
        <v>1648</v>
      </c>
      <c r="J217" s="244">
        <v>1606</v>
      </c>
      <c r="K217" s="87" t="s">
        <v>1649</v>
      </c>
      <c r="L217" s="87" t="s">
        <v>1649</v>
      </c>
      <c r="M217" s="244">
        <v>0</v>
      </c>
      <c r="N217" s="87" t="s">
        <v>1648</v>
      </c>
      <c r="O217" s="87" t="s">
        <v>1649</v>
      </c>
      <c r="P217" s="87" t="s">
        <v>1649</v>
      </c>
      <c r="Q217" s="244">
        <v>0</v>
      </c>
      <c r="R217" s="244">
        <v>0</v>
      </c>
      <c r="S217" s="244">
        <v>0</v>
      </c>
      <c r="T217" s="244">
        <v>0</v>
      </c>
      <c r="U217" s="244">
        <v>0</v>
      </c>
      <c r="V217" s="244">
        <v>0</v>
      </c>
      <c r="W217" s="244">
        <v>0</v>
      </c>
      <c r="X217" s="244">
        <v>0</v>
      </c>
      <c r="Y217" s="244">
        <v>0</v>
      </c>
      <c r="Z217" s="244">
        <v>0</v>
      </c>
      <c r="AA217" s="87" t="s">
        <v>1648</v>
      </c>
      <c r="AB217" s="87" t="s">
        <v>1649</v>
      </c>
      <c r="AC217" s="244">
        <v>0</v>
      </c>
      <c r="AD217" s="87" t="s">
        <v>1648</v>
      </c>
      <c r="AE217" s="244">
        <v>6864</v>
      </c>
      <c r="AF217" s="87" t="s">
        <v>1650</v>
      </c>
      <c r="AG217" s="87" t="s">
        <v>1648</v>
      </c>
      <c r="AH217" s="87" t="s">
        <v>1649</v>
      </c>
      <c r="AI217" s="87" t="s">
        <v>1649</v>
      </c>
      <c r="AJ217" s="87" t="s">
        <v>1649</v>
      </c>
    </row>
    <row r="218" spans="1:36" ht="13.5" thickBot="1" x14ac:dyDescent="0.25">
      <c r="A218" s="48" t="s">
        <v>740</v>
      </c>
      <c r="B218" s="347" t="s">
        <v>739</v>
      </c>
      <c r="C218" s="48" t="s">
        <v>3058</v>
      </c>
      <c r="D218" s="48" t="s">
        <v>25</v>
      </c>
      <c r="E218" s="48" t="s">
        <v>890</v>
      </c>
      <c r="F218" s="87" t="s">
        <v>1648</v>
      </c>
      <c r="G218" s="87" t="s">
        <v>1648</v>
      </c>
      <c r="H218" s="244">
        <v>75</v>
      </c>
      <c r="I218" s="87" t="s">
        <v>1648</v>
      </c>
      <c r="J218" s="244">
        <v>660</v>
      </c>
      <c r="K218" s="87" t="s">
        <v>1649</v>
      </c>
      <c r="L218" s="87" t="s">
        <v>1649</v>
      </c>
      <c r="M218" s="244">
        <v>0</v>
      </c>
      <c r="N218" s="87" t="s">
        <v>1649</v>
      </c>
      <c r="O218" s="87" t="s">
        <v>1649</v>
      </c>
      <c r="P218" s="87" t="s">
        <v>1648</v>
      </c>
      <c r="Q218" s="244">
        <v>3</v>
      </c>
      <c r="R218" s="244">
        <v>75</v>
      </c>
      <c r="S218" s="244">
        <v>0</v>
      </c>
      <c r="T218" s="244">
        <v>0</v>
      </c>
      <c r="U218" s="244">
        <v>0</v>
      </c>
      <c r="V218" s="244">
        <v>0</v>
      </c>
      <c r="W218" s="244">
        <v>0</v>
      </c>
      <c r="X218" s="244">
        <v>0</v>
      </c>
      <c r="Y218" s="244">
        <v>9</v>
      </c>
      <c r="Z218" s="244">
        <v>600</v>
      </c>
      <c r="AA218" s="87" t="s">
        <v>1648</v>
      </c>
      <c r="AB218" s="87" t="s">
        <v>1649</v>
      </c>
      <c r="AC218" s="244">
        <v>0</v>
      </c>
      <c r="AD218" s="87" t="s">
        <v>1649</v>
      </c>
      <c r="AE218" s="244">
        <v>450</v>
      </c>
      <c r="AF218" s="87" t="s">
        <v>1651</v>
      </c>
      <c r="AG218" s="87" t="s">
        <v>1648</v>
      </c>
      <c r="AH218" s="87" t="s">
        <v>1649</v>
      </c>
      <c r="AI218" s="87" t="s">
        <v>1649</v>
      </c>
      <c r="AJ218" s="87" t="s">
        <v>1649</v>
      </c>
    </row>
    <row r="219" spans="1:36" ht="13.5" thickBot="1" x14ac:dyDescent="0.25">
      <c r="A219" s="48" t="s">
        <v>748</v>
      </c>
      <c r="B219" s="347" t="s">
        <v>747</v>
      </c>
      <c r="C219" s="48" t="s">
        <v>3074</v>
      </c>
      <c r="D219" s="48" t="s">
        <v>25</v>
      </c>
      <c r="E219" s="48" t="s">
        <v>1919</v>
      </c>
      <c r="F219" s="87" t="s">
        <v>1648</v>
      </c>
      <c r="G219" s="87" t="s">
        <v>1648</v>
      </c>
      <c r="H219" s="244">
        <v>360</v>
      </c>
      <c r="I219" s="87" t="s">
        <v>1648</v>
      </c>
      <c r="J219" s="244">
        <v>1038</v>
      </c>
      <c r="K219" s="87" t="s">
        <v>1649</v>
      </c>
      <c r="L219" s="87" t="s">
        <v>1648</v>
      </c>
      <c r="M219" s="244">
        <v>0</v>
      </c>
      <c r="N219" s="87" t="s">
        <v>1649</v>
      </c>
      <c r="O219" s="87" t="s">
        <v>1648</v>
      </c>
      <c r="P219" s="87" t="s">
        <v>1648</v>
      </c>
      <c r="Q219" s="244">
        <v>11</v>
      </c>
      <c r="R219" s="244">
        <v>1743</v>
      </c>
      <c r="S219" s="244">
        <v>0</v>
      </c>
      <c r="T219" s="244">
        <v>0</v>
      </c>
      <c r="U219" s="244">
        <v>0</v>
      </c>
      <c r="V219" s="244">
        <v>0</v>
      </c>
      <c r="W219" s="244">
        <v>0</v>
      </c>
      <c r="X219" s="244">
        <v>0</v>
      </c>
      <c r="Y219" s="244">
        <v>61</v>
      </c>
      <c r="Z219" s="244">
        <v>2876</v>
      </c>
      <c r="AA219" s="87" t="s">
        <v>1649</v>
      </c>
      <c r="AB219" s="87" t="s">
        <v>1648</v>
      </c>
      <c r="AC219" s="244">
        <v>13</v>
      </c>
      <c r="AD219" s="87" t="s">
        <v>1648</v>
      </c>
      <c r="AE219" s="244">
        <v>2800</v>
      </c>
      <c r="AF219" s="87" t="s">
        <v>1650</v>
      </c>
      <c r="AG219" s="87" t="s">
        <v>1648</v>
      </c>
      <c r="AH219" s="87" t="s">
        <v>1648</v>
      </c>
      <c r="AI219" s="87" t="s">
        <v>1649</v>
      </c>
      <c r="AJ219" s="87" t="s">
        <v>1649</v>
      </c>
    </row>
    <row r="220" spans="1:36" ht="13.5" thickBot="1" x14ac:dyDescent="0.25">
      <c r="A220" s="48" t="s">
        <v>776</v>
      </c>
      <c r="B220" s="347" t="s">
        <v>775</v>
      </c>
      <c r="C220" s="48" t="s">
        <v>3059</v>
      </c>
      <c r="D220" s="48" t="s">
        <v>25</v>
      </c>
      <c r="E220" s="48" t="s">
        <v>2133</v>
      </c>
      <c r="F220" s="87" t="s">
        <v>1648</v>
      </c>
      <c r="G220" s="87" t="s">
        <v>1648</v>
      </c>
      <c r="H220" s="244">
        <v>160</v>
      </c>
      <c r="I220" s="87" t="s">
        <v>1648</v>
      </c>
      <c r="J220" s="244">
        <v>490</v>
      </c>
      <c r="K220" s="87" t="s">
        <v>1649</v>
      </c>
      <c r="L220" s="87" t="s">
        <v>1648</v>
      </c>
      <c r="M220" s="244">
        <v>20000</v>
      </c>
      <c r="N220" s="87" t="s">
        <v>1648</v>
      </c>
      <c r="O220" s="87" t="s">
        <v>1649</v>
      </c>
      <c r="P220" s="87" t="s">
        <v>1649</v>
      </c>
      <c r="Q220" s="244">
        <v>0</v>
      </c>
      <c r="R220" s="244">
        <v>0</v>
      </c>
      <c r="S220" s="244">
        <v>0</v>
      </c>
      <c r="T220" s="244">
        <v>0</v>
      </c>
      <c r="U220" s="244">
        <v>0</v>
      </c>
      <c r="V220" s="244">
        <v>0</v>
      </c>
      <c r="W220" s="244">
        <v>0</v>
      </c>
      <c r="X220" s="244">
        <v>0</v>
      </c>
      <c r="Y220" s="244">
        <v>0</v>
      </c>
      <c r="Z220" s="244">
        <v>0</v>
      </c>
      <c r="AA220" s="87" t="s">
        <v>1648</v>
      </c>
      <c r="AB220" s="87" t="s">
        <v>1648</v>
      </c>
      <c r="AC220" s="244">
        <v>7</v>
      </c>
      <c r="AD220" s="87" t="s">
        <v>1648</v>
      </c>
      <c r="AE220" s="244">
        <v>4500</v>
      </c>
      <c r="AF220" s="87" t="s">
        <v>1650</v>
      </c>
      <c r="AG220" s="87" t="s">
        <v>1648</v>
      </c>
      <c r="AH220" s="87" t="s">
        <v>1648</v>
      </c>
      <c r="AI220" s="87" t="s">
        <v>1649</v>
      </c>
      <c r="AJ220" s="87" t="s">
        <v>1649</v>
      </c>
    </row>
    <row r="221" spans="1:36" ht="13.5" thickBot="1" x14ac:dyDescent="0.25">
      <c r="A221" s="48" t="s">
        <v>790</v>
      </c>
      <c r="B221" s="347" t="s">
        <v>789</v>
      </c>
      <c r="C221" s="48" t="s">
        <v>3058</v>
      </c>
      <c r="D221" s="48" t="s">
        <v>25</v>
      </c>
      <c r="E221" s="48" t="s">
        <v>1949</v>
      </c>
      <c r="F221" s="87" t="s">
        <v>1648</v>
      </c>
      <c r="G221" s="87" t="s">
        <v>1649</v>
      </c>
      <c r="H221" s="244">
        <v>0</v>
      </c>
      <c r="I221" s="87" t="s">
        <v>1648</v>
      </c>
      <c r="J221" s="244">
        <v>217</v>
      </c>
      <c r="K221" s="87" t="s">
        <v>1649</v>
      </c>
      <c r="L221" s="87" t="s">
        <v>1649</v>
      </c>
      <c r="M221" s="244">
        <v>0</v>
      </c>
      <c r="N221" s="87" t="s">
        <v>1649</v>
      </c>
      <c r="O221" s="87" t="s">
        <v>1649</v>
      </c>
      <c r="P221" s="87" t="s">
        <v>1649</v>
      </c>
      <c r="Q221" s="244">
        <v>0</v>
      </c>
      <c r="R221" s="244">
        <v>0</v>
      </c>
      <c r="S221" s="244">
        <v>0</v>
      </c>
      <c r="T221" s="244">
        <v>0</v>
      </c>
      <c r="U221" s="244">
        <v>0</v>
      </c>
      <c r="V221" s="244">
        <v>0</v>
      </c>
      <c r="W221" s="244">
        <v>0</v>
      </c>
      <c r="X221" s="244">
        <v>0</v>
      </c>
      <c r="Y221" s="244">
        <v>0</v>
      </c>
      <c r="Z221" s="244">
        <v>0</v>
      </c>
      <c r="AA221" s="87" t="s">
        <v>1649</v>
      </c>
      <c r="AB221" s="87" t="s">
        <v>1649</v>
      </c>
      <c r="AC221" s="244">
        <v>0</v>
      </c>
      <c r="AD221" s="87" t="s">
        <v>1649</v>
      </c>
      <c r="AE221" s="244">
        <v>4176</v>
      </c>
      <c r="AF221" s="87" t="s">
        <v>1650</v>
      </c>
      <c r="AG221" s="87" t="s">
        <v>1648</v>
      </c>
      <c r="AH221" s="87" t="s">
        <v>1648</v>
      </c>
      <c r="AI221" s="87" t="s">
        <v>1649</v>
      </c>
      <c r="AJ221" s="87" t="s">
        <v>1649</v>
      </c>
    </row>
    <row r="222" spans="1:36" ht="13.5" thickBot="1" x14ac:dyDescent="0.25">
      <c r="A222" s="48" t="s">
        <v>792</v>
      </c>
      <c r="B222" s="347" t="s">
        <v>791</v>
      </c>
      <c r="C222" s="48" t="s">
        <v>3053</v>
      </c>
      <c r="D222" s="48" t="s">
        <v>25</v>
      </c>
      <c r="E222" s="48" t="s">
        <v>1949</v>
      </c>
      <c r="F222" s="87" t="s">
        <v>1648</v>
      </c>
      <c r="G222" s="87" t="s">
        <v>1648</v>
      </c>
      <c r="H222" s="244">
        <v>688</v>
      </c>
      <c r="I222" s="87" t="s">
        <v>1649</v>
      </c>
      <c r="J222" s="244">
        <v>0</v>
      </c>
      <c r="K222" s="87" t="s">
        <v>1649</v>
      </c>
      <c r="L222" s="87" t="s">
        <v>1649</v>
      </c>
      <c r="M222" s="244">
        <v>0</v>
      </c>
      <c r="N222" s="87" t="s">
        <v>1649</v>
      </c>
      <c r="O222" s="87" t="s">
        <v>1648</v>
      </c>
      <c r="P222" s="87" t="s">
        <v>1648</v>
      </c>
      <c r="Q222" s="244">
        <v>24</v>
      </c>
      <c r="R222" s="244">
        <v>325</v>
      </c>
      <c r="S222" s="244">
        <v>0</v>
      </c>
      <c r="T222" s="244">
        <v>0</v>
      </c>
      <c r="U222" s="244">
        <v>0</v>
      </c>
      <c r="V222" s="244">
        <v>0</v>
      </c>
      <c r="W222" s="244">
        <v>0</v>
      </c>
      <c r="X222" s="244">
        <v>0</v>
      </c>
      <c r="Y222" s="244">
        <v>8</v>
      </c>
      <c r="Z222" s="244">
        <v>178</v>
      </c>
      <c r="AA222" s="87" t="s">
        <v>1648</v>
      </c>
      <c r="AB222" s="87" t="s">
        <v>1649</v>
      </c>
      <c r="AC222" s="244">
        <v>0</v>
      </c>
      <c r="AD222" s="87" t="s">
        <v>1648</v>
      </c>
      <c r="AE222" s="244">
        <v>13566</v>
      </c>
      <c r="AF222" s="87" t="s">
        <v>1651</v>
      </c>
      <c r="AG222" s="87" t="s">
        <v>1648</v>
      </c>
      <c r="AH222" s="87" t="s">
        <v>1648</v>
      </c>
      <c r="AI222" s="87" t="s">
        <v>1649</v>
      </c>
      <c r="AJ222" s="87" t="s">
        <v>1649</v>
      </c>
    </row>
    <row r="223" spans="1:36" ht="13.5" thickBot="1" x14ac:dyDescent="0.25">
      <c r="A223" s="48" t="s">
        <v>796</v>
      </c>
      <c r="B223" s="347" t="s">
        <v>795</v>
      </c>
      <c r="C223" s="48" t="s">
        <v>3074</v>
      </c>
      <c r="D223" s="48" t="s">
        <v>25</v>
      </c>
      <c r="E223" s="48" t="s">
        <v>1949</v>
      </c>
      <c r="F223" s="87" t="s">
        <v>1648</v>
      </c>
      <c r="G223" s="87" t="s">
        <v>1648</v>
      </c>
      <c r="H223" s="244">
        <v>90</v>
      </c>
      <c r="I223" s="87" t="s">
        <v>1649</v>
      </c>
      <c r="J223" s="244">
        <v>0</v>
      </c>
      <c r="K223" s="87" t="s">
        <v>1649</v>
      </c>
      <c r="L223" s="87" t="s">
        <v>1649</v>
      </c>
      <c r="M223" s="244">
        <v>0</v>
      </c>
      <c r="N223" s="87" t="s">
        <v>1649</v>
      </c>
      <c r="O223" s="87" t="s">
        <v>1649</v>
      </c>
      <c r="P223" s="87" t="s">
        <v>1648</v>
      </c>
      <c r="Q223" s="244">
        <v>0</v>
      </c>
      <c r="R223" s="244">
        <v>0</v>
      </c>
      <c r="S223" s="244">
        <v>0</v>
      </c>
      <c r="T223" s="244">
        <v>0</v>
      </c>
      <c r="U223" s="244">
        <v>0</v>
      </c>
      <c r="V223" s="244">
        <v>0</v>
      </c>
      <c r="W223" s="244">
        <v>0</v>
      </c>
      <c r="X223" s="244">
        <v>0</v>
      </c>
      <c r="Y223" s="244">
        <v>29</v>
      </c>
      <c r="Z223" s="244">
        <v>422</v>
      </c>
      <c r="AA223" s="87" t="s">
        <v>1648</v>
      </c>
      <c r="AB223" s="87" t="s">
        <v>1649</v>
      </c>
      <c r="AC223" s="244">
        <v>0</v>
      </c>
      <c r="AD223" s="87" t="s">
        <v>1648</v>
      </c>
      <c r="AE223" s="244">
        <v>1025</v>
      </c>
      <c r="AF223" s="87" t="s">
        <v>1650</v>
      </c>
      <c r="AG223" s="87" t="s">
        <v>1648</v>
      </c>
      <c r="AH223" s="87" t="s">
        <v>1648</v>
      </c>
      <c r="AI223" s="87" t="s">
        <v>1649</v>
      </c>
      <c r="AJ223" s="87" t="s">
        <v>1648</v>
      </c>
    </row>
    <row r="224" spans="1:36" ht="13.5" thickBot="1" x14ac:dyDescent="0.25">
      <c r="A224" s="48" t="s">
        <v>798</v>
      </c>
      <c r="B224" s="347" t="s">
        <v>797</v>
      </c>
      <c r="C224" s="48" t="s">
        <v>3074</v>
      </c>
      <c r="D224" s="48" t="s">
        <v>25</v>
      </c>
      <c r="E224" s="48" t="s">
        <v>1949</v>
      </c>
      <c r="F224" s="87" t="s">
        <v>1648</v>
      </c>
      <c r="G224" s="87" t="s">
        <v>1648</v>
      </c>
      <c r="H224" s="244">
        <v>520</v>
      </c>
      <c r="I224" s="87" t="s">
        <v>1648</v>
      </c>
      <c r="J224" s="244">
        <v>1160</v>
      </c>
      <c r="K224" s="87" t="s">
        <v>1649</v>
      </c>
      <c r="L224" s="87" t="s">
        <v>1649</v>
      </c>
      <c r="M224" s="244">
        <v>0</v>
      </c>
      <c r="N224" s="87" t="s">
        <v>1648</v>
      </c>
      <c r="O224" s="87" t="s">
        <v>1648</v>
      </c>
      <c r="P224" s="87" t="s">
        <v>1648</v>
      </c>
      <c r="Q224" s="244">
        <v>2</v>
      </c>
      <c r="R224" s="244">
        <v>0</v>
      </c>
      <c r="S224" s="244">
        <v>0</v>
      </c>
      <c r="T224" s="244">
        <v>0</v>
      </c>
      <c r="U224" s="244">
        <v>0</v>
      </c>
      <c r="V224" s="244">
        <v>0</v>
      </c>
      <c r="W224" s="244">
        <v>0</v>
      </c>
      <c r="X224" s="244">
        <v>0</v>
      </c>
      <c r="Y224" s="244">
        <v>14</v>
      </c>
      <c r="Z224" s="244">
        <v>71</v>
      </c>
      <c r="AA224" s="87" t="s">
        <v>1648</v>
      </c>
      <c r="AB224" s="87" t="s">
        <v>1649</v>
      </c>
      <c r="AC224" s="87" t="s">
        <v>1660</v>
      </c>
      <c r="AD224" s="87" t="s">
        <v>1648</v>
      </c>
      <c r="AE224" s="244">
        <v>4200</v>
      </c>
      <c r="AF224" s="87" t="s">
        <v>1650</v>
      </c>
      <c r="AG224" s="87" t="s">
        <v>1648</v>
      </c>
      <c r="AH224" s="87" t="s">
        <v>1648</v>
      </c>
      <c r="AI224" s="87" t="s">
        <v>1649</v>
      </c>
      <c r="AJ224" s="87" t="s">
        <v>1648</v>
      </c>
    </row>
    <row r="225" spans="1:36" ht="13.5" thickBot="1" x14ac:dyDescent="0.25">
      <c r="A225" s="48" t="s">
        <v>804</v>
      </c>
      <c r="B225" s="347" t="s">
        <v>803</v>
      </c>
      <c r="C225" s="48" t="s">
        <v>3059</v>
      </c>
      <c r="D225" s="48" t="s">
        <v>25</v>
      </c>
      <c r="E225" s="48" t="s">
        <v>1949</v>
      </c>
      <c r="F225" s="87" t="s">
        <v>1648</v>
      </c>
      <c r="G225" s="87" t="s">
        <v>1648</v>
      </c>
      <c r="H225" s="244">
        <v>440</v>
      </c>
      <c r="I225" s="87" t="s">
        <v>1648</v>
      </c>
      <c r="J225" s="244">
        <v>2267</v>
      </c>
      <c r="K225" s="87" t="s">
        <v>1649</v>
      </c>
      <c r="L225" s="87" t="s">
        <v>1648</v>
      </c>
      <c r="M225" s="244">
        <v>5856</v>
      </c>
      <c r="N225" s="87" t="s">
        <v>1649</v>
      </c>
      <c r="O225" s="87" t="s">
        <v>1649</v>
      </c>
      <c r="P225" s="87" t="s">
        <v>1648</v>
      </c>
      <c r="Q225" s="244">
        <v>0</v>
      </c>
      <c r="R225" s="244">
        <v>0</v>
      </c>
      <c r="S225" s="244">
        <v>0</v>
      </c>
      <c r="T225" s="244">
        <v>0</v>
      </c>
      <c r="U225" s="244">
        <v>0</v>
      </c>
      <c r="V225" s="244">
        <v>0</v>
      </c>
      <c r="W225" s="244">
        <v>0</v>
      </c>
      <c r="X225" s="244">
        <v>0</v>
      </c>
      <c r="Y225" s="244">
        <v>28</v>
      </c>
      <c r="Z225" s="244">
        <v>473</v>
      </c>
      <c r="AA225" s="87" t="s">
        <v>1648</v>
      </c>
      <c r="AB225" s="87" t="s">
        <v>1649</v>
      </c>
      <c r="AC225" s="244">
        <v>0</v>
      </c>
      <c r="AD225" s="87" t="s">
        <v>1648</v>
      </c>
      <c r="AE225" s="244">
        <v>564</v>
      </c>
      <c r="AF225" s="87" t="s">
        <v>1650</v>
      </c>
      <c r="AG225" s="87" t="s">
        <v>1648</v>
      </c>
      <c r="AH225" s="87" t="s">
        <v>1649</v>
      </c>
      <c r="AI225" s="87" t="s">
        <v>1649</v>
      </c>
      <c r="AJ225" s="87" t="s">
        <v>1649</v>
      </c>
    </row>
    <row r="226" spans="1:36" ht="13.5" thickBot="1" x14ac:dyDescent="0.25">
      <c r="A226" s="48" t="s">
        <v>19</v>
      </c>
      <c r="B226" s="347" t="s">
        <v>18</v>
      </c>
      <c r="C226" s="48" t="s">
        <v>3061</v>
      </c>
      <c r="D226" s="48" t="s">
        <v>22</v>
      </c>
      <c r="E226" s="48" t="s">
        <v>1949</v>
      </c>
      <c r="F226" s="87" t="s">
        <v>1648</v>
      </c>
      <c r="G226" s="87" t="s">
        <v>1648</v>
      </c>
      <c r="H226" s="244">
        <v>195</v>
      </c>
      <c r="I226" s="87" t="s">
        <v>1649</v>
      </c>
      <c r="J226" s="244">
        <v>0</v>
      </c>
      <c r="K226" s="87" t="s">
        <v>1649</v>
      </c>
      <c r="L226" s="87" t="s">
        <v>1649</v>
      </c>
      <c r="M226" s="244">
        <v>0</v>
      </c>
      <c r="N226" s="87" t="s">
        <v>1648</v>
      </c>
      <c r="O226" s="87" t="s">
        <v>1648</v>
      </c>
      <c r="P226" s="87" t="s">
        <v>1648</v>
      </c>
      <c r="Q226" s="244">
        <v>19</v>
      </c>
      <c r="R226" s="244">
        <v>188</v>
      </c>
      <c r="S226" s="244">
        <v>0</v>
      </c>
      <c r="T226" s="244">
        <v>0</v>
      </c>
      <c r="U226" s="244">
        <v>1</v>
      </c>
      <c r="V226" s="244">
        <v>21</v>
      </c>
      <c r="W226" s="244">
        <v>0</v>
      </c>
      <c r="X226" s="244">
        <v>0</v>
      </c>
      <c r="Y226" s="244">
        <v>0</v>
      </c>
      <c r="Z226" s="244">
        <v>0</v>
      </c>
      <c r="AA226" s="87" t="s">
        <v>1648</v>
      </c>
      <c r="AB226" s="87" t="s">
        <v>1648</v>
      </c>
      <c r="AC226" s="244">
        <v>159</v>
      </c>
      <c r="AD226" s="87" t="s">
        <v>1648</v>
      </c>
      <c r="AE226" s="244">
        <v>4733</v>
      </c>
      <c r="AF226" s="87" t="s">
        <v>1651</v>
      </c>
      <c r="AG226" s="87" t="s">
        <v>1648</v>
      </c>
      <c r="AH226" s="87" t="s">
        <v>1649</v>
      </c>
      <c r="AI226" s="87" t="s">
        <v>1649</v>
      </c>
      <c r="AJ226" s="87" t="s">
        <v>1648</v>
      </c>
    </row>
    <row r="227" spans="1:36" ht="13.5" thickBot="1" x14ac:dyDescent="0.25">
      <c r="A227" s="48" t="s">
        <v>36</v>
      </c>
      <c r="B227" s="347" t="s">
        <v>35</v>
      </c>
      <c r="C227" s="48" t="s">
        <v>3072</v>
      </c>
      <c r="D227" s="48" t="s">
        <v>22</v>
      </c>
      <c r="E227" s="48" t="s">
        <v>1949</v>
      </c>
      <c r="F227" s="87" t="s">
        <v>1648</v>
      </c>
      <c r="G227" s="87" t="s">
        <v>1648</v>
      </c>
      <c r="H227" s="244">
        <v>120</v>
      </c>
      <c r="I227" s="87" t="s">
        <v>1649</v>
      </c>
      <c r="J227" s="244">
        <v>0</v>
      </c>
      <c r="K227" s="87" t="s">
        <v>1649</v>
      </c>
      <c r="L227" s="87" t="s">
        <v>1649</v>
      </c>
      <c r="M227" s="244">
        <v>0</v>
      </c>
      <c r="N227" s="87" t="s">
        <v>1648</v>
      </c>
      <c r="O227" s="87" t="s">
        <v>1648</v>
      </c>
      <c r="P227" s="87" t="s">
        <v>1648</v>
      </c>
      <c r="Q227" s="244">
        <v>20</v>
      </c>
      <c r="R227" s="244">
        <v>962</v>
      </c>
      <c r="S227" s="244">
        <v>0</v>
      </c>
      <c r="T227" s="244">
        <v>0</v>
      </c>
      <c r="U227" s="244">
        <v>0</v>
      </c>
      <c r="V227" s="244">
        <v>0</v>
      </c>
      <c r="W227" s="244">
        <v>0</v>
      </c>
      <c r="X227" s="244">
        <v>0</v>
      </c>
      <c r="Y227" s="244">
        <v>20</v>
      </c>
      <c r="Z227" s="244">
        <v>3245</v>
      </c>
      <c r="AA227" s="87" t="s">
        <v>1648</v>
      </c>
      <c r="AB227" s="87" t="s">
        <v>1648</v>
      </c>
      <c r="AC227" s="244">
        <v>232</v>
      </c>
      <c r="AD227" s="87" t="s">
        <v>1648</v>
      </c>
      <c r="AE227" s="244">
        <v>841</v>
      </c>
      <c r="AF227" s="87" t="s">
        <v>1650</v>
      </c>
      <c r="AG227" s="87" t="s">
        <v>1648</v>
      </c>
      <c r="AH227" s="87" t="s">
        <v>1648</v>
      </c>
      <c r="AI227" s="87" t="s">
        <v>1649</v>
      </c>
      <c r="AJ227" s="87" t="s">
        <v>1649</v>
      </c>
    </row>
    <row r="228" spans="1:36" ht="13.5" thickBot="1" x14ac:dyDescent="0.25">
      <c r="A228" s="48" t="s">
        <v>64</v>
      </c>
      <c r="B228" s="347" t="s">
        <v>63</v>
      </c>
      <c r="C228" s="48" t="s">
        <v>3098</v>
      </c>
      <c r="D228" s="48" t="s">
        <v>22</v>
      </c>
      <c r="E228" s="48" t="s">
        <v>890</v>
      </c>
      <c r="F228" s="87" t="s">
        <v>1648</v>
      </c>
      <c r="G228" s="87" t="s">
        <v>1648</v>
      </c>
      <c r="H228" s="244">
        <v>50</v>
      </c>
      <c r="I228" s="87" t="s">
        <v>1648</v>
      </c>
      <c r="J228" s="244">
        <v>20</v>
      </c>
      <c r="K228" s="87" t="s">
        <v>1649</v>
      </c>
      <c r="L228" s="87" t="s">
        <v>1649</v>
      </c>
      <c r="M228" s="244">
        <v>0</v>
      </c>
      <c r="N228" s="87" t="s">
        <v>1649</v>
      </c>
      <c r="O228" s="87" t="s">
        <v>1648</v>
      </c>
      <c r="P228" s="87" t="s">
        <v>1648</v>
      </c>
      <c r="Q228" s="244">
        <v>14</v>
      </c>
      <c r="R228" s="244">
        <v>190</v>
      </c>
      <c r="S228" s="244">
        <v>0</v>
      </c>
      <c r="T228" s="244">
        <v>0</v>
      </c>
      <c r="U228" s="244">
        <v>2</v>
      </c>
      <c r="V228" s="244">
        <v>80</v>
      </c>
      <c r="W228" s="244">
        <v>2</v>
      </c>
      <c r="X228" s="244">
        <v>311</v>
      </c>
      <c r="Y228" s="244">
        <v>185</v>
      </c>
      <c r="Z228" s="244">
        <v>1354</v>
      </c>
      <c r="AA228" s="87" t="s">
        <v>1649</v>
      </c>
      <c r="AB228" s="87" t="s">
        <v>1649</v>
      </c>
      <c r="AC228" s="244">
        <v>0</v>
      </c>
      <c r="AD228" s="87" t="s">
        <v>1648</v>
      </c>
      <c r="AE228" s="244">
        <v>14245</v>
      </c>
      <c r="AF228" s="87" t="s">
        <v>1651</v>
      </c>
      <c r="AG228" s="87" t="s">
        <v>1648</v>
      </c>
      <c r="AH228" s="87" t="s">
        <v>1649</v>
      </c>
      <c r="AI228" s="87" t="s">
        <v>1648</v>
      </c>
      <c r="AJ228" s="87" t="s">
        <v>1648</v>
      </c>
    </row>
    <row r="229" spans="1:36" ht="13.5" thickBot="1" x14ac:dyDescent="0.25">
      <c r="A229" s="48" t="s">
        <v>68</v>
      </c>
      <c r="B229" s="347" t="s">
        <v>67</v>
      </c>
      <c r="C229" s="48" t="s">
        <v>3098</v>
      </c>
      <c r="D229" s="48" t="s">
        <v>22</v>
      </c>
      <c r="E229" s="48" t="s">
        <v>1949</v>
      </c>
      <c r="F229" s="87" t="s">
        <v>1648</v>
      </c>
      <c r="G229" s="87" t="s">
        <v>1648</v>
      </c>
      <c r="H229" s="244">
        <v>42</v>
      </c>
      <c r="I229" s="87" t="s">
        <v>1649</v>
      </c>
      <c r="J229" s="244">
        <v>1041</v>
      </c>
      <c r="K229" s="87" t="s">
        <v>1649</v>
      </c>
      <c r="L229" s="87" t="s">
        <v>1649</v>
      </c>
      <c r="M229" s="244">
        <v>0</v>
      </c>
      <c r="N229" s="87" t="s">
        <v>1648</v>
      </c>
      <c r="O229" s="87" t="s">
        <v>1649</v>
      </c>
      <c r="P229" s="87" t="s">
        <v>1649</v>
      </c>
      <c r="Q229" s="244">
        <v>0</v>
      </c>
      <c r="R229" s="244">
        <v>0</v>
      </c>
      <c r="S229" s="244">
        <v>0</v>
      </c>
      <c r="T229" s="244">
        <v>0</v>
      </c>
      <c r="U229" s="244">
        <v>0</v>
      </c>
      <c r="V229" s="244">
        <v>0</v>
      </c>
      <c r="W229" s="244">
        <v>0</v>
      </c>
      <c r="X229" s="244">
        <v>0</v>
      </c>
      <c r="Y229" s="244">
        <v>0</v>
      </c>
      <c r="Z229" s="244">
        <v>0</v>
      </c>
      <c r="AA229" s="87" t="s">
        <v>1648</v>
      </c>
      <c r="AB229" s="87" t="s">
        <v>1648</v>
      </c>
      <c r="AC229" s="244">
        <v>89</v>
      </c>
      <c r="AD229" s="87" t="s">
        <v>1648</v>
      </c>
      <c r="AE229" s="244">
        <v>5117</v>
      </c>
      <c r="AF229" s="87" t="s">
        <v>1651</v>
      </c>
      <c r="AG229" s="87" t="s">
        <v>1648</v>
      </c>
      <c r="AH229" s="87" t="s">
        <v>1648</v>
      </c>
      <c r="AI229" s="87" t="s">
        <v>1649</v>
      </c>
      <c r="AJ229" s="87" t="s">
        <v>1648</v>
      </c>
    </row>
    <row r="230" spans="1:36" ht="13.5" thickBot="1" x14ac:dyDescent="0.25">
      <c r="A230" s="48" t="s">
        <v>88</v>
      </c>
      <c r="B230" s="347" t="s">
        <v>87</v>
      </c>
      <c r="C230" s="48" t="s">
        <v>3072</v>
      </c>
      <c r="D230" s="48" t="s">
        <v>22</v>
      </c>
      <c r="E230" s="48" t="s">
        <v>890</v>
      </c>
      <c r="F230" s="87" t="s">
        <v>1648</v>
      </c>
      <c r="G230" s="87" t="s">
        <v>1648</v>
      </c>
      <c r="H230" s="244">
        <v>614</v>
      </c>
      <c r="I230" s="87" t="s">
        <v>1649</v>
      </c>
      <c r="J230" s="244">
        <v>0</v>
      </c>
      <c r="K230" s="87" t="s">
        <v>1649</v>
      </c>
      <c r="L230" s="87" t="s">
        <v>1648</v>
      </c>
      <c r="M230" s="244">
        <v>0</v>
      </c>
      <c r="N230" s="87" t="s">
        <v>1648</v>
      </c>
      <c r="O230" s="87" t="s">
        <v>1649</v>
      </c>
      <c r="P230" s="87" t="s">
        <v>1649</v>
      </c>
      <c r="Q230" s="244">
        <v>0</v>
      </c>
      <c r="R230" s="244">
        <v>0</v>
      </c>
      <c r="S230" s="244">
        <v>0</v>
      </c>
      <c r="T230" s="244">
        <v>0</v>
      </c>
      <c r="U230" s="244">
        <v>0</v>
      </c>
      <c r="V230" s="244">
        <v>0</v>
      </c>
      <c r="W230" s="244">
        <v>0</v>
      </c>
      <c r="X230" s="244">
        <v>0</v>
      </c>
      <c r="Y230" s="244">
        <v>1</v>
      </c>
      <c r="Z230" s="244">
        <v>105</v>
      </c>
      <c r="AA230" s="87" t="s">
        <v>1648</v>
      </c>
      <c r="AB230" s="87" t="s">
        <v>1649</v>
      </c>
      <c r="AC230" s="244">
        <v>0</v>
      </c>
      <c r="AD230" s="87" t="s">
        <v>1648</v>
      </c>
      <c r="AE230" s="244">
        <v>26913</v>
      </c>
      <c r="AF230" s="87" t="s">
        <v>1650</v>
      </c>
      <c r="AG230" s="87" t="s">
        <v>1648</v>
      </c>
      <c r="AH230" s="87" t="s">
        <v>1648</v>
      </c>
      <c r="AI230" s="87" t="s">
        <v>1649</v>
      </c>
      <c r="AJ230" s="87" t="s">
        <v>1648</v>
      </c>
    </row>
    <row r="231" spans="1:36" ht="13.5" thickBot="1" x14ac:dyDescent="0.25">
      <c r="A231" s="48" t="s">
        <v>94</v>
      </c>
      <c r="B231" s="347" t="s">
        <v>93</v>
      </c>
      <c r="C231" s="48" t="s">
        <v>3098</v>
      </c>
      <c r="D231" s="48" t="s">
        <v>22</v>
      </c>
      <c r="E231" s="48" t="s">
        <v>890</v>
      </c>
      <c r="F231" s="87" t="s">
        <v>1648</v>
      </c>
      <c r="G231" s="87" t="s">
        <v>1648</v>
      </c>
      <c r="H231" s="244">
        <v>20</v>
      </c>
      <c r="I231" s="87" t="s">
        <v>1649</v>
      </c>
      <c r="J231" s="244">
        <v>0</v>
      </c>
      <c r="K231" s="87" t="s">
        <v>1649</v>
      </c>
      <c r="L231" s="87" t="s">
        <v>1649</v>
      </c>
      <c r="M231" s="244">
        <v>0</v>
      </c>
      <c r="N231" s="87" t="s">
        <v>1648</v>
      </c>
      <c r="O231" s="87" t="s">
        <v>1648</v>
      </c>
      <c r="P231" s="87" t="s">
        <v>1649</v>
      </c>
      <c r="Q231" s="244">
        <v>3</v>
      </c>
      <c r="R231" s="244">
        <v>41</v>
      </c>
      <c r="S231" s="244">
        <v>0</v>
      </c>
      <c r="T231" s="244">
        <v>0</v>
      </c>
      <c r="U231" s="244">
        <v>5</v>
      </c>
      <c r="V231" s="244">
        <v>10</v>
      </c>
      <c r="W231" s="244">
        <v>0</v>
      </c>
      <c r="X231" s="244">
        <v>0</v>
      </c>
      <c r="Y231" s="244">
        <v>0</v>
      </c>
      <c r="Z231" s="244">
        <v>0</v>
      </c>
      <c r="AA231" s="87" t="s">
        <v>1648</v>
      </c>
      <c r="AB231" s="87" t="s">
        <v>1649</v>
      </c>
      <c r="AC231" s="244">
        <v>0</v>
      </c>
      <c r="AD231" s="87" t="s">
        <v>1648</v>
      </c>
      <c r="AE231" s="244">
        <v>8174</v>
      </c>
      <c r="AF231" s="87" t="s">
        <v>1651</v>
      </c>
      <c r="AG231" s="87" t="s">
        <v>1648</v>
      </c>
      <c r="AH231" s="87" t="s">
        <v>1648</v>
      </c>
      <c r="AI231" s="87" t="s">
        <v>1649</v>
      </c>
      <c r="AJ231" s="87" t="s">
        <v>1648</v>
      </c>
    </row>
    <row r="232" spans="1:36" ht="13.5" thickBot="1" x14ac:dyDescent="0.25">
      <c r="A232" s="48" t="s">
        <v>104</v>
      </c>
      <c r="B232" s="347" t="s">
        <v>103</v>
      </c>
      <c r="C232" s="48" t="s">
        <v>3059</v>
      </c>
      <c r="D232" s="48" t="s">
        <v>22</v>
      </c>
      <c r="E232" s="48" t="s">
        <v>890</v>
      </c>
      <c r="F232" s="87" t="s">
        <v>1648</v>
      </c>
      <c r="G232" s="87" t="s">
        <v>1648</v>
      </c>
      <c r="H232" s="244">
        <v>160</v>
      </c>
      <c r="I232" s="87" t="s">
        <v>1649</v>
      </c>
      <c r="J232" s="244">
        <v>0</v>
      </c>
      <c r="K232" s="87" t="s">
        <v>1649</v>
      </c>
      <c r="L232" s="87" t="s">
        <v>1649</v>
      </c>
      <c r="M232" s="244">
        <v>0</v>
      </c>
      <c r="N232" s="87" t="s">
        <v>1648</v>
      </c>
      <c r="O232" s="87" t="s">
        <v>1649</v>
      </c>
      <c r="P232" s="87" t="s">
        <v>1649</v>
      </c>
      <c r="Q232" s="244">
        <v>0</v>
      </c>
      <c r="R232" s="244">
        <v>0</v>
      </c>
      <c r="S232" s="244">
        <v>0</v>
      </c>
      <c r="T232" s="244">
        <v>0</v>
      </c>
      <c r="U232" s="244">
        <v>0</v>
      </c>
      <c r="V232" s="244">
        <v>0</v>
      </c>
      <c r="W232" s="244">
        <v>0</v>
      </c>
      <c r="X232" s="244">
        <v>0</v>
      </c>
      <c r="Y232" s="244">
        <v>0</v>
      </c>
      <c r="Z232" s="244">
        <v>0</v>
      </c>
      <c r="AA232" s="87" t="s">
        <v>1648</v>
      </c>
      <c r="AB232" s="87" t="s">
        <v>1649</v>
      </c>
      <c r="AC232" s="87" t="s">
        <v>1660</v>
      </c>
      <c r="AD232" s="87" t="s">
        <v>1648</v>
      </c>
      <c r="AE232" s="244">
        <v>5289</v>
      </c>
      <c r="AF232" s="87" t="s">
        <v>1651</v>
      </c>
      <c r="AG232" s="87" t="s">
        <v>1648</v>
      </c>
      <c r="AH232" s="87" t="s">
        <v>1648</v>
      </c>
      <c r="AI232" s="87" t="s">
        <v>1649</v>
      </c>
      <c r="AJ232" s="87" t="s">
        <v>1648</v>
      </c>
    </row>
    <row r="233" spans="1:36" ht="13.5" thickBot="1" x14ac:dyDescent="0.25">
      <c r="A233" s="48" t="s">
        <v>116</v>
      </c>
      <c r="B233" s="347" t="s">
        <v>115</v>
      </c>
      <c r="C233" s="48" t="s">
        <v>3098</v>
      </c>
      <c r="D233" s="48" t="s">
        <v>22</v>
      </c>
      <c r="E233" s="48" t="s">
        <v>1919</v>
      </c>
      <c r="F233" s="87" t="s">
        <v>1648</v>
      </c>
      <c r="G233" s="87" t="s">
        <v>1648</v>
      </c>
      <c r="H233" s="244">
        <v>384</v>
      </c>
      <c r="I233" s="87" t="s">
        <v>1649</v>
      </c>
      <c r="J233" s="244">
        <v>0</v>
      </c>
      <c r="K233" s="87" t="s">
        <v>1649</v>
      </c>
      <c r="L233" s="87" t="s">
        <v>1649</v>
      </c>
      <c r="M233" s="244">
        <v>0</v>
      </c>
      <c r="N233" s="87" t="s">
        <v>1648</v>
      </c>
      <c r="O233" s="87" t="s">
        <v>1648</v>
      </c>
      <c r="P233" s="87" t="s">
        <v>1648</v>
      </c>
      <c r="Q233" s="244">
        <v>114</v>
      </c>
      <c r="R233" s="244">
        <v>3598</v>
      </c>
      <c r="S233" s="244">
        <v>11</v>
      </c>
      <c r="T233" s="244">
        <v>49</v>
      </c>
      <c r="U233" s="244">
        <v>13</v>
      </c>
      <c r="V233" s="244">
        <v>295</v>
      </c>
      <c r="W233" s="244">
        <v>4</v>
      </c>
      <c r="X233" s="244">
        <v>47</v>
      </c>
      <c r="Y233" s="244">
        <v>59</v>
      </c>
      <c r="Z233" s="244">
        <v>41502</v>
      </c>
      <c r="AA233" s="87" t="s">
        <v>1649</v>
      </c>
      <c r="AB233" s="87" t="s">
        <v>1649</v>
      </c>
      <c r="AC233" s="87" t="s">
        <v>1660</v>
      </c>
      <c r="AD233" s="87" t="s">
        <v>1648</v>
      </c>
      <c r="AE233" s="244">
        <v>16331</v>
      </c>
      <c r="AF233" s="87" t="s">
        <v>1651</v>
      </c>
      <c r="AG233" s="87" t="s">
        <v>1649</v>
      </c>
      <c r="AH233" s="87" t="s">
        <v>1649</v>
      </c>
      <c r="AI233" s="87" t="s">
        <v>1649</v>
      </c>
      <c r="AJ233" s="87" t="s">
        <v>1648</v>
      </c>
    </row>
    <row r="234" spans="1:36" ht="13.5" thickBot="1" x14ac:dyDescent="0.25">
      <c r="A234" s="48" t="s">
        <v>118</v>
      </c>
      <c r="B234" s="347" t="s">
        <v>117</v>
      </c>
      <c r="C234" s="48" t="s">
        <v>3058</v>
      </c>
      <c r="D234" s="48" t="s">
        <v>22</v>
      </c>
      <c r="E234" s="48" t="s">
        <v>1919</v>
      </c>
      <c r="F234" s="87" t="s">
        <v>1648</v>
      </c>
      <c r="G234" s="87" t="s">
        <v>1648</v>
      </c>
      <c r="H234" s="244">
        <v>50</v>
      </c>
      <c r="I234" s="87" t="s">
        <v>1648</v>
      </c>
      <c r="J234" s="244">
        <v>50</v>
      </c>
      <c r="K234" s="87" t="s">
        <v>1649</v>
      </c>
      <c r="L234" s="87" t="s">
        <v>1649</v>
      </c>
      <c r="M234" s="244">
        <v>0</v>
      </c>
      <c r="N234" s="87" t="s">
        <v>1648</v>
      </c>
      <c r="O234" s="87" t="s">
        <v>1648</v>
      </c>
      <c r="P234" s="87" t="s">
        <v>1649</v>
      </c>
      <c r="Q234" s="244">
        <v>28</v>
      </c>
      <c r="R234" s="244">
        <v>966</v>
      </c>
      <c r="S234" s="244">
        <v>0</v>
      </c>
      <c r="T234" s="244">
        <v>0</v>
      </c>
      <c r="U234" s="244">
        <v>0</v>
      </c>
      <c r="V234" s="244">
        <v>0</v>
      </c>
      <c r="W234" s="244">
        <v>0</v>
      </c>
      <c r="X234" s="244">
        <v>0</v>
      </c>
      <c r="Y234" s="244">
        <v>0</v>
      </c>
      <c r="Z234" s="244">
        <v>0</v>
      </c>
      <c r="AA234" s="87" t="s">
        <v>1648</v>
      </c>
      <c r="AB234" s="87" t="s">
        <v>1649</v>
      </c>
      <c r="AC234" s="244">
        <v>0</v>
      </c>
      <c r="AD234" s="87" t="s">
        <v>1648</v>
      </c>
      <c r="AE234" s="244">
        <v>8541</v>
      </c>
      <c r="AF234" s="87" t="s">
        <v>1650</v>
      </c>
      <c r="AG234" s="87" t="s">
        <v>1648</v>
      </c>
      <c r="AH234" s="87" t="s">
        <v>1648</v>
      </c>
      <c r="AI234" s="87" t="s">
        <v>1649</v>
      </c>
      <c r="AJ234" s="87" t="s">
        <v>1649</v>
      </c>
    </row>
    <row r="235" spans="1:36" ht="13.5" thickBot="1" x14ac:dyDescent="0.25">
      <c r="A235" s="48" t="s">
        <v>122</v>
      </c>
      <c r="B235" s="347" t="s">
        <v>121</v>
      </c>
      <c r="C235" s="48" t="s">
        <v>3058</v>
      </c>
      <c r="D235" s="48" t="s">
        <v>22</v>
      </c>
      <c r="E235" s="48" t="s">
        <v>1949</v>
      </c>
      <c r="F235" s="87" t="s">
        <v>1648</v>
      </c>
      <c r="G235" s="87" t="s">
        <v>1648</v>
      </c>
      <c r="H235" s="244">
        <v>107</v>
      </c>
      <c r="I235" s="87" t="s">
        <v>1648</v>
      </c>
      <c r="J235" s="244">
        <v>3264</v>
      </c>
      <c r="K235" s="87" t="s">
        <v>1649</v>
      </c>
      <c r="L235" s="87" t="s">
        <v>1648</v>
      </c>
      <c r="M235" s="244">
        <v>17835</v>
      </c>
      <c r="N235" s="87" t="s">
        <v>1648</v>
      </c>
      <c r="O235" s="87" t="s">
        <v>1648</v>
      </c>
      <c r="P235" s="87" t="s">
        <v>1648</v>
      </c>
      <c r="Q235" s="244">
        <v>14</v>
      </c>
      <c r="R235" s="244">
        <v>45</v>
      </c>
      <c r="S235" s="244">
        <v>0</v>
      </c>
      <c r="T235" s="244">
        <v>0</v>
      </c>
      <c r="U235" s="244">
        <v>0</v>
      </c>
      <c r="V235" s="244">
        <v>0</v>
      </c>
      <c r="W235" s="244">
        <v>0</v>
      </c>
      <c r="X235" s="244">
        <v>0</v>
      </c>
      <c r="Y235" s="244">
        <v>70</v>
      </c>
      <c r="Z235" s="244">
        <v>2214</v>
      </c>
      <c r="AA235" s="87" t="s">
        <v>1648</v>
      </c>
      <c r="AB235" s="87" t="s">
        <v>1648</v>
      </c>
      <c r="AC235" s="244">
        <v>15</v>
      </c>
      <c r="AD235" s="87" t="s">
        <v>1648</v>
      </c>
      <c r="AE235" s="244">
        <v>4382</v>
      </c>
      <c r="AF235" s="87" t="s">
        <v>1651</v>
      </c>
      <c r="AG235" s="87" t="s">
        <v>1648</v>
      </c>
      <c r="AH235" s="87" t="s">
        <v>1648</v>
      </c>
      <c r="AI235" s="87" t="s">
        <v>1649</v>
      </c>
      <c r="AJ235" s="87" t="s">
        <v>1648</v>
      </c>
    </row>
    <row r="236" spans="1:36" ht="13.5" thickBot="1" x14ac:dyDescent="0.25">
      <c r="A236" s="48" t="s">
        <v>158</v>
      </c>
      <c r="B236" s="347" t="s">
        <v>157</v>
      </c>
      <c r="C236" s="48" t="s">
        <v>3072</v>
      </c>
      <c r="D236" s="48" t="s">
        <v>22</v>
      </c>
      <c r="E236" s="48" t="s">
        <v>1949</v>
      </c>
      <c r="F236" s="87" t="s">
        <v>1648</v>
      </c>
      <c r="G236" s="87" t="s">
        <v>1648</v>
      </c>
      <c r="H236" s="244">
        <v>640</v>
      </c>
      <c r="I236" s="87" t="s">
        <v>1649</v>
      </c>
      <c r="J236" s="244">
        <v>350</v>
      </c>
      <c r="K236" s="87" t="s">
        <v>1649</v>
      </c>
      <c r="L236" s="87" t="s">
        <v>1649</v>
      </c>
      <c r="M236" s="244">
        <v>0</v>
      </c>
      <c r="N236" s="87" t="s">
        <v>1648</v>
      </c>
      <c r="O236" s="87" t="s">
        <v>1648</v>
      </c>
      <c r="P236" s="87" t="s">
        <v>1648</v>
      </c>
      <c r="Q236" s="244">
        <v>28</v>
      </c>
      <c r="R236" s="244">
        <v>233</v>
      </c>
      <c r="S236" s="244">
        <v>4</v>
      </c>
      <c r="T236" s="244">
        <v>28</v>
      </c>
      <c r="U236" s="244">
        <v>0</v>
      </c>
      <c r="V236" s="244">
        <v>0</v>
      </c>
      <c r="W236" s="244">
        <v>0</v>
      </c>
      <c r="X236" s="244">
        <v>0</v>
      </c>
      <c r="Y236" s="244">
        <v>0</v>
      </c>
      <c r="Z236" s="244">
        <v>0</v>
      </c>
      <c r="AA236" s="87" t="s">
        <v>1648</v>
      </c>
      <c r="AB236" s="87" t="s">
        <v>1649</v>
      </c>
      <c r="AC236" s="87" t="s">
        <v>1660</v>
      </c>
      <c r="AD236" s="87" t="s">
        <v>1648</v>
      </c>
      <c r="AE236" s="244">
        <v>3500</v>
      </c>
      <c r="AF236" s="87" t="s">
        <v>1650</v>
      </c>
      <c r="AG236" s="87" t="s">
        <v>1648</v>
      </c>
      <c r="AH236" s="87" t="s">
        <v>1648</v>
      </c>
      <c r="AI236" s="87" t="s">
        <v>1649</v>
      </c>
      <c r="AJ236" s="87" t="s">
        <v>1648</v>
      </c>
    </row>
    <row r="237" spans="1:36" ht="13.5" thickBot="1" x14ac:dyDescent="0.25">
      <c r="A237" s="48" t="s">
        <v>162</v>
      </c>
      <c r="B237" s="347" t="s">
        <v>161</v>
      </c>
      <c r="C237" s="48" t="s">
        <v>3061</v>
      </c>
      <c r="D237" s="48" t="s">
        <v>22</v>
      </c>
      <c r="E237" s="48" t="s">
        <v>1949</v>
      </c>
      <c r="F237" s="87" t="s">
        <v>1648</v>
      </c>
      <c r="G237" s="87" t="s">
        <v>1648</v>
      </c>
      <c r="H237" s="244">
        <v>19</v>
      </c>
      <c r="I237" s="87" t="s">
        <v>1649</v>
      </c>
      <c r="J237" s="244">
        <v>0</v>
      </c>
      <c r="K237" s="87" t="s">
        <v>1649</v>
      </c>
      <c r="L237" s="87" t="s">
        <v>1648</v>
      </c>
      <c r="M237" s="244">
        <v>37988</v>
      </c>
      <c r="N237" s="87" t="s">
        <v>1648</v>
      </c>
      <c r="O237" s="87" t="s">
        <v>1648</v>
      </c>
      <c r="P237" s="87" t="s">
        <v>1648</v>
      </c>
      <c r="Q237" s="244">
        <v>29</v>
      </c>
      <c r="R237" s="244">
        <v>190</v>
      </c>
      <c r="S237" s="244">
        <v>7</v>
      </c>
      <c r="T237" s="244">
        <v>29</v>
      </c>
      <c r="U237" s="244">
        <v>0</v>
      </c>
      <c r="V237" s="244">
        <v>0</v>
      </c>
      <c r="W237" s="244">
        <v>13</v>
      </c>
      <c r="X237" s="244">
        <v>169</v>
      </c>
      <c r="Y237" s="244">
        <v>43</v>
      </c>
      <c r="Z237" s="244">
        <v>2150</v>
      </c>
      <c r="AA237" s="87" t="s">
        <v>1648</v>
      </c>
      <c r="AB237" s="87" t="s">
        <v>1649</v>
      </c>
      <c r="AC237" s="87" t="s">
        <v>1660</v>
      </c>
      <c r="AD237" s="87" t="s">
        <v>1648</v>
      </c>
      <c r="AE237" s="244">
        <v>5523</v>
      </c>
      <c r="AF237" s="87" t="s">
        <v>1650</v>
      </c>
      <c r="AG237" s="87" t="s">
        <v>1648</v>
      </c>
      <c r="AH237" s="87" t="s">
        <v>1648</v>
      </c>
      <c r="AI237" s="87" t="s">
        <v>1649</v>
      </c>
      <c r="AJ237" s="87" t="s">
        <v>1648</v>
      </c>
    </row>
    <row r="238" spans="1:36" ht="13.5" thickBot="1" x14ac:dyDescent="0.25">
      <c r="A238" s="48" t="s">
        <v>166</v>
      </c>
      <c r="B238" s="347" t="s">
        <v>165</v>
      </c>
      <c r="C238" s="48" t="s">
        <v>3077</v>
      </c>
      <c r="D238" s="48" t="s">
        <v>22</v>
      </c>
      <c r="E238" s="48" t="s">
        <v>1949</v>
      </c>
      <c r="F238" s="87" t="s">
        <v>1648</v>
      </c>
      <c r="G238" s="87" t="s">
        <v>1649</v>
      </c>
      <c r="H238" s="244">
        <v>45</v>
      </c>
      <c r="I238" s="87" t="s">
        <v>1649</v>
      </c>
      <c r="J238" s="244">
        <v>33</v>
      </c>
      <c r="K238" s="87" t="s">
        <v>1649</v>
      </c>
      <c r="L238" s="87" t="s">
        <v>1649</v>
      </c>
      <c r="M238" s="244">
        <v>0</v>
      </c>
      <c r="N238" s="87" t="s">
        <v>1648</v>
      </c>
      <c r="O238" s="87" t="s">
        <v>1649</v>
      </c>
      <c r="P238" s="87" t="s">
        <v>1648</v>
      </c>
      <c r="Q238" s="244">
        <v>0</v>
      </c>
      <c r="R238" s="244">
        <v>0</v>
      </c>
      <c r="S238" s="244">
        <v>0</v>
      </c>
      <c r="T238" s="244">
        <v>0</v>
      </c>
      <c r="U238" s="244">
        <v>0</v>
      </c>
      <c r="V238" s="244">
        <v>0</v>
      </c>
      <c r="W238" s="244">
        <v>0</v>
      </c>
      <c r="X238" s="244">
        <v>0</v>
      </c>
      <c r="Y238" s="244">
        <v>3</v>
      </c>
      <c r="Z238" s="244">
        <v>1</v>
      </c>
      <c r="AA238" s="87" t="s">
        <v>1649</v>
      </c>
      <c r="AB238" s="87" t="s">
        <v>1649</v>
      </c>
      <c r="AC238" s="244">
        <v>0</v>
      </c>
      <c r="AD238" s="87" t="s">
        <v>1649</v>
      </c>
      <c r="AE238" s="244">
        <v>0</v>
      </c>
      <c r="AF238" s="87" t="s">
        <v>1650</v>
      </c>
      <c r="AG238" s="87" t="s">
        <v>1648</v>
      </c>
      <c r="AH238" s="87" t="s">
        <v>1648</v>
      </c>
      <c r="AI238" s="87" t="s">
        <v>1648</v>
      </c>
      <c r="AJ238" s="87" t="s">
        <v>1648</v>
      </c>
    </row>
    <row r="239" spans="1:36" ht="13.5" thickBot="1" x14ac:dyDescent="0.25">
      <c r="A239" s="48" t="s">
        <v>168</v>
      </c>
      <c r="B239" s="347" t="s">
        <v>167</v>
      </c>
      <c r="C239" s="48" t="s">
        <v>3098</v>
      </c>
      <c r="D239" s="48" t="s">
        <v>22</v>
      </c>
      <c r="E239" s="48" t="s">
        <v>1949</v>
      </c>
      <c r="F239" s="87" t="s">
        <v>1648</v>
      </c>
      <c r="G239" s="87" t="s">
        <v>1648</v>
      </c>
      <c r="H239" s="244">
        <v>1160</v>
      </c>
      <c r="I239" s="87" t="s">
        <v>1649</v>
      </c>
      <c r="J239" s="244">
        <v>0</v>
      </c>
      <c r="K239" s="87" t="s">
        <v>1649</v>
      </c>
      <c r="L239" s="87" t="s">
        <v>1649</v>
      </c>
      <c r="M239" s="244">
        <v>0</v>
      </c>
      <c r="N239" s="87" t="s">
        <v>1648</v>
      </c>
      <c r="O239" s="87" t="s">
        <v>1648</v>
      </c>
      <c r="P239" s="87" t="s">
        <v>1648</v>
      </c>
      <c r="Q239" s="244">
        <v>93</v>
      </c>
      <c r="R239" s="244">
        <v>1279</v>
      </c>
      <c r="S239" s="244">
        <v>29</v>
      </c>
      <c r="T239" s="244">
        <v>162</v>
      </c>
      <c r="U239" s="244">
        <v>30</v>
      </c>
      <c r="V239" s="244">
        <v>883</v>
      </c>
      <c r="W239" s="244">
        <v>11</v>
      </c>
      <c r="X239" s="244">
        <v>176</v>
      </c>
      <c r="Y239" s="244">
        <v>116</v>
      </c>
      <c r="Z239" s="244">
        <v>2484</v>
      </c>
      <c r="AA239" s="87" t="s">
        <v>1648</v>
      </c>
      <c r="AB239" s="87" t="s">
        <v>1648</v>
      </c>
      <c r="AC239" s="244">
        <v>197</v>
      </c>
      <c r="AD239" s="87" t="s">
        <v>1648</v>
      </c>
      <c r="AE239" s="244">
        <v>28847</v>
      </c>
      <c r="AF239" s="87" t="s">
        <v>1651</v>
      </c>
      <c r="AG239" s="87" t="s">
        <v>1648</v>
      </c>
      <c r="AH239" s="87" t="s">
        <v>1648</v>
      </c>
      <c r="AI239" s="87" t="s">
        <v>1649</v>
      </c>
      <c r="AJ239" s="87" t="s">
        <v>1648</v>
      </c>
    </row>
    <row r="240" spans="1:36" ht="13.5" thickBot="1" x14ac:dyDescent="0.25">
      <c r="A240" s="48" t="s">
        <v>182</v>
      </c>
      <c r="B240" s="347" t="s">
        <v>181</v>
      </c>
      <c r="C240" s="48" t="s">
        <v>3072</v>
      </c>
      <c r="D240" s="48" t="s">
        <v>22</v>
      </c>
      <c r="E240" s="48" t="s">
        <v>1949</v>
      </c>
      <c r="F240" s="87" t="s">
        <v>1648</v>
      </c>
      <c r="G240" s="87" t="s">
        <v>1648</v>
      </c>
      <c r="H240" s="244">
        <v>166</v>
      </c>
      <c r="I240" s="87" t="s">
        <v>1649</v>
      </c>
      <c r="J240" s="244">
        <v>0</v>
      </c>
      <c r="K240" s="87" t="s">
        <v>1649</v>
      </c>
      <c r="L240" s="87" t="s">
        <v>1648</v>
      </c>
      <c r="M240" s="244">
        <v>17489</v>
      </c>
      <c r="N240" s="87" t="s">
        <v>1648</v>
      </c>
      <c r="O240" s="87" t="s">
        <v>1648</v>
      </c>
      <c r="P240" s="87" t="s">
        <v>1648</v>
      </c>
      <c r="Q240" s="244">
        <v>2</v>
      </c>
      <c r="R240" s="244">
        <v>17</v>
      </c>
      <c r="S240" s="244">
        <v>0</v>
      </c>
      <c r="T240" s="244">
        <v>0</v>
      </c>
      <c r="U240" s="244">
        <v>1</v>
      </c>
      <c r="V240" s="244">
        <v>43</v>
      </c>
      <c r="W240" s="244">
        <v>0</v>
      </c>
      <c r="X240" s="244">
        <v>0</v>
      </c>
      <c r="Y240" s="244">
        <v>0</v>
      </c>
      <c r="Z240" s="244">
        <v>0</v>
      </c>
      <c r="AA240" s="87" t="s">
        <v>1648</v>
      </c>
      <c r="AB240" s="87" t="s">
        <v>1649</v>
      </c>
      <c r="AC240" s="244">
        <v>0</v>
      </c>
      <c r="AD240" s="87" t="s">
        <v>1648</v>
      </c>
      <c r="AE240" s="244">
        <v>6163</v>
      </c>
      <c r="AF240" s="87" t="s">
        <v>1651</v>
      </c>
      <c r="AG240" s="87" t="s">
        <v>1648</v>
      </c>
      <c r="AH240" s="87" t="s">
        <v>1648</v>
      </c>
      <c r="AI240" s="87" t="s">
        <v>1649</v>
      </c>
      <c r="AJ240" s="87" t="s">
        <v>1648</v>
      </c>
    </row>
    <row r="241" spans="1:36" ht="13.5" thickBot="1" x14ac:dyDescent="0.25">
      <c r="A241" s="48" t="s">
        <v>192</v>
      </c>
      <c r="B241" s="347" t="s">
        <v>191</v>
      </c>
      <c r="C241" s="48" t="s">
        <v>3072</v>
      </c>
      <c r="D241" s="48" t="s">
        <v>22</v>
      </c>
      <c r="E241" s="48" t="s">
        <v>1919</v>
      </c>
      <c r="F241" s="87" t="s">
        <v>1648</v>
      </c>
      <c r="G241" s="87" t="s">
        <v>1648</v>
      </c>
      <c r="H241" s="244">
        <v>400</v>
      </c>
      <c r="I241" s="87" t="s">
        <v>1649</v>
      </c>
      <c r="J241" s="244">
        <v>211</v>
      </c>
      <c r="K241" s="87" t="s">
        <v>1649</v>
      </c>
      <c r="L241" s="87" t="s">
        <v>1648</v>
      </c>
      <c r="M241" s="244">
        <v>2500</v>
      </c>
      <c r="N241" s="87" t="s">
        <v>1648</v>
      </c>
      <c r="O241" s="87" t="s">
        <v>1648</v>
      </c>
      <c r="P241" s="87" t="s">
        <v>1648</v>
      </c>
      <c r="Q241" s="244">
        <v>19</v>
      </c>
      <c r="R241" s="244">
        <v>3371</v>
      </c>
      <c r="S241" s="244">
        <v>0</v>
      </c>
      <c r="T241" s="244">
        <v>0</v>
      </c>
      <c r="U241" s="244">
        <v>5</v>
      </c>
      <c r="V241" s="244">
        <v>75</v>
      </c>
      <c r="W241" s="244">
        <v>0</v>
      </c>
      <c r="X241" s="244">
        <v>0</v>
      </c>
      <c r="Y241" s="244">
        <v>3</v>
      </c>
      <c r="Z241" s="244">
        <v>39535</v>
      </c>
      <c r="AA241" s="87" t="s">
        <v>1648</v>
      </c>
      <c r="AB241" s="87" t="s">
        <v>1648</v>
      </c>
      <c r="AC241" s="244">
        <v>30</v>
      </c>
      <c r="AD241" s="87" t="s">
        <v>1648</v>
      </c>
      <c r="AE241" s="244">
        <v>15291</v>
      </c>
      <c r="AF241" s="87" t="s">
        <v>1651</v>
      </c>
      <c r="AG241" s="87" t="s">
        <v>1649</v>
      </c>
      <c r="AH241" s="87" t="s">
        <v>1649</v>
      </c>
      <c r="AI241" s="87" t="s">
        <v>1649</v>
      </c>
      <c r="AJ241" s="87" t="s">
        <v>1648</v>
      </c>
    </row>
    <row r="242" spans="1:36" ht="13.5" thickBot="1" x14ac:dyDescent="0.25">
      <c r="A242" s="48" t="s">
        <v>198</v>
      </c>
      <c r="B242" s="347" t="s">
        <v>197</v>
      </c>
      <c r="C242" s="48" t="s">
        <v>3053</v>
      </c>
      <c r="D242" s="48" t="s">
        <v>22</v>
      </c>
      <c r="E242" s="48" t="s">
        <v>894</v>
      </c>
      <c r="F242" s="87" t="s">
        <v>1648</v>
      </c>
      <c r="G242" s="87" t="s">
        <v>1649</v>
      </c>
      <c r="H242" s="244">
        <v>0</v>
      </c>
      <c r="I242" s="87" t="s">
        <v>1649</v>
      </c>
      <c r="J242" s="244">
        <v>0</v>
      </c>
      <c r="K242" s="87" t="s">
        <v>1649</v>
      </c>
      <c r="L242" s="87" t="s">
        <v>1649</v>
      </c>
      <c r="M242" s="244">
        <v>0</v>
      </c>
      <c r="N242" s="87" t="s">
        <v>1649</v>
      </c>
      <c r="O242" s="87" t="s">
        <v>1649</v>
      </c>
      <c r="P242" s="87" t="s">
        <v>1649</v>
      </c>
      <c r="Q242" s="244">
        <v>0</v>
      </c>
      <c r="R242" s="244">
        <v>0</v>
      </c>
      <c r="S242" s="244">
        <v>0</v>
      </c>
      <c r="T242" s="244">
        <v>0</v>
      </c>
      <c r="U242" s="244">
        <v>0</v>
      </c>
      <c r="V242" s="244">
        <v>0</v>
      </c>
      <c r="W242" s="244">
        <v>0</v>
      </c>
      <c r="X242" s="244">
        <v>0</v>
      </c>
      <c r="Y242" s="244">
        <v>0</v>
      </c>
      <c r="Z242" s="244">
        <v>0</v>
      </c>
      <c r="AA242" s="87" t="s">
        <v>1648</v>
      </c>
      <c r="AB242" s="87" t="s">
        <v>1649</v>
      </c>
      <c r="AC242" s="244">
        <v>0</v>
      </c>
      <c r="AD242" s="87" t="s">
        <v>1649</v>
      </c>
      <c r="AE242" s="244">
        <v>1689</v>
      </c>
      <c r="AF242" s="87" t="s">
        <v>1651</v>
      </c>
      <c r="AG242" s="87" t="s">
        <v>1648</v>
      </c>
      <c r="AH242" s="87" t="s">
        <v>1649</v>
      </c>
      <c r="AI242" s="87" t="s">
        <v>1649</v>
      </c>
      <c r="AJ242" s="87" t="s">
        <v>1649</v>
      </c>
    </row>
    <row r="243" spans="1:36" ht="13.5" thickBot="1" x14ac:dyDescent="0.25">
      <c r="A243" s="48" t="s">
        <v>224</v>
      </c>
      <c r="B243" s="347" t="s">
        <v>223</v>
      </c>
      <c r="C243" s="48" t="s">
        <v>3061</v>
      </c>
      <c r="D243" s="48" t="s">
        <v>22</v>
      </c>
      <c r="E243" s="48" t="s">
        <v>1949</v>
      </c>
      <c r="F243" s="87" t="s">
        <v>1648</v>
      </c>
      <c r="G243" s="87" t="s">
        <v>1649</v>
      </c>
      <c r="H243" s="244">
        <v>1440</v>
      </c>
      <c r="I243" s="87" t="s">
        <v>1648</v>
      </c>
      <c r="J243" s="244">
        <v>32</v>
      </c>
      <c r="K243" s="87" t="s">
        <v>1649</v>
      </c>
      <c r="L243" s="87" t="s">
        <v>1649</v>
      </c>
      <c r="M243" s="244">
        <v>0</v>
      </c>
      <c r="N243" s="87" t="s">
        <v>1648</v>
      </c>
      <c r="O243" s="87" t="s">
        <v>1648</v>
      </c>
      <c r="P243" s="87" t="s">
        <v>1648</v>
      </c>
      <c r="Q243" s="244">
        <v>6</v>
      </c>
      <c r="R243" s="244">
        <v>140</v>
      </c>
      <c r="S243" s="244">
        <v>8</v>
      </c>
      <c r="T243" s="244">
        <v>11</v>
      </c>
      <c r="U243" s="244">
        <v>8</v>
      </c>
      <c r="V243" s="244">
        <v>32</v>
      </c>
      <c r="W243" s="244">
        <v>0</v>
      </c>
      <c r="X243" s="244">
        <v>0</v>
      </c>
      <c r="Y243" s="244">
        <v>59</v>
      </c>
      <c r="Z243" s="244">
        <v>15027</v>
      </c>
      <c r="AA243" s="87" t="s">
        <v>1648</v>
      </c>
      <c r="AB243" s="87" t="s">
        <v>1648</v>
      </c>
      <c r="AC243" s="244">
        <v>645</v>
      </c>
      <c r="AD243" s="87" t="s">
        <v>1648</v>
      </c>
      <c r="AE243" s="244">
        <v>7432</v>
      </c>
      <c r="AF243" s="87" t="s">
        <v>1651</v>
      </c>
      <c r="AG243" s="87" t="s">
        <v>1648</v>
      </c>
      <c r="AH243" s="87" t="s">
        <v>1649</v>
      </c>
      <c r="AI243" s="87" t="s">
        <v>1649</v>
      </c>
      <c r="AJ243" s="87" t="s">
        <v>1648</v>
      </c>
    </row>
    <row r="244" spans="1:36" ht="13.5" thickBot="1" x14ac:dyDescent="0.25">
      <c r="A244" s="48" t="s">
        <v>226</v>
      </c>
      <c r="B244" s="347" t="s">
        <v>225</v>
      </c>
      <c r="C244" s="48" t="s">
        <v>3098</v>
      </c>
      <c r="D244" s="48" t="s">
        <v>22</v>
      </c>
      <c r="E244" s="48" t="s">
        <v>1949</v>
      </c>
      <c r="F244" s="87" t="s">
        <v>1648</v>
      </c>
      <c r="G244" s="87" t="s">
        <v>1648</v>
      </c>
      <c r="H244" s="244">
        <v>752</v>
      </c>
      <c r="I244" s="87" t="s">
        <v>1649</v>
      </c>
      <c r="J244" s="244">
        <v>0</v>
      </c>
      <c r="K244" s="87" t="s">
        <v>1649</v>
      </c>
      <c r="L244" s="87" t="s">
        <v>1649</v>
      </c>
      <c r="M244" s="244">
        <v>0</v>
      </c>
      <c r="N244" s="87" t="s">
        <v>1648</v>
      </c>
      <c r="O244" s="87" t="s">
        <v>1648</v>
      </c>
      <c r="P244" s="87" t="s">
        <v>1648</v>
      </c>
      <c r="Q244" s="244">
        <v>31</v>
      </c>
      <c r="R244" s="244">
        <v>958</v>
      </c>
      <c r="S244" s="244">
        <v>11</v>
      </c>
      <c r="T244" s="244">
        <v>369</v>
      </c>
      <c r="U244" s="244">
        <v>16</v>
      </c>
      <c r="V244" s="244">
        <v>206</v>
      </c>
      <c r="W244" s="244">
        <v>8</v>
      </c>
      <c r="X244" s="244">
        <v>177</v>
      </c>
      <c r="Y244" s="244">
        <v>17</v>
      </c>
      <c r="Z244" s="244">
        <v>369</v>
      </c>
      <c r="AA244" s="87" t="s">
        <v>1648</v>
      </c>
      <c r="AB244" s="87" t="s">
        <v>1648</v>
      </c>
      <c r="AC244" s="244">
        <v>819</v>
      </c>
      <c r="AD244" s="87" t="s">
        <v>1648</v>
      </c>
      <c r="AE244" s="244">
        <v>14140</v>
      </c>
      <c r="AF244" s="87" t="s">
        <v>1651</v>
      </c>
      <c r="AG244" s="87" t="s">
        <v>1648</v>
      </c>
      <c r="AH244" s="87" t="s">
        <v>1649</v>
      </c>
      <c r="AI244" s="87" t="s">
        <v>1649</v>
      </c>
      <c r="AJ244" s="87" t="s">
        <v>1648</v>
      </c>
    </row>
    <row r="245" spans="1:36" ht="13.5" thickBot="1" x14ac:dyDescent="0.25">
      <c r="A245" s="48" t="s">
        <v>234</v>
      </c>
      <c r="B245" s="347" t="s">
        <v>233</v>
      </c>
      <c r="C245" s="48" t="s">
        <v>3072</v>
      </c>
      <c r="D245" s="48" t="s">
        <v>22</v>
      </c>
      <c r="E245" s="48" t="s">
        <v>1949</v>
      </c>
      <c r="F245" s="87" t="s">
        <v>1648</v>
      </c>
      <c r="G245" s="87" t="s">
        <v>1648</v>
      </c>
      <c r="H245" s="244">
        <v>732</v>
      </c>
      <c r="I245" s="87" t="s">
        <v>1649</v>
      </c>
      <c r="J245" s="244">
        <v>0</v>
      </c>
      <c r="K245" s="87" t="s">
        <v>1649</v>
      </c>
      <c r="L245" s="87" t="s">
        <v>1649</v>
      </c>
      <c r="M245" s="244">
        <v>0</v>
      </c>
      <c r="N245" s="87" t="s">
        <v>1648</v>
      </c>
      <c r="O245" s="87" t="s">
        <v>1648</v>
      </c>
      <c r="P245" s="87" t="s">
        <v>1648</v>
      </c>
      <c r="Q245" s="244">
        <v>25</v>
      </c>
      <c r="R245" s="244">
        <v>229</v>
      </c>
      <c r="S245" s="244">
        <v>0</v>
      </c>
      <c r="T245" s="244">
        <v>0</v>
      </c>
      <c r="U245" s="244">
        <v>5</v>
      </c>
      <c r="V245" s="244">
        <v>13</v>
      </c>
      <c r="W245" s="244">
        <v>0</v>
      </c>
      <c r="X245" s="244">
        <v>0</v>
      </c>
      <c r="Y245" s="244">
        <v>52</v>
      </c>
      <c r="Z245" s="244">
        <v>2259</v>
      </c>
      <c r="AA245" s="87" t="s">
        <v>1648</v>
      </c>
      <c r="AB245" s="87" t="s">
        <v>1649</v>
      </c>
      <c r="AC245" s="244">
        <v>0</v>
      </c>
      <c r="AD245" s="87" t="s">
        <v>1648</v>
      </c>
      <c r="AE245" s="244">
        <v>1848</v>
      </c>
      <c r="AF245" s="87" t="s">
        <v>1651</v>
      </c>
      <c r="AG245" s="87" t="s">
        <v>1648</v>
      </c>
      <c r="AH245" s="87" t="s">
        <v>1648</v>
      </c>
      <c r="AI245" s="87" t="s">
        <v>1648</v>
      </c>
      <c r="AJ245" s="87" t="s">
        <v>1648</v>
      </c>
    </row>
    <row r="246" spans="1:36" ht="13.5" thickBot="1" x14ac:dyDescent="0.25">
      <c r="A246" s="48" t="s">
        <v>244</v>
      </c>
      <c r="B246" s="347" t="s">
        <v>243</v>
      </c>
      <c r="C246" s="48" t="s">
        <v>3061</v>
      </c>
      <c r="D246" s="48" t="s">
        <v>22</v>
      </c>
      <c r="E246" s="48" t="s">
        <v>1949</v>
      </c>
      <c r="F246" s="87" t="s">
        <v>1648</v>
      </c>
      <c r="G246" s="87" t="s">
        <v>1648</v>
      </c>
      <c r="H246" s="244">
        <v>300</v>
      </c>
      <c r="I246" s="87" t="s">
        <v>1649</v>
      </c>
      <c r="J246" s="244">
        <v>0</v>
      </c>
      <c r="K246" s="87" t="s">
        <v>1649</v>
      </c>
      <c r="L246" s="87" t="s">
        <v>1649</v>
      </c>
      <c r="M246" s="244">
        <v>0</v>
      </c>
      <c r="N246" s="87" t="s">
        <v>1648</v>
      </c>
      <c r="O246" s="87" t="s">
        <v>1648</v>
      </c>
      <c r="P246" s="87" t="s">
        <v>1648</v>
      </c>
      <c r="Q246" s="244">
        <v>14</v>
      </c>
      <c r="R246" s="244">
        <v>49</v>
      </c>
      <c r="S246" s="244">
        <v>1</v>
      </c>
      <c r="T246" s="244">
        <v>2</v>
      </c>
      <c r="U246" s="244">
        <v>26</v>
      </c>
      <c r="V246" s="244">
        <v>29</v>
      </c>
      <c r="W246" s="244">
        <v>6</v>
      </c>
      <c r="X246" s="244">
        <v>11</v>
      </c>
      <c r="Y246" s="244">
        <v>41</v>
      </c>
      <c r="Z246" s="244">
        <v>687</v>
      </c>
      <c r="AA246" s="87" t="s">
        <v>1648</v>
      </c>
      <c r="AB246" s="87" t="s">
        <v>1648</v>
      </c>
      <c r="AC246" s="244">
        <v>27</v>
      </c>
      <c r="AD246" s="87" t="s">
        <v>1648</v>
      </c>
      <c r="AE246" s="244">
        <v>5037</v>
      </c>
      <c r="AF246" s="87" t="s">
        <v>1651</v>
      </c>
      <c r="AG246" s="87" t="s">
        <v>1648</v>
      </c>
      <c r="AH246" s="87" t="s">
        <v>1648</v>
      </c>
      <c r="AI246" s="87" t="s">
        <v>1649</v>
      </c>
      <c r="AJ246" s="87" t="s">
        <v>1648</v>
      </c>
    </row>
    <row r="247" spans="1:36" ht="13.5" thickBot="1" x14ac:dyDescent="0.25">
      <c r="A247" s="48" t="s">
        <v>260</v>
      </c>
      <c r="B247" s="347" t="s">
        <v>259</v>
      </c>
      <c r="C247" s="48" t="s">
        <v>3053</v>
      </c>
      <c r="D247" s="48" t="s">
        <v>22</v>
      </c>
      <c r="E247" s="48" t="s">
        <v>890</v>
      </c>
      <c r="F247" s="87" t="s">
        <v>1648</v>
      </c>
      <c r="G247" s="87" t="s">
        <v>1648</v>
      </c>
      <c r="H247" s="244">
        <v>901</v>
      </c>
      <c r="I247" s="87" t="s">
        <v>1649</v>
      </c>
      <c r="J247" s="244">
        <v>0</v>
      </c>
      <c r="K247" s="87" t="s">
        <v>1649</v>
      </c>
      <c r="L247" s="87" t="s">
        <v>1649</v>
      </c>
      <c r="M247" s="244">
        <v>0</v>
      </c>
      <c r="N247" s="87" t="s">
        <v>1648</v>
      </c>
      <c r="O247" s="87" t="s">
        <v>1648</v>
      </c>
      <c r="P247" s="87" t="s">
        <v>1648</v>
      </c>
      <c r="Q247" s="244">
        <v>0</v>
      </c>
      <c r="R247" s="244">
        <v>0</v>
      </c>
      <c r="S247" s="244">
        <v>0</v>
      </c>
      <c r="T247" s="244">
        <v>0</v>
      </c>
      <c r="U247" s="244">
        <v>1</v>
      </c>
      <c r="V247" s="244">
        <v>28</v>
      </c>
      <c r="W247" s="244">
        <v>0</v>
      </c>
      <c r="X247" s="244">
        <v>0</v>
      </c>
      <c r="Y247" s="244">
        <v>14</v>
      </c>
      <c r="Z247" s="244">
        <v>6308</v>
      </c>
      <c r="AA247" s="87" t="s">
        <v>1648</v>
      </c>
      <c r="AB247" s="87" t="s">
        <v>1649</v>
      </c>
      <c r="AC247" s="244">
        <v>0</v>
      </c>
      <c r="AD247" s="87" t="s">
        <v>1648</v>
      </c>
      <c r="AE247" s="244">
        <v>3078</v>
      </c>
      <c r="AF247" s="87" t="s">
        <v>1650</v>
      </c>
      <c r="AG247" s="87" t="s">
        <v>1649</v>
      </c>
      <c r="AH247" s="87" t="s">
        <v>1648</v>
      </c>
      <c r="AI247" s="87" t="s">
        <v>1649</v>
      </c>
      <c r="AJ247" s="87" t="s">
        <v>1648</v>
      </c>
    </row>
    <row r="248" spans="1:36" ht="13.5" thickBot="1" x14ac:dyDescent="0.25">
      <c r="A248" s="48" t="s">
        <v>268</v>
      </c>
      <c r="B248" s="347" t="s">
        <v>267</v>
      </c>
      <c r="C248" s="48" t="s">
        <v>3074</v>
      </c>
      <c r="D248" s="48" t="s">
        <v>22</v>
      </c>
      <c r="E248" s="48" t="s">
        <v>1949</v>
      </c>
      <c r="F248" s="87" t="s">
        <v>1648</v>
      </c>
      <c r="G248" s="87" t="s">
        <v>1648</v>
      </c>
      <c r="H248" s="244">
        <v>127</v>
      </c>
      <c r="I248" s="87" t="s">
        <v>1649</v>
      </c>
      <c r="J248" s="244">
        <v>0</v>
      </c>
      <c r="K248" s="87" t="s">
        <v>1649</v>
      </c>
      <c r="L248" s="87" t="s">
        <v>1648</v>
      </c>
      <c r="M248" s="244">
        <v>25000</v>
      </c>
      <c r="N248" s="87" t="s">
        <v>1648</v>
      </c>
      <c r="O248" s="87" t="s">
        <v>1648</v>
      </c>
      <c r="P248" s="87" t="s">
        <v>1648</v>
      </c>
      <c r="Q248" s="244">
        <v>1</v>
      </c>
      <c r="R248" s="244">
        <v>123</v>
      </c>
      <c r="S248" s="244">
        <v>0</v>
      </c>
      <c r="T248" s="244">
        <v>0</v>
      </c>
      <c r="U248" s="244">
        <v>0</v>
      </c>
      <c r="V248" s="244">
        <v>0</v>
      </c>
      <c r="W248" s="244">
        <v>0</v>
      </c>
      <c r="X248" s="244">
        <v>0</v>
      </c>
      <c r="Y248" s="244">
        <v>134</v>
      </c>
      <c r="Z248" s="244">
        <v>8621</v>
      </c>
      <c r="AA248" s="87" t="s">
        <v>1648</v>
      </c>
      <c r="AB248" s="87" t="s">
        <v>1649</v>
      </c>
      <c r="AC248" s="244">
        <v>0</v>
      </c>
      <c r="AD248" s="87" t="s">
        <v>1648</v>
      </c>
      <c r="AE248" s="244">
        <v>3506</v>
      </c>
      <c r="AF248" s="87" t="s">
        <v>1650</v>
      </c>
      <c r="AG248" s="87" t="s">
        <v>1648</v>
      </c>
      <c r="AH248" s="87" t="s">
        <v>1648</v>
      </c>
      <c r="AI248" s="87" t="s">
        <v>1649</v>
      </c>
      <c r="AJ248" s="87" t="s">
        <v>1649</v>
      </c>
    </row>
    <row r="249" spans="1:36" ht="13.5" thickBot="1" x14ac:dyDescent="0.25">
      <c r="A249" s="48" t="s">
        <v>270</v>
      </c>
      <c r="B249" s="347" t="s">
        <v>269</v>
      </c>
      <c r="C249" s="48" t="s">
        <v>3098</v>
      </c>
      <c r="D249" s="48" t="s">
        <v>22</v>
      </c>
      <c r="E249" s="48" t="s">
        <v>1949</v>
      </c>
      <c r="F249" s="87" t="s">
        <v>1648</v>
      </c>
      <c r="G249" s="87" t="s">
        <v>1648</v>
      </c>
      <c r="H249" s="244">
        <v>855</v>
      </c>
      <c r="I249" s="87" t="s">
        <v>1649</v>
      </c>
      <c r="J249" s="244">
        <v>0</v>
      </c>
      <c r="K249" s="87" t="s">
        <v>1649</v>
      </c>
      <c r="L249" s="87" t="s">
        <v>1649</v>
      </c>
      <c r="M249" s="244">
        <v>0</v>
      </c>
      <c r="N249" s="87" t="s">
        <v>1648</v>
      </c>
      <c r="O249" s="87" t="s">
        <v>1648</v>
      </c>
      <c r="P249" s="87" t="s">
        <v>1648</v>
      </c>
      <c r="Q249" s="244">
        <v>47</v>
      </c>
      <c r="R249" s="244">
        <v>458</v>
      </c>
      <c r="S249" s="244">
        <v>2</v>
      </c>
      <c r="T249" s="244">
        <v>19</v>
      </c>
      <c r="U249" s="244">
        <v>8</v>
      </c>
      <c r="V249" s="244">
        <v>158</v>
      </c>
      <c r="W249" s="244">
        <v>0</v>
      </c>
      <c r="X249" s="244">
        <v>0</v>
      </c>
      <c r="Y249" s="244">
        <v>55</v>
      </c>
      <c r="Z249" s="244">
        <v>6248</v>
      </c>
      <c r="AA249" s="87" t="s">
        <v>1648</v>
      </c>
      <c r="AB249" s="87" t="s">
        <v>1648</v>
      </c>
      <c r="AC249" s="244">
        <v>58</v>
      </c>
      <c r="AD249" s="87" t="s">
        <v>1648</v>
      </c>
      <c r="AE249" s="244">
        <v>20018</v>
      </c>
      <c r="AF249" s="87" t="s">
        <v>1650</v>
      </c>
      <c r="AG249" s="87" t="s">
        <v>1648</v>
      </c>
      <c r="AH249" s="87" t="s">
        <v>1648</v>
      </c>
      <c r="AI249" s="87" t="s">
        <v>1649</v>
      </c>
      <c r="AJ249" s="87" t="s">
        <v>1648</v>
      </c>
    </row>
    <row r="250" spans="1:36" ht="13.5" thickBot="1" x14ac:dyDescent="0.25">
      <c r="A250" s="48" t="s">
        <v>274</v>
      </c>
      <c r="B250" s="347" t="s">
        <v>273</v>
      </c>
      <c r="C250" s="48" t="s">
        <v>3074</v>
      </c>
      <c r="D250" s="48" t="s">
        <v>22</v>
      </c>
      <c r="E250" s="48" t="s">
        <v>1949</v>
      </c>
      <c r="F250" s="87" t="s">
        <v>1648</v>
      </c>
      <c r="G250" s="87" t="s">
        <v>1648</v>
      </c>
      <c r="H250" s="244">
        <v>588</v>
      </c>
      <c r="I250" s="87" t="s">
        <v>1649</v>
      </c>
      <c r="J250" s="244">
        <v>0</v>
      </c>
      <c r="K250" s="87" t="s">
        <v>1649</v>
      </c>
      <c r="L250" s="87" t="s">
        <v>1648</v>
      </c>
      <c r="M250" s="244">
        <v>30000</v>
      </c>
      <c r="N250" s="87" t="s">
        <v>1648</v>
      </c>
      <c r="O250" s="87" t="s">
        <v>1648</v>
      </c>
      <c r="P250" s="87" t="s">
        <v>1648</v>
      </c>
      <c r="Q250" s="244">
        <v>19</v>
      </c>
      <c r="R250" s="244">
        <v>194</v>
      </c>
      <c r="S250" s="244">
        <v>8</v>
      </c>
      <c r="T250" s="244">
        <v>121</v>
      </c>
      <c r="U250" s="244">
        <v>4</v>
      </c>
      <c r="V250" s="244">
        <v>86</v>
      </c>
      <c r="W250" s="244">
        <v>0</v>
      </c>
      <c r="X250" s="244">
        <v>0</v>
      </c>
      <c r="Y250" s="244">
        <v>2</v>
      </c>
      <c r="Z250" s="244">
        <v>124</v>
      </c>
      <c r="AA250" s="87" t="s">
        <v>1648</v>
      </c>
      <c r="AB250" s="87" t="s">
        <v>1649</v>
      </c>
      <c r="AC250" s="244">
        <v>0</v>
      </c>
      <c r="AD250" s="87" t="s">
        <v>1648</v>
      </c>
      <c r="AE250" s="244">
        <v>7536</v>
      </c>
      <c r="AF250" s="87" t="s">
        <v>1651</v>
      </c>
      <c r="AG250" s="87" t="s">
        <v>1648</v>
      </c>
      <c r="AH250" s="87" t="s">
        <v>1648</v>
      </c>
      <c r="AI250" s="87" t="s">
        <v>1649</v>
      </c>
      <c r="AJ250" s="87" t="s">
        <v>1648</v>
      </c>
    </row>
    <row r="251" spans="1:36" ht="13.5" thickBot="1" x14ac:dyDescent="0.25">
      <c r="A251" s="48" t="s">
        <v>276</v>
      </c>
      <c r="B251" s="347" t="s">
        <v>275</v>
      </c>
      <c r="C251" s="48" t="s">
        <v>3098</v>
      </c>
      <c r="D251" s="48" t="s">
        <v>22</v>
      </c>
      <c r="E251" s="48" t="s">
        <v>890</v>
      </c>
      <c r="F251" s="87" t="s">
        <v>1648</v>
      </c>
      <c r="G251" s="87" t="s">
        <v>1648</v>
      </c>
      <c r="H251" s="244">
        <v>50</v>
      </c>
      <c r="I251" s="87" t="s">
        <v>1648</v>
      </c>
      <c r="J251" s="244">
        <v>1932</v>
      </c>
      <c r="K251" s="87" t="s">
        <v>1649</v>
      </c>
      <c r="L251" s="87" t="s">
        <v>1649</v>
      </c>
      <c r="M251" s="244">
        <v>0</v>
      </c>
      <c r="N251" s="87" t="s">
        <v>1648</v>
      </c>
      <c r="O251" s="87" t="s">
        <v>1648</v>
      </c>
      <c r="P251" s="87" t="s">
        <v>1648</v>
      </c>
      <c r="Q251" s="244">
        <v>1</v>
      </c>
      <c r="R251" s="244">
        <v>150</v>
      </c>
      <c r="S251" s="244">
        <v>0</v>
      </c>
      <c r="T251" s="244">
        <v>0</v>
      </c>
      <c r="U251" s="244">
        <v>0</v>
      </c>
      <c r="V251" s="244">
        <v>0</v>
      </c>
      <c r="W251" s="244">
        <v>0</v>
      </c>
      <c r="X251" s="244">
        <v>0</v>
      </c>
      <c r="Y251" s="244">
        <v>0</v>
      </c>
      <c r="Z251" s="244">
        <v>0</v>
      </c>
      <c r="AA251" s="87" t="s">
        <v>1648</v>
      </c>
      <c r="AB251" s="87" t="s">
        <v>1649</v>
      </c>
      <c r="AC251" s="244">
        <v>0</v>
      </c>
      <c r="AD251" s="87" t="s">
        <v>1648</v>
      </c>
      <c r="AE251" s="244">
        <v>6300</v>
      </c>
      <c r="AF251" s="87" t="s">
        <v>1650</v>
      </c>
      <c r="AG251" s="87" t="s">
        <v>1648</v>
      </c>
      <c r="AH251" s="87" t="s">
        <v>1648</v>
      </c>
      <c r="AI251" s="87" t="s">
        <v>1649</v>
      </c>
      <c r="AJ251" s="87" t="s">
        <v>1649</v>
      </c>
    </row>
    <row r="252" spans="1:36" ht="13.5" thickBot="1" x14ac:dyDescent="0.25">
      <c r="A252" s="48" t="s">
        <v>282</v>
      </c>
      <c r="B252" s="347" t="s">
        <v>281</v>
      </c>
      <c r="C252" s="48" t="s">
        <v>3098</v>
      </c>
      <c r="D252" s="48" t="s">
        <v>22</v>
      </c>
      <c r="E252" s="48" t="s">
        <v>1949</v>
      </c>
      <c r="F252" s="87" t="s">
        <v>1648</v>
      </c>
      <c r="G252" s="87" t="s">
        <v>1648</v>
      </c>
      <c r="H252" s="244">
        <v>149</v>
      </c>
      <c r="I252" s="87" t="s">
        <v>1649</v>
      </c>
      <c r="J252" s="244">
        <v>0</v>
      </c>
      <c r="K252" s="87" t="s">
        <v>1649</v>
      </c>
      <c r="L252" s="87" t="s">
        <v>1649</v>
      </c>
      <c r="M252" s="244">
        <v>0</v>
      </c>
      <c r="N252" s="87" t="s">
        <v>1648</v>
      </c>
      <c r="O252" s="87" t="s">
        <v>1648</v>
      </c>
      <c r="P252" s="87" t="s">
        <v>1648</v>
      </c>
      <c r="Q252" s="244">
        <v>22</v>
      </c>
      <c r="R252" s="244">
        <v>221</v>
      </c>
      <c r="S252" s="244">
        <v>8</v>
      </c>
      <c r="T252" s="244">
        <v>0</v>
      </c>
      <c r="U252" s="244">
        <v>27</v>
      </c>
      <c r="V252" s="244">
        <v>103</v>
      </c>
      <c r="W252" s="244">
        <v>1</v>
      </c>
      <c r="X252" s="244">
        <v>0</v>
      </c>
      <c r="Y252" s="244">
        <v>9</v>
      </c>
      <c r="Z252" s="244">
        <v>288</v>
      </c>
      <c r="AA252" s="87" t="s">
        <v>1649</v>
      </c>
      <c r="AB252" s="87" t="s">
        <v>1649</v>
      </c>
      <c r="AC252" s="244">
        <v>0</v>
      </c>
      <c r="AD252" s="87" t="s">
        <v>1648</v>
      </c>
      <c r="AE252" s="244">
        <v>1464</v>
      </c>
      <c r="AF252" s="87" t="s">
        <v>1651</v>
      </c>
      <c r="AG252" s="87" t="s">
        <v>1648</v>
      </c>
      <c r="AH252" s="87" t="s">
        <v>1648</v>
      </c>
      <c r="AI252" s="87" t="s">
        <v>1649</v>
      </c>
      <c r="AJ252" s="87" t="s">
        <v>1649</v>
      </c>
    </row>
    <row r="253" spans="1:36" ht="13.5" thickBot="1" x14ac:dyDescent="0.25">
      <c r="A253" s="48" t="s">
        <v>288</v>
      </c>
      <c r="B253" s="347" t="s">
        <v>287</v>
      </c>
      <c r="C253" s="48" t="s">
        <v>3144</v>
      </c>
      <c r="D253" s="48" t="s">
        <v>22</v>
      </c>
      <c r="E253" s="48" t="s">
        <v>890</v>
      </c>
      <c r="F253" s="87" t="s">
        <v>1648</v>
      </c>
      <c r="G253" s="87" t="s">
        <v>1648</v>
      </c>
      <c r="H253" s="244">
        <v>756</v>
      </c>
      <c r="I253" s="87" t="s">
        <v>1649</v>
      </c>
      <c r="J253" s="244">
        <v>0</v>
      </c>
      <c r="K253" s="87" t="s">
        <v>1649</v>
      </c>
      <c r="L253" s="87" t="s">
        <v>1649</v>
      </c>
      <c r="M253" s="244">
        <v>0</v>
      </c>
      <c r="N253" s="87" t="s">
        <v>1648</v>
      </c>
      <c r="O253" s="87" t="s">
        <v>1648</v>
      </c>
      <c r="P253" s="87" t="s">
        <v>1648</v>
      </c>
      <c r="Q253" s="244">
        <v>49</v>
      </c>
      <c r="R253" s="244">
        <v>326</v>
      </c>
      <c r="S253" s="244">
        <v>1</v>
      </c>
      <c r="T253" s="244">
        <v>0</v>
      </c>
      <c r="U253" s="244">
        <v>8</v>
      </c>
      <c r="V253" s="244">
        <v>36</v>
      </c>
      <c r="W253" s="244">
        <v>2</v>
      </c>
      <c r="X253" s="244">
        <v>57</v>
      </c>
      <c r="Y253" s="244">
        <v>63</v>
      </c>
      <c r="Z253" s="244">
        <v>7420</v>
      </c>
      <c r="AA253" s="87" t="s">
        <v>1648</v>
      </c>
      <c r="AB253" s="87" t="s">
        <v>1649</v>
      </c>
      <c r="AC253" s="244">
        <v>0</v>
      </c>
      <c r="AD253" s="87" t="s">
        <v>1648</v>
      </c>
      <c r="AE253" s="244">
        <v>11461</v>
      </c>
      <c r="AF253" s="87" t="s">
        <v>1651</v>
      </c>
      <c r="AG253" s="87" t="s">
        <v>1648</v>
      </c>
      <c r="AH253" s="87" t="s">
        <v>1648</v>
      </c>
      <c r="AI253" s="87" t="s">
        <v>1649</v>
      </c>
      <c r="AJ253" s="87" t="s">
        <v>1648</v>
      </c>
    </row>
    <row r="254" spans="1:36" ht="13.5" thickBot="1" x14ac:dyDescent="0.25">
      <c r="A254" s="48" t="s">
        <v>292</v>
      </c>
      <c r="B254" s="347" t="s">
        <v>291</v>
      </c>
      <c r="C254" s="48" t="s">
        <v>3074</v>
      </c>
      <c r="D254" s="48" t="s">
        <v>22</v>
      </c>
      <c r="E254" s="48" t="s">
        <v>1949</v>
      </c>
      <c r="F254" s="87" t="s">
        <v>1648</v>
      </c>
      <c r="G254" s="87" t="s">
        <v>1648</v>
      </c>
      <c r="H254" s="244">
        <v>200</v>
      </c>
      <c r="I254" s="87" t="s">
        <v>1649</v>
      </c>
      <c r="J254" s="244">
        <v>0</v>
      </c>
      <c r="K254" s="87" t="s">
        <v>1649</v>
      </c>
      <c r="L254" s="87" t="s">
        <v>1649</v>
      </c>
      <c r="M254" s="244">
        <v>0</v>
      </c>
      <c r="N254" s="87" t="s">
        <v>1649</v>
      </c>
      <c r="O254" s="87" t="s">
        <v>1648</v>
      </c>
      <c r="P254" s="87" t="s">
        <v>1648</v>
      </c>
      <c r="Q254" s="244">
        <v>1</v>
      </c>
      <c r="R254" s="244">
        <v>4</v>
      </c>
      <c r="S254" s="244">
        <v>0</v>
      </c>
      <c r="T254" s="244">
        <v>0</v>
      </c>
      <c r="U254" s="244">
        <v>7</v>
      </c>
      <c r="V254" s="244">
        <v>35</v>
      </c>
      <c r="W254" s="244">
        <v>0</v>
      </c>
      <c r="X254" s="244">
        <v>0</v>
      </c>
      <c r="Y254" s="244">
        <v>97</v>
      </c>
      <c r="Z254" s="244">
        <v>485</v>
      </c>
      <c r="AA254" s="87" t="s">
        <v>1649</v>
      </c>
      <c r="AB254" s="87" t="s">
        <v>1649</v>
      </c>
      <c r="AC254" s="244">
        <v>0</v>
      </c>
      <c r="AD254" s="87" t="s">
        <v>1648</v>
      </c>
      <c r="AE254" s="244">
        <v>8743</v>
      </c>
      <c r="AF254" s="87" t="s">
        <v>1650</v>
      </c>
      <c r="AG254" s="87" t="s">
        <v>1648</v>
      </c>
      <c r="AH254" s="87" t="s">
        <v>1648</v>
      </c>
      <c r="AI254" s="87" t="s">
        <v>1649</v>
      </c>
      <c r="AJ254" s="87" t="s">
        <v>1649</v>
      </c>
    </row>
    <row r="255" spans="1:36" ht="13.5" thickBot="1" x14ac:dyDescent="0.25">
      <c r="A255" s="48" t="s">
        <v>294</v>
      </c>
      <c r="B255" s="347" t="s">
        <v>293</v>
      </c>
      <c r="C255" s="48" t="s">
        <v>3074</v>
      </c>
      <c r="D255" s="48" t="s">
        <v>22</v>
      </c>
      <c r="E255" s="48" t="s">
        <v>1949</v>
      </c>
      <c r="F255" s="87" t="s">
        <v>1648</v>
      </c>
      <c r="G255" s="87" t="s">
        <v>1648</v>
      </c>
      <c r="H255" s="244">
        <v>56</v>
      </c>
      <c r="I255" s="87" t="s">
        <v>1648</v>
      </c>
      <c r="J255" s="244">
        <v>350</v>
      </c>
      <c r="K255" s="87" t="s">
        <v>1649</v>
      </c>
      <c r="L255" s="87" t="s">
        <v>1649</v>
      </c>
      <c r="M255" s="244">
        <v>0</v>
      </c>
      <c r="N255" s="87" t="s">
        <v>1649</v>
      </c>
      <c r="O255" s="87" t="s">
        <v>1649</v>
      </c>
      <c r="P255" s="87" t="s">
        <v>1649</v>
      </c>
      <c r="Q255" s="244">
        <v>0</v>
      </c>
      <c r="R255" s="244">
        <v>0</v>
      </c>
      <c r="S255" s="244">
        <v>0</v>
      </c>
      <c r="T255" s="244">
        <v>0</v>
      </c>
      <c r="U255" s="244">
        <v>0</v>
      </c>
      <c r="V255" s="244">
        <v>0</v>
      </c>
      <c r="W255" s="244">
        <v>0</v>
      </c>
      <c r="X255" s="244">
        <v>0</v>
      </c>
      <c r="Y255" s="244">
        <v>0</v>
      </c>
      <c r="Z255" s="244">
        <v>0</v>
      </c>
      <c r="AA255" s="87" t="s">
        <v>1648</v>
      </c>
      <c r="AB255" s="87" t="s">
        <v>1649</v>
      </c>
      <c r="AC255" s="244">
        <v>0</v>
      </c>
      <c r="AD255" s="87" t="s">
        <v>1648</v>
      </c>
      <c r="AE255" s="244">
        <v>3692</v>
      </c>
      <c r="AF255" s="87" t="s">
        <v>1651</v>
      </c>
      <c r="AG255" s="87" t="s">
        <v>1648</v>
      </c>
      <c r="AH255" s="87" t="s">
        <v>1648</v>
      </c>
      <c r="AI255" s="87" t="s">
        <v>1648</v>
      </c>
      <c r="AJ255" s="87" t="s">
        <v>1648</v>
      </c>
    </row>
    <row r="256" spans="1:36" ht="13.5" thickBot="1" x14ac:dyDescent="0.25">
      <c r="A256" s="48" t="s">
        <v>312</v>
      </c>
      <c r="B256" s="347" t="s">
        <v>311</v>
      </c>
      <c r="C256" s="48" t="s">
        <v>3058</v>
      </c>
      <c r="D256" s="48" t="s">
        <v>22</v>
      </c>
      <c r="E256" s="48" t="s">
        <v>1949</v>
      </c>
      <c r="F256" s="87" t="s">
        <v>1648</v>
      </c>
      <c r="G256" s="87" t="s">
        <v>1648</v>
      </c>
      <c r="H256" s="244">
        <v>1768</v>
      </c>
      <c r="I256" s="87" t="s">
        <v>1649</v>
      </c>
      <c r="J256" s="244">
        <v>0</v>
      </c>
      <c r="K256" s="87" t="s">
        <v>1649</v>
      </c>
      <c r="L256" s="87" t="s">
        <v>1649</v>
      </c>
      <c r="M256" s="244">
        <v>0</v>
      </c>
      <c r="N256" s="87" t="s">
        <v>1649</v>
      </c>
      <c r="O256" s="87" t="s">
        <v>1649</v>
      </c>
      <c r="P256" s="87" t="s">
        <v>1648</v>
      </c>
      <c r="Q256" s="244">
        <v>0</v>
      </c>
      <c r="R256" s="244">
        <v>0</v>
      </c>
      <c r="S256" s="244">
        <v>0</v>
      </c>
      <c r="T256" s="244">
        <v>0</v>
      </c>
      <c r="U256" s="244">
        <v>0</v>
      </c>
      <c r="V256" s="244">
        <v>0</v>
      </c>
      <c r="W256" s="244">
        <v>0</v>
      </c>
      <c r="X256" s="244">
        <v>0</v>
      </c>
      <c r="Y256" s="244">
        <v>38</v>
      </c>
      <c r="Z256" s="244">
        <v>19409</v>
      </c>
      <c r="AA256" s="87" t="s">
        <v>1648</v>
      </c>
      <c r="AB256" s="87" t="s">
        <v>1649</v>
      </c>
      <c r="AC256" s="244">
        <v>0</v>
      </c>
      <c r="AD256" s="87" t="s">
        <v>1648</v>
      </c>
      <c r="AE256" s="244">
        <v>4420</v>
      </c>
      <c r="AF256" s="87" t="s">
        <v>1651</v>
      </c>
      <c r="AG256" s="87" t="s">
        <v>1648</v>
      </c>
      <c r="AH256" s="87" t="s">
        <v>1648</v>
      </c>
      <c r="AI256" s="87" t="s">
        <v>1649</v>
      </c>
      <c r="AJ256" s="87" t="s">
        <v>1648</v>
      </c>
    </row>
    <row r="257" spans="1:36" ht="13.5" thickBot="1" x14ac:dyDescent="0.25">
      <c r="A257" s="48" t="s">
        <v>320</v>
      </c>
      <c r="B257" s="347" t="s">
        <v>319</v>
      </c>
      <c r="C257" s="48" t="s">
        <v>3061</v>
      </c>
      <c r="D257" s="48" t="s">
        <v>22</v>
      </c>
      <c r="E257" s="48" t="s">
        <v>1949</v>
      </c>
      <c r="F257" s="87" t="s">
        <v>1648</v>
      </c>
      <c r="G257" s="87" t="s">
        <v>1648</v>
      </c>
      <c r="H257" s="244">
        <v>798</v>
      </c>
      <c r="I257" s="87" t="s">
        <v>1649</v>
      </c>
      <c r="J257" s="244">
        <v>0</v>
      </c>
      <c r="K257" s="87" t="s">
        <v>1649</v>
      </c>
      <c r="L257" s="87" t="s">
        <v>1649</v>
      </c>
      <c r="M257" s="244">
        <v>0</v>
      </c>
      <c r="N257" s="87" t="s">
        <v>1648</v>
      </c>
      <c r="O257" s="87" t="s">
        <v>1648</v>
      </c>
      <c r="P257" s="87" t="s">
        <v>1648</v>
      </c>
      <c r="Q257" s="244">
        <v>46</v>
      </c>
      <c r="R257" s="244">
        <v>241</v>
      </c>
      <c r="S257" s="244">
        <v>0</v>
      </c>
      <c r="T257" s="244">
        <v>0</v>
      </c>
      <c r="U257" s="244">
        <v>0</v>
      </c>
      <c r="V257" s="244">
        <v>0</v>
      </c>
      <c r="W257" s="244">
        <v>3</v>
      </c>
      <c r="X257" s="244">
        <v>41</v>
      </c>
      <c r="Y257" s="244">
        <v>82</v>
      </c>
      <c r="Z257" s="244">
        <v>2149</v>
      </c>
      <c r="AA257" s="87" t="s">
        <v>1648</v>
      </c>
      <c r="AB257" s="87" t="s">
        <v>1648</v>
      </c>
      <c r="AC257" s="244">
        <v>39</v>
      </c>
      <c r="AD257" s="87" t="s">
        <v>1648</v>
      </c>
      <c r="AE257" s="244">
        <v>4365</v>
      </c>
      <c r="AF257" s="87" t="s">
        <v>1650</v>
      </c>
      <c r="AG257" s="87" t="s">
        <v>1648</v>
      </c>
      <c r="AH257" s="87" t="s">
        <v>1649</v>
      </c>
      <c r="AI257" s="87" t="s">
        <v>1648</v>
      </c>
      <c r="AJ257" s="87" t="s">
        <v>1648</v>
      </c>
    </row>
    <row r="258" spans="1:36" ht="13.5" thickBot="1" x14ac:dyDescent="0.25">
      <c r="A258" s="48" t="s">
        <v>330</v>
      </c>
      <c r="B258" s="347" t="s">
        <v>329</v>
      </c>
      <c r="C258" s="48" t="s">
        <v>3098</v>
      </c>
      <c r="D258" s="48" t="s">
        <v>22</v>
      </c>
      <c r="E258" s="48" t="s">
        <v>1919</v>
      </c>
      <c r="F258" s="87" t="s">
        <v>1648</v>
      </c>
      <c r="G258" s="87" t="s">
        <v>1648</v>
      </c>
      <c r="H258" s="244">
        <v>672</v>
      </c>
      <c r="I258" s="87" t="s">
        <v>1649</v>
      </c>
      <c r="J258" s="244">
        <v>0</v>
      </c>
      <c r="K258" s="87" t="s">
        <v>1649</v>
      </c>
      <c r="L258" s="87" t="s">
        <v>1649</v>
      </c>
      <c r="M258" s="244">
        <v>0</v>
      </c>
      <c r="N258" s="87" t="s">
        <v>1648</v>
      </c>
      <c r="O258" s="87" t="s">
        <v>1649</v>
      </c>
      <c r="P258" s="87" t="s">
        <v>1649</v>
      </c>
      <c r="Q258" s="244">
        <v>0</v>
      </c>
      <c r="R258" s="244">
        <v>0</v>
      </c>
      <c r="S258" s="244">
        <v>0</v>
      </c>
      <c r="T258" s="244">
        <v>0</v>
      </c>
      <c r="U258" s="244">
        <v>0</v>
      </c>
      <c r="V258" s="244">
        <v>0</v>
      </c>
      <c r="W258" s="244">
        <v>0</v>
      </c>
      <c r="X258" s="244">
        <v>0</v>
      </c>
      <c r="Y258" s="244">
        <v>0</v>
      </c>
      <c r="Z258" s="244">
        <v>0</v>
      </c>
      <c r="AA258" s="87" t="s">
        <v>1648</v>
      </c>
      <c r="AB258" s="87" t="s">
        <v>1649</v>
      </c>
      <c r="AC258" s="244">
        <v>0</v>
      </c>
      <c r="AD258" s="87" t="s">
        <v>1648</v>
      </c>
      <c r="AE258" s="244">
        <v>196</v>
      </c>
      <c r="AF258" s="87" t="s">
        <v>1650</v>
      </c>
      <c r="AG258" s="87" t="s">
        <v>1648</v>
      </c>
      <c r="AH258" s="87" t="s">
        <v>1648</v>
      </c>
      <c r="AI258" s="87" t="s">
        <v>1649</v>
      </c>
      <c r="AJ258" s="87" t="s">
        <v>1648</v>
      </c>
    </row>
    <row r="259" spans="1:36" ht="13.5" thickBot="1" x14ac:dyDescent="0.25">
      <c r="A259" s="48" t="s">
        <v>332</v>
      </c>
      <c r="B259" s="347" t="s">
        <v>331</v>
      </c>
      <c r="C259" s="48" t="s">
        <v>3098</v>
      </c>
      <c r="D259" s="48" t="s">
        <v>22</v>
      </c>
      <c r="E259" s="48" t="s">
        <v>890</v>
      </c>
      <c r="F259" s="87" t="s">
        <v>1648</v>
      </c>
      <c r="G259" s="87" t="s">
        <v>1648</v>
      </c>
      <c r="H259" s="244">
        <v>240</v>
      </c>
      <c r="I259" s="87" t="s">
        <v>1648</v>
      </c>
      <c r="J259" s="244">
        <v>720</v>
      </c>
      <c r="K259" s="87" t="s">
        <v>1649</v>
      </c>
      <c r="L259" s="87" t="s">
        <v>1649</v>
      </c>
      <c r="M259" s="244">
        <v>0</v>
      </c>
      <c r="N259" s="87" t="s">
        <v>1648</v>
      </c>
      <c r="O259" s="87" t="s">
        <v>1649</v>
      </c>
      <c r="P259" s="87" t="s">
        <v>1649</v>
      </c>
      <c r="Q259" s="244">
        <v>0</v>
      </c>
      <c r="R259" s="244">
        <v>0</v>
      </c>
      <c r="S259" s="244">
        <v>0</v>
      </c>
      <c r="T259" s="244">
        <v>0</v>
      </c>
      <c r="U259" s="244">
        <v>0</v>
      </c>
      <c r="V259" s="244">
        <v>0</v>
      </c>
      <c r="W259" s="244">
        <v>0</v>
      </c>
      <c r="X259" s="244">
        <v>0</v>
      </c>
      <c r="Y259" s="244">
        <v>0</v>
      </c>
      <c r="Z259" s="244">
        <v>0</v>
      </c>
      <c r="AA259" s="87" t="s">
        <v>1648</v>
      </c>
      <c r="AB259" s="87" t="s">
        <v>1648</v>
      </c>
      <c r="AC259" s="244">
        <v>35</v>
      </c>
      <c r="AD259" s="87" t="s">
        <v>1648</v>
      </c>
      <c r="AE259" s="244">
        <v>25000</v>
      </c>
      <c r="AF259" s="87" t="s">
        <v>1650</v>
      </c>
      <c r="AG259" s="87" t="s">
        <v>1648</v>
      </c>
      <c r="AH259" s="87" t="s">
        <v>1648</v>
      </c>
      <c r="AI259" s="87" t="s">
        <v>1648</v>
      </c>
      <c r="AJ259" s="87" t="s">
        <v>1648</v>
      </c>
    </row>
    <row r="260" spans="1:36" ht="13.5" thickBot="1" x14ac:dyDescent="0.25">
      <c r="A260" s="48" t="s">
        <v>336</v>
      </c>
      <c r="B260" s="347" t="s">
        <v>335</v>
      </c>
      <c r="C260" s="48" t="s">
        <v>3144</v>
      </c>
      <c r="D260" s="48" t="s">
        <v>22</v>
      </c>
      <c r="E260" s="48" t="s">
        <v>890</v>
      </c>
      <c r="F260" s="87" t="s">
        <v>1648</v>
      </c>
      <c r="G260" s="87" t="s">
        <v>1648</v>
      </c>
      <c r="H260" s="244">
        <v>576</v>
      </c>
      <c r="I260" s="87" t="s">
        <v>1649</v>
      </c>
      <c r="J260" s="244">
        <v>0</v>
      </c>
      <c r="K260" s="87" t="s">
        <v>1649</v>
      </c>
      <c r="L260" s="87" t="s">
        <v>1649</v>
      </c>
      <c r="M260" s="244">
        <v>0</v>
      </c>
      <c r="N260" s="87" t="s">
        <v>1649</v>
      </c>
      <c r="O260" s="87" t="s">
        <v>1648</v>
      </c>
      <c r="P260" s="87" t="s">
        <v>1648</v>
      </c>
      <c r="Q260" s="244">
        <v>2</v>
      </c>
      <c r="R260" s="244">
        <v>8</v>
      </c>
      <c r="S260" s="244">
        <v>0</v>
      </c>
      <c r="T260" s="244">
        <v>0</v>
      </c>
      <c r="U260" s="244">
        <v>0</v>
      </c>
      <c r="V260" s="244">
        <v>0</v>
      </c>
      <c r="W260" s="244">
        <v>0</v>
      </c>
      <c r="X260" s="244">
        <v>0</v>
      </c>
      <c r="Y260" s="244">
        <v>5</v>
      </c>
      <c r="Z260" s="244">
        <v>12</v>
      </c>
      <c r="AA260" s="87" t="s">
        <v>1648</v>
      </c>
      <c r="AB260" s="87" t="s">
        <v>1649</v>
      </c>
      <c r="AC260" s="244">
        <v>0</v>
      </c>
      <c r="AD260" s="87" t="s">
        <v>1648</v>
      </c>
      <c r="AE260" s="244">
        <v>8395</v>
      </c>
      <c r="AF260" s="87" t="s">
        <v>1651</v>
      </c>
      <c r="AG260" s="87" t="s">
        <v>1648</v>
      </c>
      <c r="AH260" s="87" t="s">
        <v>1649</v>
      </c>
      <c r="AI260" s="87" t="s">
        <v>1649</v>
      </c>
      <c r="AJ260" s="87" t="s">
        <v>1649</v>
      </c>
    </row>
    <row r="261" spans="1:36" ht="13.5" thickBot="1" x14ac:dyDescent="0.25">
      <c r="A261" s="48" t="s">
        <v>338</v>
      </c>
      <c r="B261" s="347" t="s">
        <v>337</v>
      </c>
      <c r="C261" s="48" t="s">
        <v>3055</v>
      </c>
      <c r="D261" s="48" t="s">
        <v>22</v>
      </c>
      <c r="E261" s="48" t="s">
        <v>1949</v>
      </c>
      <c r="F261" s="87" t="s">
        <v>1648</v>
      </c>
      <c r="G261" s="87" t="s">
        <v>1648</v>
      </c>
      <c r="H261" s="244">
        <v>77</v>
      </c>
      <c r="I261" s="87" t="s">
        <v>1648</v>
      </c>
      <c r="J261" s="244">
        <v>120</v>
      </c>
      <c r="K261" s="87" t="s">
        <v>1649</v>
      </c>
      <c r="L261" s="87" t="s">
        <v>1649</v>
      </c>
      <c r="M261" s="244">
        <v>0</v>
      </c>
      <c r="N261" s="87" t="s">
        <v>1649</v>
      </c>
      <c r="O261" s="87" t="s">
        <v>1648</v>
      </c>
      <c r="P261" s="87" t="s">
        <v>1648</v>
      </c>
      <c r="Q261" s="244">
        <v>60</v>
      </c>
      <c r="R261" s="244">
        <v>561</v>
      </c>
      <c r="S261" s="244">
        <v>9</v>
      </c>
      <c r="T261" s="244">
        <v>134</v>
      </c>
      <c r="U261" s="244">
        <v>2</v>
      </c>
      <c r="V261" s="244">
        <v>45</v>
      </c>
      <c r="W261" s="244">
        <v>0</v>
      </c>
      <c r="X261" s="244">
        <v>0</v>
      </c>
      <c r="Y261" s="244">
        <v>0</v>
      </c>
      <c r="Z261" s="244">
        <v>69</v>
      </c>
      <c r="AA261" s="87" t="s">
        <v>1648</v>
      </c>
      <c r="AB261" s="87" t="s">
        <v>1648</v>
      </c>
      <c r="AC261" s="244">
        <v>15</v>
      </c>
      <c r="AD261" s="87" t="s">
        <v>1648</v>
      </c>
      <c r="AE261" s="244">
        <v>1420</v>
      </c>
      <c r="AF261" s="87" t="s">
        <v>1651</v>
      </c>
      <c r="AG261" s="87" t="s">
        <v>1648</v>
      </c>
      <c r="AH261" s="87" t="s">
        <v>1648</v>
      </c>
      <c r="AI261" s="87" t="s">
        <v>1649</v>
      </c>
      <c r="AJ261" s="87" t="s">
        <v>1649</v>
      </c>
    </row>
    <row r="262" spans="1:36" ht="13.5" thickBot="1" x14ac:dyDescent="0.25">
      <c r="A262" s="48" t="s">
        <v>340</v>
      </c>
      <c r="B262" s="347" t="s">
        <v>339</v>
      </c>
      <c r="C262" s="48" t="s">
        <v>3144</v>
      </c>
      <c r="D262" s="48" t="s">
        <v>22</v>
      </c>
      <c r="E262" s="48" t="s">
        <v>1919</v>
      </c>
      <c r="F262" s="87" t="s">
        <v>1648</v>
      </c>
      <c r="G262" s="87" t="s">
        <v>1648</v>
      </c>
      <c r="H262" s="244">
        <v>44</v>
      </c>
      <c r="I262" s="87" t="s">
        <v>1648</v>
      </c>
      <c r="J262" s="244">
        <v>240</v>
      </c>
      <c r="K262" s="87" t="s">
        <v>1649</v>
      </c>
      <c r="L262" s="87" t="s">
        <v>1649</v>
      </c>
      <c r="M262" s="244">
        <v>0</v>
      </c>
      <c r="N262" s="87" t="s">
        <v>1648</v>
      </c>
      <c r="O262" s="87" t="s">
        <v>1648</v>
      </c>
      <c r="P262" s="87" t="s">
        <v>1648</v>
      </c>
      <c r="Q262" s="244">
        <v>1</v>
      </c>
      <c r="R262" s="244">
        <v>9</v>
      </c>
      <c r="S262" s="244">
        <v>0</v>
      </c>
      <c r="T262" s="244">
        <v>0</v>
      </c>
      <c r="U262" s="244">
        <v>24</v>
      </c>
      <c r="V262" s="244">
        <v>104</v>
      </c>
      <c r="W262" s="244">
        <v>0</v>
      </c>
      <c r="X262" s="244">
        <v>0</v>
      </c>
      <c r="Y262" s="244">
        <v>56</v>
      </c>
      <c r="Z262" s="244">
        <v>4019</v>
      </c>
      <c r="AA262" s="87" t="s">
        <v>1648</v>
      </c>
      <c r="AB262" s="87" t="s">
        <v>1649</v>
      </c>
      <c r="AC262" s="244">
        <v>0</v>
      </c>
      <c r="AD262" s="87" t="s">
        <v>1648</v>
      </c>
      <c r="AE262" s="244">
        <v>4504</v>
      </c>
      <c r="AF262" s="87" t="s">
        <v>1651</v>
      </c>
      <c r="AG262" s="87" t="s">
        <v>1648</v>
      </c>
      <c r="AH262" s="87" t="s">
        <v>1648</v>
      </c>
      <c r="AI262" s="87" t="s">
        <v>1649</v>
      </c>
      <c r="AJ262" s="87" t="s">
        <v>1648</v>
      </c>
    </row>
    <row r="263" spans="1:36" ht="13.5" thickBot="1" x14ac:dyDescent="0.25">
      <c r="A263" s="48" t="s">
        <v>346</v>
      </c>
      <c r="B263" s="347" t="s">
        <v>345</v>
      </c>
      <c r="C263" s="48" t="s">
        <v>3074</v>
      </c>
      <c r="D263" s="48" t="s">
        <v>22</v>
      </c>
      <c r="E263" s="48" t="s">
        <v>890</v>
      </c>
      <c r="F263" s="87" t="s">
        <v>1648</v>
      </c>
      <c r="G263" s="87" t="s">
        <v>1648</v>
      </c>
      <c r="H263" s="244">
        <v>96</v>
      </c>
      <c r="I263" s="87" t="s">
        <v>1649</v>
      </c>
      <c r="J263" s="244">
        <v>0</v>
      </c>
      <c r="K263" s="87" t="s">
        <v>1649</v>
      </c>
      <c r="L263" s="87" t="s">
        <v>1649</v>
      </c>
      <c r="M263" s="244">
        <v>0</v>
      </c>
      <c r="N263" s="87" t="s">
        <v>1649</v>
      </c>
      <c r="O263" s="87" t="s">
        <v>1648</v>
      </c>
      <c r="P263" s="87" t="s">
        <v>1648</v>
      </c>
      <c r="Q263" s="244">
        <v>10</v>
      </c>
      <c r="R263" s="244">
        <v>5000</v>
      </c>
      <c r="S263" s="244">
        <v>0</v>
      </c>
      <c r="T263" s="244">
        <v>0</v>
      </c>
      <c r="U263" s="244">
        <v>2</v>
      </c>
      <c r="V263" s="244">
        <v>9</v>
      </c>
      <c r="W263" s="244">
        <v>0</v>
      </c>
      <c r="X263" s="244">
        <v>0</v>
      </c>
      <c r="Y263" s="244">
        <v>2</v>
      </c>
      <c r="Z263" s="244">
        <v>672</v>
      </c>
      <c r="AA263" s="87" t="s">
        <v>1648</v>
      </c>
      <c r="AB263" s="87" t="s">
        <v>1648</v>
      </c>
      <c r="AC263" s="244">
        <v>64</v>
      </c>
      <c r="AD263" s="87" t="s">
        <v>1648</v>
      </c>
      <c r="AE263" s="244">
        <v>8000</v>
      </c>
      <c r="AF263" s="87" t="s">
        <v>1650</v>
      </c>
      <c r="AG263" s="87" t="s">
        <v>1648</v>
      </c>
      <c r="AH263" s="87" t="s">
        <v>1648</v>
      </c>
      <c r="AI263" s="87" t="s">
        <v>1649</v>
      </c>
      <c r="AJ263" s="87" t="s">
        <v>1648</v>
      </c>
    </row>
    <row r="264" spans="1:36" ht="13.5" thickBot="1" x14ac:dyDescent="0.25">
      <c r="A264" s="48" t="s">
        <v>348</v>
      </c>
      <c r="B264" s="347" t="s">
        <v>347</v>
      </c>
      <c r="C264" s="48" t="s">
        <v>3098</v>
      </c>
      <c r="D264" s="48" t="s">
        <v>22</v>
      </c>
      <c r="E264" s="48" t="s">
        <v>1949</v>
      </c>
      <c r="F264" s="87" t="s">
        <v>1648</v>
      </c>
      <c r="G264" s="87" t="s">
        <v>1648</v>
      </c>
      <c r="H264" s="244">
        <v>360</v>
      </c>
      <c r="I264" s="87" t="s">
        <v>1649</v>
      </c>
      <c r="J264" s="244">
        <v>64</v>
      </c>
      <c r="K264" s="87" t="s">
        <v>1649</v>
      </c>
      <c r="L264" s="87" t="s">
        <v>1649</v>
      </c>
      <c r="M264" s="244">
        <v>0</v>
      </c>
      <c r="N264" s="87" t="s">
        <v>1648</v>
      </c>
      <c r="O264" s="87" t="s">
        <v>1648</v>
      </c>
      <c r="P264" s="87" t="s">
        <v>1648</v>
      </c>
      <c r="Q264" s="244">
        <v>35</v>
      </c>
      <c r="R264" s="244">
        <v>346</v>
      </c>
      <c r="S264" s="244">
        <v>0</v>
      </c>
      <c r="T264" s="244">
        <v>0</v>
      </c>
      <c r="U264" s="244">
        <v>5</v>
      </c>
      <c r="V264" s="244">
        <v>35</v>
      </c>
      <c r="W264" s="244">
        <v>3</v>
      </c>
      <c r="X264" s="244">
        <v>56</v>
      </c>
      <c r="Y264" s="244">
        <v>43</v>
      </c>
      <c r="Z264" s="244">
        <v>437</v>
      </c>
      <c r="AA264" s="87" t="s">
        <v>1648</v>
      </c>
      <c r="AB264" s="87" t="s">
        <v>1649</v>
      </c>
      <c r="AC264" s="244">
        <v>0</v>
      </c>
      <c r="AD264" s="87" t="s">
        <v>1648</v>
      </c>
      <c r="AE264" s="244">
        <v>4294</v>
      </c>
      <c r="AF264" s="87" t="s">
        <v>1651</v>
      </c>
      <c r="AG264" s="87" t="s">
        <v>1648</v>
      </c>
      <c r="AH264" s="87" t="s">
        <v>1648</v>
      </c>
      <c r="AI264" s="87" t="s">
        <v>1649</v>
      </c>
      <c r="AJ264" s="87" t="s">
        <v>1648</v>
      </c>
    </row>
    <row r="265" spans="1:36" ht="13.5" thickBot="1" x14ac:dyDescent="0.25">
      <c r="A265" s="48" t="s">
        <v>356</v>
      </c>
      <c r="B265" s="347" t="s">
        <v>355</v>
      </c>
      <c r="C265" s="48" t="s">
        <v>3098</v>
      </c>
      <c r="D265" s="48" t="s">
        <v>22</v>
      </c>
      <c r="E265" s="48" t="s">
        <v>1919</v>
      </c>
      <c r="F265" s="87" t="s">
        <v>1648</v>
      </c>
      <c r="G265" s="87" t="s">
        <v>1648</v>
      </c>
      <c r="H265" s="244">
        <v>0</v>
      </c>
      <c r="I265" s="87" t="s">
        <v>1649</v>
      </c>
      <c r="J265" s="244">
        <v>0</v>
      </c>
      <c r="K265" s="87" t="s">
        <v>1649</v>
      </c>
      <c r="L265" s="87" t="s">
        <v>1648</v>
      </c>
      <c r="M265" s="244">
        <v>0</v>
      </c>
      <c r="N265" s="87" t="s">
        <v>1648</v>
      </c>
      <c r="O265" s="87" t="s">
        <v>1648</v>
      </c>
      <c r="P265" s="87" t="s">
        <v>1648</v>
      </c>
      <c r="Q265" s="244">
        <v>12</v>
      </c>
      <c r="R265" s="244">
        <v>220</v>
      </c>
      <c r="S265" s="244">
        <v>40</v>
      </c>
      <c r="T265" s="244">
        <v>132</v>
      </c>
      <c r="U265" s="244">
        <v>29</v>
      </c>
      <c r="V265" s="244">
        <v>292</v>
      </c>
      <c r="W265" s="244">
        <v>0</v>
      </c>
      <c r="X265" s="244">
        <v>0</v>
      </c>
      <c r="Y265" s="244">
        <v>12</v>
      </c>
      <c r="Z265" s="244">
        <v>459</v>
      </c>
      <c r="AA265" s="87" t="s">
        <v>1648</v>
      </c>
      <c r="AB265" s="87" t="s">
        <v>1649</v>
      </c>
      <c r="AC265" s="244">
        <v>0</v>
      </c>
      <c r="AD265" s="87" t="s">
        <v>1648</v>
      </c>
      <c r="AE265" s="244">
        <v>18404</v>
      </c>
      <c r="AF265" s="87" t="s">
        <v>1651</v>
      </c>
      <c r="AG265" s="87" t="s">
        <v>1648</v>
      </c>
      <c r="AH265" s="87" t="s">
        <v>1648</v>
      </c>
      <c r="AI265" s="87" t="s">
        <v>1649</v>
      </c>
      <c r="AJ265" s="87" t="s">
        <v>1648</v>
      </c>
    </row>
    <row r="266" spans="1:36" ht="13.5" thickBot="1" x14ac:dyDescent="0.25">
      <c r="A266" s="48" t="s">
        <v>360</v>
      </c>
      <c r="B266" s="347" t="s">
        <v>359</v>
      </c>
      <c r="C266" s="48" t="s">
        <v>3055</v>
      </c>
      <c r="D266" s="48" t="s">
        <v>22</v>
      </c>
      <c r="E266" s="48" t="s">
        <v>1919</v>
      </c>
      <c r="F266" s="87" t="s">
        <v>1648</v>
      </c>
      <c r="G266" s="87" t="s">
        <v>1648</v>
      </c>
      <c r="H266" s="244">
        <v>12</v>
      </c>
      <c r="I266" s="87" t="s">
        <v>1649</v>
      </c>
      <c r="J266" s="244">
        <v>0</v>
      </c>
      <c r="K266" s="87" t="s">
        <v>1649</v>
      </c>
      <c r="L266" s="87" t="s">
        <v>1649</v>
      </c>
      <c r="M266" s="244">
        <v>0</v>
      </c>
      <c r="N266" s="87" t="s">
        <v>1649</v>
      </c>
      <c r="O266" s="87" t="s">
        <v>1648</v>
      </c>
      <c r="P266" s="87" t="s">
        <v>1648</v>
      </c>
      <c r="Q266" s="244">
        <v>9</v>
      </c>
      <c r="R266" s="244">
        <v>506</v>
      </c>
      <c r="S266" s="244">
        <v>0</v>
      </c>
      <c r="T266" s="244">
        <v>0</v>
      </c>
      <c r="U266" s="244">
        <v>0</v>
      </c>
      <c r="V266" s="244">
        <v>0</v>
      </c>
      <c r="W266" s="244">
        <v>0</v>
      </c>
      <c r="X266" s="244">
        <v>0</v>
      </c>
      <c r="Y266" s="244">
        <v>0</v>
      </c>
      <c r="Z266" s="244">
        <v>0</v>
      </c>
      <c r="AA266" s="87" t="s">
        <v>1649</v>
      </c>
      <c r="AB266" s="87" t="s">
        <v>1649</v>
      </c>
      <c r="AC266" s="244">
        <v>0</v>
      </c>
      <c r="AD266" s="87" t="s">
        <v>1648</v>
      </c>
      <c r="AE266" s="244">
        <v>1392</v>
      </c>
      <c r="AF266" s="87" t="s">
        <v>1650</v>
      </c>
      <c r="AG266" s="87" t="s">
        <v>1648</v>
      </c>
      <c r="AH266" s="87" t="s">
        <v>1648</v>
      </c>
      <c r="AI266" s="87" t="s">
        <v>1649</v>
      </c>
      <c r="AJ266" s="87" t="s">
        <v>1648</v>
      </c>
    </row>
    <row r="267" spans="1:36" ht="13.5" thickBot="1" x14ac:dyDescent="0.25">
      <c r="A267" s="48" t="s">
        <v>368</v>
      </c>
      <c r="B267" s="347" t="s">
        <v>367</v>
      </c>
      <c r="C267" s="48" t="s">
        <v>3058</v>
      </c>
      <c r="D267" s="48" t="s">
        <v>22</v>
      </c>
      <c r="E267" s="48" t="s">
        <v>1949</v>
      </c>
      <c r="F267" s="87" t="s">
        <v>1648</v>
      </c>
      <c r="G267" s="87" t="s">
        <v>1648</v>
      </c>
      <c r="H267" s="244">
        <v>70</v>
      </c>
      <c r="I267" s="87" t="s">
        <v>1649</v>
      </c>
      <c r="J267" s="244">
        <v>0</v>
      </c>
      <c r="K267" s="87" t="s">
        <v>1649</v>
      </c>
      <c r="L267" s="87" t="s">
        <v>1649</v>
      </c>
      <c r="M267" s="244">
        <v>0</v>
      </c>
      <c r="N267" s="87" t="s">
        <v>1648</v>
      </c>
      <c r="O267" s="87" t="s">
        <v>1648</v>
      </c>
      <c r="P267" s="87" t="s">
        <v>1648</v>
      </c>
      <c r="Q267" s="244">
        <v>1</v>
      </c>
      <c r="R267" s="244">
        <v>3</v>
      </c>
      <c r="S267" s="244">
        <v>0</v>
      </c>
      <c r="T267" s="244">
        <v>0</v>
      </c>
      <c r="U267" s="244">
        <v>3</v>
      </c>
      <c r="V267" s="244">
        <v>25</v>
      </c>
      <c r="W267" s="244">
        <v>0</v>
      </c>
      <c r="X267" s="244">
        <v>0</v>
      </c>
      <c r="Y267" s="244">
        <v>29</v>
      </c>
      <c r="Z267" s="244">
        <v>8541</v>
      </c>
      <c r="AA267" s="87" t="s">
        <v>1648</v>
      </c>
      <c r="AB267" s="87" t="s">
        <v>1649</v>
      </c>
      <c r="AC267" s="244">
        <v>0</v>
      </c>
      <c r="AD267" s="87" t="s">
        <v>1649</v>
      </c>
      <c r="AE267" s="244">
        <v>2210</v>
      </c>
      <c r="AF267" s="87" t="s">
        <v>1650</v>
      </c>
      <c r="AG267" s="87" t="s">
        <v>1648</v>
      </c>
      <c r="AH267" s="87" t="s">
        <v>1648</v>
      </c>
      <c r="AI267" s="87" t="s">
        <v>1649</v>
      </c>
      <c r="AJ267" s="87" t="s">
        <v>1648</v>
      </c>
    </row>
    <row r="268" spans="1:36" ht="13.5" thickBot="1" x14ac:dyDescent="0.25">
      <c r="A268" s="48" t="s">
        <v>370</v>
      </c>
      <c r="B268" s="347" t="s">
        <v>369</v>
      </c>
      <c r="C268" s="48" t="s">
        <v>3074</v>
      </c>
      <c r="D268" s="48" t="s">
        <v>22</v>
      </c>
      <c r="E268" s="48" t="s">
        <v>890</v>
      </c>
      <c r="F268" s="87" t="s">
        <v>1648</v>
      </c>
      <c r="G268" s="87" t="s">
        <v>1648</v>
      </c>
      <c r="H268" s="244">
        <v>180</v>
      </c>
      <c r="I268" s="87" t="s">
        <v>1649</v>
      </c>
      <c r="J268" s="244">
        <v>0</v>
      </c>
      <c r="K268" s="87" t="s">
        <v>1649</v>
      </c>
      <c r="L268" s="87" t="s">
        <v>1649</v>
      </c>
      <c r="M268" s="244">
        <v>0</v>
      </c>
      <c r="N268" s="87" t="s">
        <v>1648</v>
      </c>
      <c r="O268" s="87" t="s">
        <v>1648</v>
      </c>
      <c r="P268" s="87" t="s">
        <v>1648</v>
      </c>
      <c r="Q268" s="244">
        <v>1</v>
      </c>
      <c r="R268" s="244">
        <v>25</v>
      </c>
      <c r="S268" s="244">
        <v>0</v>
      </c>
      <c r="T268" s="244">
        <v>0</v>
      </c>
      <c r="U268" s="244">
        <v>5</v>
      </c>
      <c r="V268" s="244">
        <v>200</v>
      </c>
      <c r="W268" s="244">
        <v>0</v>
      </c>
      <c r="X268" s="244">
        <v>0</v>
      </c>
      <c r="Y268" s="244">
        <v>15</v>
      </c>
      <c r="Z268" s="244">
        <v>228</v>
      </c>
      <c r="AA268" s="87" t="s">
        <v>1649</v>
      </c>
      <c r="AB268" s="87" t="s">
        <v>1648</v>
      </c>
      <c r="AC268" s="244">
        <v>363</v>
      </c>
      <c r="AD268" s="87" t="s">
        <v>1648</v>
      </c>
      <c r="AE268" s="244">
        <v>21242</v>
      </c>
      <c r="AF268" s="87" t="s">
        <v>1651</v>
      </c>
      <c r="AG268" s="87" t="s">
        <v>1648</v>
      </c>
      <c r="AH268" s="87" t="s">
        <v>1648</v>
      </c>
      <c r="AI268" s="87" t="s">
        <v>1649</v>
      </c>
      <c r="AJ268" s="87" t="s">
        <v>1648</v>
      </c>
    </row>
    <row r="269" spans="1:36" ht="13.5" thickBot="1" x14ac:dyDescent="0.25">
      <c r="A269" s="48" t="s">
        <v>384</v>
      </c>
      <c r="B269" s="347" t="s">
        <v>383</v>
      </c>
      <c r="C269" s="48" t="s">
        <v>3074</v>
      </c>
      <c r="D269" s="48" t="s">
        <v>22</v>
      </c>
      <c r="E269" s="48" t="s">
        <v>1949</v>
      </c>
      <c r="F269" s="87" t="s">
        <v>1648</v>
      </c>
      <c r="G269" s="87" t="s">
        <v>1648</v>
      </c>
      <c r="H269" s="244">
        <v>40</v>
      </c>
      <c r="I269" s="87" t="s">
        <v>1649</v>
      </c>
      <c r="J269" s="244">
        <v>0</v>
      </c>
      <c r="K269" s="87" t="s">
        <v>1649</v>
      </c>
      <c r="L269" s="87" t="s">
        <v>1649</v>
      </c>
      <c r="M269" s="244">
        <v>0</v>
      </c>
      <c r="N269" s="87" t="s">
        <v>1648</v>
      </c>
      <c r="O269" s="87" t="s">
        <v>1648</v>
      </c>
      <c r="P269" s="87" t="s">
        <v>1648</v>
      </c>
      <c r="Q269" s="244">
        <v>55</v>
      </c>
      <c r="R269" s="244">
        <v>9509</v>
      </c>
      <c r="S269" s="244">
        <v>8</v>
      </c>
      <c r="T269" s="244">
        <v>71</v>
      </c>
      <c r="U269" s="244">
        <v>5</v>
      </c>
      <c r="V269" s="244">
        <v>24</v>
      </c>
      <c r="W269" s="244">
        <v>2</v>
      </c>
      <c r="X269" s="244">
        <v>289</v>
      </c>
      <c r="Y269" s="244">
        <v>55</v>
      </c>
      <c r="Z269" s="244">
        <v>9509</v>
      </c>
      <c r="AA269" s="87" t="s">
        <v>1648</v>
      </c>
      <c r="AB269" s="87" t="s">
        <v>1649</v>
      </c>
      <c r="AC269" s="244">
        <v>0</v>
      </c>
      <c r="AD269" s="87" t="s">
        <v>1648</v>
      </c>
      <c r="AE269" s="244">
        <v>40865</v>
      </c>
      <c r="AF269" s="87" t="s">
        <v>1651</v>
      </c>
      <c r="AG269" s="87" t="s">
        <v>1648</v>
      </c>
      <c r="AH269" s="87" t="s">
        <v>1648</v>
      </c>
      <c r="AI269" s="87" t="s">
        <v>1649</v>
      </c>
      <c r="AJ269" s="87" t="s">
        <v>1648</v>
      </c>
    </row>
    <row r="270" spans="1:36" ht="13.5" thickBot="1" x14ac:dyDescent="0.25">
      <c r="A270" s="48" t="s">
        <v>390</v>
      </c>
      <c r="B270" s="347" t="s">
        <v>389</v>
      </c>
      <c r="C270" s="48" t="s">
        <v>3053</v>
      </c>
      <c r="D270" s="48" t="s">
        <v>22</v>
      </c>
      <c r="E270" s="48" t="s">
        <v>890</v>
      </c>
      <c r="F270" s="87" t="s">
        <v>1648</v>
      </c>
      <c r="G270" s="87" t="s">
        <v>1648</v>
      </c>
      <c r="H270" s="244">
        <v>794</v>
      </c>
      <c r="I270" s="87" t="s">
        <v>1648</v>
      </c>
      <c r="J270" s="244">
        <v>820</v>
      </c>
      <c r="K270" s="87" t="s">
        <v>1649</v>
      </c>
      <c r="L270" s="87" t="s">
        <v>1649</v>
      </c>
      <c r="M270" s="244">
        <v>0</v>
      </c>
      <c r="N270" s="87" t="s">
        <v>1648</v>
      </c>
      <c r="O270" s="87" t="s">
        <v>1648</v>
      </c>
      <c r="P270" s="87" t="s">
        <v>1648</v>
      </c>
      <c r="Q270" s="244">
        <v>17</v>
      </c>
      <c r="R270" s="244">
        <v>191</v>
      </c>
      <c r="S270" s="244">
        <v>0</v>
      </c>
      <c r="T270" s="244">
        <v>0</v>
      </c>
      <c r="U270" s="244">
        <v>0</v>
      </c>
      <c r="V270" s="244">
        <v>0</v>
      </c>
      <c r="W270" s="244">
        <v>0</v>
      </c>
      <c r="X270" s="244">
        <v>0</v>
      </c>
      <c r="Y270" s="244">
        <v>13</v>
      </c>
      <c r="Z270" s="244">
        <v>5451</v>
      </c>
      <c r="AA270" s="87" t="s">
        <v>1648</v>
      </c>
      <c r="AB270" s="87" t="s">
        <v>1649</v>
      </c>
      <c r="AC270" s="244">
        <v>0</v>
      </c>
      <c r="AD270" s="87" t="s">
        <v>1648</v>
      </c>
      <c r="AE270" s="244">
        <v>7280</v>
      </c>
      <c r="AF270" s="257" t="s">
        <v>1660</v>
      </c>
      <c r="AG270" s="87" t="s">
        <v>1648</v>
      </c>
      <c r="AH270" s="87" t="s">
        <v>1648</v>
      </c>
      <c r="AI270" s="87" t="s">
        <v>1649</v>
      </c>
      <c r="AJ270" s="87" t="s">
        <v>1648</v>
      </c>
    </row>
    <row r="271" spans="1:36" ht="13.5" thickBot="1" x14ac:dyDescent="0.25">
      <c r="A271" s="48" t="s">
        <v>404</v>
      </c>
      <c r="B271" s="347" t="s">
        <v>403</v>
      </c>
      <c r="C271" s="48" t="s">
        <v>3077</v>
      </c>
      <c r="D271" s="48" t="s">
        <v>22</v>
      </c>
      <c r="E271" s="48" t="s">
        <v>894</v>
      </c>
      <c r="F271" s="257" t="s">
        <v>1648</v>
      </c>
      <c r="G271" s="87" t="s">
        <v>1649</v>
      </c>
      <c r="H271" s="244">
        <v>0</v>
      </c>
      <c r="I271" s="87" t="s">
        <v>1649</v>
      </c>
      <c r="J271" s="244">
        <v>0</v>
      </c>
      <c r="K271" s="87" t="s">
        <v>1649</v>
      </c>
      <c r="L271" s="87" t="s">
        <v>1649</v>
      </c>
      <c r="M271" s="244">
        <v>0</v>
      </c>
      <c r="N271" s="87" t="s">
        <v>1649</v>
      </c>
      <c r="O271" s="87" t="s">
        <v>1649</v>
      </c>
      <c r="P271" s="87" t="s">
        <v>1649</v>
      </c>
      <c r="Q271" s="244">
        <v>0</v>
      </c>
      <c r="R271" s="244">
        <v>0</v>
      </c>
      <c r="S271" s="244">
        <v>0</v>
      </c>
      <c r="T271" s="244">
        <v>0</v>
      </c>
      <c r="U271" s="244">
        <v>0</v>
      </c>
      <c r="V271" s="244">
        <v>0</v>
      </c>
      <c r="W271" s="244">
        <v>0</v>
      </c>
      <c r="X271" s="244">
        <v>0</v>
      </c>
      <c r="Y271" s="244">
        <v>0</v>
      </c>
      <c r="Z271" s="244">
        <v>0</v>
      </c>
      <c r="AA271" s="87" t="s">
        <v>1649</v>
      </c>
      <c r="AB271" s="87" t="s">
        <v>1649</v>
      </c>
      <c r="AC271" s="87" t="s">
        <v>1660</v>
      </c>
      <c r="AD271" s="87" t="s">
        <v>1649</v>
      </c>
      <c r="AE271" s="244">
        <v>11128</v>
      </c>
      <c r="AF271" s="87" t="s">
        <v>1650</v>
      </c>
      <c r="AG271" s="87" t="s">
        <v>1648</v>
      </c>
      <c r="AH271" s="87" t="s">
        <v>1649</v>
      </c>
      <c r="AI271" s="87" t="s">
        <v>1648</v>
      </c>
      <c r="AJ271" s="87" t="s">
        <v>1649</v>
      </c>
    </row>
    <row r="272" spans="1:36" ht="13.5" thickBot="1" x14ac:dyDescent="0.25">
      <c r="A272" s="48" t="s">
        <v>423</v>
      </c>
      <c r="B272" s="347" t="s">
        <v>422</v>
      </c>
      <c r="C272" s="48" t="s">
        <v>3098</v>
      </c>
      <c r="D272" s="48" t="s">
        <v>22</v>
      </c>
      <c r="E272" s="48" t="s">
        <v>890</v>
      </c>
      <c r="F272" s="87" t="s">
        <v>1648</v>
      </c>
      <c r="G272" s="87" t="s">
        <v>1648</v>
      </c>
      <c r="H272" s="244">
        <v>0</v>
      </c>
      <c r="I272" s="87" t="s">
        <v>1649</v>
      </c>
      <c r="J272" s="244">
        <v>0</v>
      </c>
      <c r="K272" s="87" t="s">
        <v>1649</v>
      </c>
      <c r="L272" s="87" t="s">
        <v>1649</v>
      </c>
      <c r="M272" s="244">
        <v>0</v>
      </c>
      <c r="N272" s="87" t="s">
        <v>1648</v>
      </c>
      <c r="O272" s="87" t="s">
        <v>1648</v>
      </c>
      <c r="P272" s="87" t="s">
        <v>1648</v>
      </c>
      <c r="Q272" s="244">
        <v>2</v>
      </c>
      <c r="R272" s="244">
        <v>25</v>
      </c>
      <c r="S272" s="244">
        <v>0</v>
      </c>
      <c r="T272" s="244">
        <v>0</v>
      </c>
      <c r="U272" s="244">
        <v>2</v>
      </c>
      <c r="V272" s="244">
        <v>6</v>
      </c>
      <c r="W272" s="244">
        <v>0</v>
      </c>
      <c r="X272" s="244">
        <v>0</v>
      </c>
      <c r="Y272" s="244">
        <v>4</v>
      </c>
      <c r="Z272" s="244">
        <v>112</v>
      </c>
      <c r="AA272" s="87" t="s">
        <v>1648</v>
      </c>
      <c r="AB272" s="87" t="s">
        <v>1649</v>
      </c>
      <c r="AC272" s="244">
        <v>0</v>
      </c>
      <c r="AD272" s="87" t="s">
        <v>1648</v>
      </c>
      <c r="AE272" s="244">
        <v>1386</v>
      </c>
      <c r="AF272" s="87" t="s">
        <v>1651</v>
      </c>
      <c r="AG272" s="87" t="s">
        <v>1648</v>
      </c>
      <c r="AH272" s="87" t="s">
        <v>1649</v>
      </c>
      <c r="AI272" s="87" t="s">
        <v>1649</v>
      </c>
      <c r="AJ272" s="87" t="s">
        <v>1648</v>
      </c>
    </row>
    <row r="273" spans="1:36" ht="13.5" thickBot="1" x14ac:dyDescent="0.25">
      <c r="A273" s="48" t="s">
        <v>439</v>
      </c>
      <c r="B273" s="347" t="s">
        <v>438</v>
      </c>
      <c r="C273" s="48" t="s">
        <v>3072</v>
      </c>
      <c r="D273" s="48" t="s">
        <v>22</v>
      </c>
      <c r="E273" s="48" t="s">
        <v>1919</v>
      </c>
      <c r="F273" s="87" t="s">
        <v>1648</v>
      </c>
      <c r="G273" s="87" t="s">
        <v>1648</v>
      </c>
      <c r="H273" s="244">
        <v>580</v>
      </c>
      <c r="I273" s="87" t="s">
        <v>1649</v>
      </c>
      <c r="J273" s="244">
        <v>0</v>
      </c>
      <c r="K273" s="87" t="s">
        <v>1649</v>
      </c>
      <c r="L273" s="87" t="s">
        <v>1649</v>
      </c>
      <c r="M273" s="244">
        <v>0</v>
      </c>
      <c r="N273" s="87" t="s">
        <v>1648</v>
      </c>
      <c r="O273" s="87" t="s">
        <v>1648</v>
      </c>
      <c r="P273" s="87" t="s">
        <v>1648</v>
      </c>
      <c r="Q273" s="244">
        <v>12</v>
      </c>
      <c r="R273" s="244">
        <v>249</v>
      </c>
      <c r="S273" s="244">
        <v>12</v>
      </c>
      <c r="T273" s="244">
        <v>258</v>
      </c>
      <c r="U273" s="244">
        <v>30</v>
      </c>
      <c r="V273" s="244">
        <v>2219</v>
      </c>
      <c r="W273" s="244">
        <v>0</v>
      </c>
      <c r="X273" s="244">
        <v>0</v>
      </c>
      <c r="Y273" s="244">
        <v>17</v>
      </c>
      <c r="Z273" s="244">
        <v>2066</v>
      </c>
      <c r="AA273" s="87" t="s">
        <v>1648</v>
      </c>
      <c r="AB273" s="87" t="s">
        <v>1648</v>
      </c>
      <c r="AC273" s="244">
        <v>5</v>
      </c>
      <c r="AD273" s="87" t="s">
        <v>1648</v>
      </c>
      <c r="AE273" s="244">
        <v>3981</v>
      </c>
      <c r="AF273" s="87" t="s">
        <v>1651</v>
      </c>
      <c r="AG273" s="87" t="s">
        <v>1648</v>
      </c>
      <c r="AH273" s="87" t="s">
        <v>1648</v>
      </c>
      <c r="AI273" s="87" t="s">
        <v>1649</v>
      </c>
      <c r="AJ273" s="87" t="s">
        <v>1648</v>
      </c>
    </row>
    <row r="274" spans="1:36" ht="13.5" thickBot="1" x14ac:dyDescent="0.25">
      <c r="A274" s="48" t="s">
        <v>452</v>
      </c>
      <c r="B274" s="347" t="s">
        <v>451</v>
      </c>
      <c r="C274" s="48" t="s">
        <v>3098</v>
      </c>
      <c r="D274" s="48" t="s">
        <v>22</v>
      </c>
      <c r="E274" s="48" t="s">
        <v>1919</v>
      </c>
      <c r="F274" s="87" t="s">
        <v>1648</v>
      </c>
      <c r="G274" s="87" t="s">
        <v>1648</v>
      </c>
      <c r="H274" s="244">
        <v>1096</v>
      </c>
      <c r="I274" s="87" t="s">
        <v>1649</v>
      </c>
      <c r="J274" s="244">
        <v>0</v>
      </c>
      <c r="K274" s="87" t="s">
        <v>1649</v>
      </c>
      <c r="L274" s="87" t="s">
        <v>1649</v>
      </c>
      <c r="M274" s="244">
        <v>0</v>
      </c>
      <c r="N274" s="87" t="s">
        <v>1648</v>
      </c>
      <c r="O274" s="87" t="s">
        <v>1648</v>
      </c>
      <c r="P274" s="87" t="s">
        <v>1648</v>
      </c>
      <c r="Q274" s="244">
        <v>34</v>
      </c>
      <c r="R274" s="244">
        <v>410</v>
      </c>
      <c r="S274" s="244">
        <v>6</v>
      </c>
      <c r="T274" s="244">
        <v>27</v>
      </c>
      <c r="U274" s="244">
        <v>34</v>
      </c>
      <c r="V274" s="244">
        <v>634</v>
      </c>
      <c r="W274" s="244">
        <v>0</v>
      </c>
      <c r="X274" s="244">
        <v>0</v>
      </c>
      <c r="Y274" s="244">
        <v>90</v>
      </c>
      <c r="Z274" s="244">
        <v>2822</v>
      </c>
      <c r="AA274" s="87" t="s">
        <v>1648</v>
      </c>
      <c r="AB274" s="87" t="s">
        <v>1648</v>
      </c>
      <c r="AC274" s="244">
        <v>110</v>
      </c>
      <c r="AD274" s="87" t="s">
        <v>1648</v>
      </c>
      <c r="AE274" s="244">
        <v>9091</v>
      </c>
      <c r="AF274" s="87" t="s">
        <v>1650</v>
      </c>
      <c r="AG274" s="87" t="s">
        <v>1648</v>
      </c>
      <c r="AH274" s="87" t="s">
        <v>1648</v>
      </c>
      <c r="AI274" s="87" t="s">
        <v>1649</v>
      </c>
      <c r="AJ274" s="87" t="s">
        <v>1648</v>
      </c>
    </row>
    <row r="275" spans="1:36" ht="13.5" thickBot="1" x14ac:dyDescent="0.25">
      <c r="A275" s="48" t="s">
        <v>458</v>
      </c>
      <c r="B275" s="347" t="s">
        <v>457</v>
      </c>
      <c r="C275" s="48" t="s">
        <v>3144</v>
      </c>
      <c r="D275" s="48" t="s">
        <v>22</v>
      </c>
      <c r="E275" s="48" t="s">
        <v>890</v>
      </c>
      <c r="F275" s="87" t="s">
        <v>1648</v>
      </c>
      <c r="G275" s="87" t="s">
        <v>1648</v>
      </c>
      <c r="H275" s="244">
        <v>490</v>
      </c>
      <c r="I275" s="87" t="s">
        <v>1648</v>
      </c>
      <c r="J275" s="244">
        <v>17</v>
      </c>
      <c r="K275" s="87" t="s">
        <v>1649</v>
      </c>
      <c r="L275" s="87" t="s">
        <v>1649</v>
      </c>
      <c r="M275" s="244">
        <v>0</v>
      </c>
      <c r="N275" s="87" t="s">
        <v>1648</v>
      </c>
      <c r="O275" s="87" t="s">
        <v>1648</v>
      </c>
      <c r="P275" s="87" t="s">
        <v>1648</v>
      </c>
      <c r="Q275" s="244">
        <v>38</v>
      </c>
      <c r="R275" s="244">
        <v>461</v>
      </c>
      <c r="S275" s="244">
        <v>0</v>
      </c>
      <c r="T275" s="244">
        <v>0</v>
      </c>
      <c r="U275" s="244">
        <v>5</v>
      </c>
      <c r="V275" s="244">
        <v>29</v>
      </c>
      <c r="W275" s="244">
        <v>0</v>
      </c>
      <c r="X275" s="244">
        <v>0</v>
      </c>
      <c r="Y275" s="244">
        <v>53</v>
      </c>
      <c r="Z275" s="244">
        <v>4976</v>
      </c>
      <c r="AA275" s="87" t="s">
        <v>1648</v>
      </c>
      <c r="AB275" s="87" t="s">
        <v>1649</v>
      </c>
      <c r="AC275" s="244">
        <v>0</v>
      </c>
      <c r="AD275" s="87" t="s">
        <v>1648</v>
      </c>
      <c r="AE275" s="244">
        <v>2819</v>
      </c>
      <c r="AF275" s="87" t="s">
        <v>1651</v>
      </c>
      <c r="AG275" s="87" t="s">
        <v>1648</v>
      </c>
      <c r="AH275" s="87" t="s">
        <v>1648</v>
      </c>
      <c r="AI275" s="87" t="s">
        <v>1649</v>
      </c>
      <c r="AJ275" s="87" t="s">
        <v>1649</v>
      </c>
    </row>
    <row r="276" spans="1:36" ht="13.5" thickBot="1" x14ac:dyDescent="0.25">
      <c r="A276" s="48" t="s">
        <v>472</v>
      </c>
      <c r="B276" s="347" t="s">
        <v>471</v>
      </c>
      <c r="C276" s="48" t="s">
        <v>3059</v>
      </c>
      <c r="D276" s="48" t="s">
        <v>22</v>
      </c>
      <c r="E276" s="48" t="s">
        <v>894</v>
      </c>
      <c r="F276" s="87" t="s">
        <v>1648</v>
      </c>
      <c r="G276" s="87" t="s">
        <v>1648</v>
      </c>
      <c r="H276" s="244">
        <v>2706</v>
      </c>
      <c r="I276" s="87" t="s">
        <v>1648</v>
      </c>
      <c r="J276" s="244">
        <v>5050</v>
      </c>
      <c r="K276" s="87" t="s">
        <v>1649</v>
      </c>
      <c r="L276" s="87" t="s">
        <v>1648</v>
      </c>
      <c r="M276" s="244">
        <v>30000</v>
      </c>
      <c r="N276" s="87" t="s">
        <v>1649</v>
      </c>
      <c r="O276" s="87" t="s">
        <v>1648</v>
      </c>
      <c r="P276" s="87" t="s">
        <v>1648</v>
      </c>
      <c r="Q276" s="244">
        <v>3</v>
      </c>
      <c r="R276" s="244">
        <v>39</v>
      </c>
      <c r="S276" s="244">
        <v>1</v>
      </c>
      <c r="T276" s="244">
        <v>10</v>
      </c>
      <c r="U276" s="244">
        <v>2</v>
      </c>
      <c r="V276" s="244">
        <v>13</v>
      </c>
      <c r="W276" s="244">
        <v>0</v>
      </c>
      <c r="X276" s="244">
        <v>0</v>
      </c>
      <c r="Y276" s="244">
        <v>138</v>
      </c>
      <c r="Z276" s="244">
        <v>4317</v>
      </c>
      <c r="AA276" s="87" t="s">
        <v>1648</v>
      </c>
      <c r="AB276" s="87" t="s">
        <v>1648</v>
      </c>
      <c r="AC276" s="244">
        <v>56</v>
      </c>
      <c r="AD276" s="87" t="s">
        <v>1648</v>
      </c>
      <c r="AE276" s="244">
        <v>1872</v>
      </c>
      <c r="AF276" s="87" t="s">
        <v>1650</v>
      </c>
      <c r="AG276" s="87" t="s">
        <v>1648</v>
      </c>
      <c r="AH276" s="87" t="s">
        <v>1648</v>
      </c>
      <c r="AI276" s="87" t="s">
        <v>1649</v>
      </c>
      <c r="AJ276" s="87" t="s">
        <v>1648</v>
      </c>
    </row>
    <row r="277" spans="1:36" ht="13.5" thickBot="1" x14ac:dyDescent="0.25">
      <c r="A277" s="48" t="s">
        <v>482</v>
      </c>
      <c r="B277" s="347" t="s">
        <v>481</v>
      </c>
      <c r="C277" s="48" t="s">
        <v>3061</v>
      </c>
      <c r="D277" s="48" t="s">
        <v>22</v>
      </c>
      <c r="E277" s="48" t="s">
        <v>1949</v>
      </c>
      <c r="F277" s="87" t="s">
        <v>1648</v>
      </c>
      <c r="G277" s="87" t="s">
        <v>1648</v>
      </c>
      <c r="H277" s="244">
        <v>155</v>
      </c>
      <c r="I277" s="87" t="s">
        <v>1649</v>
      </c>
      <c r="J277" s="244">
        <v>0</v>
      </c>
      <c r="K277" s="87" t="s">
        <v>1649</v>
      </c>
      <c r="L277" s="87" t="s">
        <v>1649</v>
      </c>
      <c r="M277" s="244">
        <v>0</v>
      </c>
      <c r="N277" s="87" t="s">
        <v>1648</v>
      </c>
      <c r="O277" s="87" t="s">
        <v>1648</v>
      </c>
      <c r="P277" s="87" t="s">
        <v>1649</v>
      </c>
      <c r="Q277" s="244">
        <v>14</v>
      </c>
      <c r="R277" s="244">
        <v>109</v>
      </c>
      <c r="S277" s="244">
        <v>6</v>
      </c>
      <c r="T277" s="244">
        <v>57</v>
      </c>
      <c r="U277" s="244">
        <v>15</v>
      </c>
      <c r="V277" s="244">
        <v>109</v>
      </c>
      <c r="W277" s="244">
        <v>0</v>
      </c>
      <c r="X277" s="244">
        <v>0</v>
      </c>
      <c r="Y277" s="244">
        <v>22</v>
      </c>
      <c r="Z277" s="244">
        <v>3012</v>
      </c>
      <c r="AA277" s="87" t="s">
        <v>1648</v>
      </c>
      <c r="AB277" s="87" t="s">
        <v>1648</v>
      </c>
      <c r="AC277" s="244">
        <v>128</v>
      </c>
      <c r="AD277" s="87" t="s">
        <v>1648</v>
      </c>
      <c r="AE277" s="244">
        <v>21676</v>
      </c>
      <c r="AF277" s="87" t="s">
        <v>1651</v>
      </c>
      <c r="AG277" s="87" t="s">
        <v>1648</v>
      </c>
      <c r="AH277" s="87" t="s">
        <v>1648</v>
      </c>
      <c r="AI277" s="87" t="s">
        <v>1649</v>
      </c>
      <c r="AJ277" s="87" t="s">
        <v>1648</v>
      </c>
    </row>
    <row r="278" spans="1:36" ht="13.5" thickBot="1" x14ac:dyDescent="0.25">
      <c r="A278" s="48" t="s">
        <v>486</v>
      </c>
      <c r="B278" s="347" t="s">
        <v>485</v>
      </c>
      <c r="C278" s="48" t="s">
        <v>3072</v>
      </c>
      <c r="D278" s="48" t="s">
        <v>22</v>
      </c>
      <c r="E278" s="48" t="s">
        <v>890</v>
      </c>
      <c r="F278" s="87" t="s">
        <v>1648</v>
      </c>
      <c r="G278" s="87" t="s">
        <v>1648</v>
      </c>
      <c r="H278" s="244">
        <v>150</v>
      </c>
      <c r="I278" s="87" t="s">
        <v>1649</v>
      </c>
      <c r="J278" s="244">
        <v>0</v>
      </c>
      <c r="K278" s="87" t="s">
        <v>1649</v>
      </c>
      <c r="L278" s="87" t="s">
        <v>1649</v>
      </c>
      <c r="M278" s="244">
        <v>0</v>
      </c>
      <c r="N278" s="87" t="s">
        <v>1648</v>
      </c>
      <c r="O278" s="87" t="s">
        <v>1649</v>
      </c>
      <c r="P278" s="87" t="s">
        <v>1649</v>
      </c>
      <c r="Q278" s="244">
        <v>0</v>
      </c>
      <c r="R278" s="244">
        <v>0</v>
      </c>
      <c r="S278" s="244">
        <v>0</v>
      </c>
      <c r="T278" s="244">
        <v>0</v>
      </c>
      <c r="U278" s="244">
        <v>0</v>
      </c>
      <c r="V278" s="244">
        <v>0</v>
      </c>
      <c r="W278" s="244">
        <v>0</v>
      </c>
      <c r="X278" s="244">
        <v>0</v>
      </c>
      <c r="Y278" s="244">
        <v>0</v>
      </c>
      <c r="Z278" s="244">
        <v>0</v>
      </c>
      <c r="AA278" s="87" t="s">
        <v>1648</v>
      </c>
      <c r="AB278" s="87" t="s">
        <v>1649</v>
      </c>
      <c r="AC278" s="244">
        <v>0</v>
      </c>
      <c r="AD278" s="87" t="s">
        <v>1648</v>
      </c>
      <c r="AE278" s="244">
        <v>14718</v>
      </c>
      <c r="AF278" s="87" t="s">
        <v>1651</v>
      </c>
      <c r="AG278" s="87" t="s">
        <v>1648</v>
      </c>
      <c r="AH278" s="87" t="s">
        <v>1648</v>
      </c>
      <c r="AI278" s="87" t="s">
        <v>1649</v>
      </c>
      <c r="AJ278" s="87" t="s">
        <v>1648</v>
      </c>
    </row>
    <row r="279" spans="1:36" ht="13.5" thickBot="1" x14ac:dyDescent="0.25">
      <c r="A279" s="48" t="s">
        <v>496</v>
      </c>
      <c r="B279" s="347" t="s">
        <v>495</v>
      </c>
      <c r="C279" s="48" t="s">
        <v>3053</v>
      </c>
      <c r="D279" s="48" t="s">
        <v>22</v>
      </c>
      <c r="E279" s="48" t="s">
        <v>894</v>
      </c>
      <c r="F279" s="87" t="s">
        <v>1648</v>
      </c>
      <c r="G279" s="87" t="s">
        <v>1648</v>
      </c>
      <c r="H279" s="244">
        <v>326</v>
      </c>
      <c r="I279" s="87" t="s">
        <v>1648</v>
      </c>
      <c r="J279" s="244">
        <v>1925</v>
      </c>
      <c r="K279" s="87" t="s">
        <v>1649</v>
      </c>
      <c r="L279" s="87" t="s">
        <v>1649</v>
      </c>
      <c r="M279" s="244">
        <v>0</v>
      </c>
      <c r="N279" s="87" t="s">
        <v>1648</v>
      </c>
      <c r="O279" s="87" t="s">
        <v>1649</v>
      </c>
      <c r="P279" s="87" t="s">
        <v>1649</v>
      </c>
      <c r="Q279" s="244">
        <v>0</v>
      </c>
      <c r="R279" s="244">
        <v>0</v>
      </c>
      <c r="S279" s="244">
        <v>0</v>
      </c>
      <c r="T279" s="244">
        <v>0</v>
      </c>
      <c r="U279" s="244">
        <v>0</v>
      </c>
      <c r="V279" s="244">
        <v>0</v>
      </c>
      <c r="W279" s="244">
        <v>0</v>
      </c>
      <c r="X279" s="244">
        <v>0</v>
      </c>
      <c r="Y279" s="244">
        <v>0</v>
      </c>
      <c r="Z279" s="244">
        <v>0</v>
      </c>
      <c r="AA279" s="87" t="s">
        <v>1648</v>
      </c>
      <c r="AB279" s="87" t="s">
        <v>1649</v>
      </c>
      <c r="AC279" s="244">
        <v>0</v>
      </c>
      <c r="AD279" s="87" t="s">
        <v>1648</v>
      </c>
      <c r="AE279" s="244">
        <v>1836</v>
      </c>
      <c r="AF279" s="87" t="s">
        <v>1651</v>
      </c>
      <c r="AG279" s="87" t="s">
        <v>1648</v>
      </c>
      <c r="AH279" s="87" t="s">
        <v>1648</v>
      </c>
      <c r="AI279" s="87" t="s">
        <v>1648</v>
      </c>
      <c r="AJ279" s="87" t="s">
        <v>1648</v>
      </c>
    </row>
    <row r="280" spans="1:36" ht="13.5" thickBot="1" x14ac:dyDescent="0.25">
      <c r="A280" s="48" t="s">
        <v>500</v>
      </c>
      <c r="B280" s="347" t="s">
        <v>499</v>
      </c>
      <c r="C280" s="48" t="s">
        <v>3061</v>
      </c>
      <c r="D280" s="48" t="s">
        <v>22</v>
      </c>
      <c r="E280" s="48" t="s">
        <v>890</v>
      </c>
      <c r="F280" s="87" t="s">
        <v>1648</v>
      </c>
      <c r="G280" s="87" t="s">
        <v>1648</v>
      </c>
      <c r="H280" s="244">
        <v>36</v>
      </c>
      <c r="I280" s="87" t="s">
        <v>1649</v>
      </c>
      <c r="J280" s="244">
        <v>18</v>
      </c>
      <c r="K280" s="87" t="s">
        <v>1649</v>
      </c>
      <c r="L280" s="87" t="s">
        <v>1649</v>
      </c>
      <c r="M280" s="244">
        <v>0</v>
      </c>
      <c r="N280" s="87" t="s">
        <v>1648</v>
      </c>
      <c r="O280" s="87" t="s">
        <v>1648</v>
      </c>
      <c r="P280" s="87" t="s">
        <v>1648</v>
      </c>
      <c r="Q280" s="244">
        <v>36</v>
      </c>
      <c r="R280" s="244">
        <v>997</v>
      </c>
      <c r="S280" s="244">
        <v>4</v>
      </c>
      <c r="T280" s="244">
        <v>13</v>
      </c>
      <c r="U280" s="244">
        <v>12</v>
      </c>
      <c r="V280" s="244">
        <v>478</v>
      </c>
      <c r="W280" s="244">
        <v>0</v>
      </c>
      <c r="X280" s="244">
        <v>0</v>
      </c>
      <c r="Y280" s="244">
        <v>10</v>
      </c>
      <c r="Z280" s="244">
        <v>121</v>
      </c>
      <c r="AA280" s="87" t="s">
        <v>1648</v>
      </c>
      <c r="AB280" s="87" t="s">
        <v>1648</v>
      </c>
      <c r="AC280" s="244">
        <v>156</v>
      </c>
      <c r="AD280" s="87" t="s">
        <v>1648</v>
      </c>
      <c r="AE280" s="244">
        <v>3512</v>
      </c>
      <c r="AF280" s="87" t="s">
        <v>1650</v>
      </c>
      <c r="AG280" s="87" t="s">
        <v>1648</v>
      </c>
      <c r="AH280" s="87" t="s">
        <v>1648</v>
      </c>
      <c r="AI280" s="87" t="s">
        <v>1649</v>
      </c>
      <c r="AJ280" s="87" t="s">
        <v>1648</v>
      </c>
    </row>
    <row r="281" spans="1:36" ht="13.5" thickBot="1" x14ac:dyDescent="0.25">
      <c r="A281" s="48" t="s">
        <v>502</v>
      </c>
      <c r="B281" s="347" t="s">
        <v>501</v>
      </c>
      <c r="C281" s="48" t="s">
        <v>3098</v>
      </c>
      <c r="D281" s="48" t="s">
        <v>22</v>
      </c>
      <c r="E281" s="48" t="s">
        <v>1919</v>
      </c>
      <c r="F281" s="87" t="s">
        <v>1648</v>
      </c>
      <c r="G281" s="87" t="s">
        <v>1648</v>
      </c>
      <c r="H281" s="244">
        <v>880</v>
      </c>
      <c r="I281" s="87" t="s">
        <v>1649</v>
      </c>
      <c r="J281" s="244">
        <v>0</v>
      </c>
      <c r="K281" s="87" t="s">
        <v>1649</v>
      </c>
      <c r="L281" s="87" t="s">
        <v>1649</v>
      </c>
      <c r="M281" s="244">
        <v>0</v>
      </c>
      <c r="N281" s="87" t="s">
        <v>1648</v>
      </c>
      <c r="O281" s="87" t="s">
        <v>1648</v>
      </c>
      <c r="P281" s="87" t="s">
        <v>1648</v>
      </c>
      <c r="Q281" s="244">
        <v>11</v>
      </c>
      <c r="R281" s="244">
        <v>213</v>
      </c>
      <c r="S281" s="244">
        <v>71</v>
      </c>
      <c r="T281" s="244">
        <v>13</v>
      </c>
      <c r="U281" s="244">
        <v>2</v>
      </c>
      <c r="V281" s="244">
        <v>31</v>
      </c>
      <c r="W281" s="244">
        <v>0</v>
      </c>
      <c r="X281" s="244">
        <v>0</v>
      </c>
      <c r="Y281" s="244">
        <v>8</v>
      </c>
      <c r="Z281" s="244">
        <v>3708</v>
      </c>
      <c r="AA281" s="87" t="s">
        <v>1648</v>
      </c>
      <c r="AB281" s="87" t="s">
        <v>1649</v>
      </c>
      <c r="AC281" s="244">
        <v>0</v>
      </c>
      <c r="AD281" s="87" t="s">
        <v>1648</v>
      </c>
      <c r="AE281" s="244">
        <v>23523</v>
      </c>
      <c r="AF281" s="87" t="s">
        <v>1651</v>
      </c>
      <c r="AG281" s="87" t="s">
        <v>1648</v>
      </c>
      <c r="AH281" s="87" t="s">
        <v>1648</v>
      </c>
      <c r="AI281" s="87" t="s">
        <v>1649</v>
      </c>
      <c r="AJ281" s="87" t="s">
        <v>1648</v>
      </c>
    </row>
    <row r="282" spans="1:36" ht="13.5" thickBot="1" x14ac:dyDescent="0.25">
      <c r="A282" s="48" t="s">
        <v>506</v>
      </c>
      <c r="B282" s="347" t="s">
        <v>505</v>
      </c>
      <c r="C282" s="48" t="s">
        <v>3059</v>
      </c>
      <c r="D282" s="48" t="s">
        <v>22</v>
      </c>
      <c r="E282" s="48" t="s">
        <v>1949</v>
      </c>
      <c r="F282" s="87" t="s">
        <v>1648</v>
      </c>
      <c r="G282" s="87" t="s">
        <v>1649</v>
      </c>
      <c r="H282" s="244">
        <v>0</v>
      </c>
      <c r="I282" s="87" t="s">
        <v>1649</v>
      </c>
      <c r="J282" s="244">
        <v>104</v>
      </c>
      <c r="K282" s="87" t="s">
        <v>1649</v>
      </c>
      <c r="L282" s="87" t="s">
        <v>1649</v>
      </c>
      <c r="M282" s="244">
        <v>0</v>
      </c>
      <c r="N282" s="87" t="s">
        <v>1649</v>
      </c>
      <c r="O282" s="87" t="s">
        <v>1649</v>
      </c>
      <c r="P282" s="87" t="s">
        <v>1649</v>
      </c>
      <c r="Q282" s="244">
        <v>6</v>
      </c>
      <c r="R282" s="244">
        <v>110</v>
      </c>
      <c r="S282" s="244">
        <v>0</v>
      </c>
      <c r="T282" s="244">
        <v>0</v>
      </c>
      <c r="U282" s="244">
        <v>0</v>
      </c>
      <c r="V282" s="244">
        <v>0</v>
      </c>
      <c r="W282" s="244">
        <v>0</v>
      </c>
      <c r="X282" s="244">
        <v>0</v>
      </c>
      <c r="Y282" s="244">
        <v>0</v>
      </c>
      <c r="Z282" s="244">
        <v>0</v>
      </c>
      <c r="AA282" s="87" t="s">
        <v>1648</v>
      </c>
      <c r="AB282" s="87" t="s">
        <v>1648</v>
      </c>
      <c r="AC282" s="244">
        <v>70</v>
      </c>
      <c r="AD282" s="87" t="s">
        <v>1648</v>
      </c>
      <c r="AE282" s="244">
        <v>1300</v>
      </c>
      <c r="AF282" s="87" t="s">
        <v>1650</v>
      </c>
      <c r="AG282" s="87" t="s">
        <v>1648</v>
      </c>
      <c r="AH282" s="87" t="s">
        <v>1648</v>
      </c>
      <c r="AI282" s="87" t="s">
        <v>1649</v>
      </c>
      <c r="AJ282" s="87" t="s">
        <v>1649</v>
      </c>
    </row>
    <row r="283" spans="1:36" ht="13.5" thickBot="1" x14ac:dyDescent="0.25">
      <c r="A283" s="48" t="s">
        <v>516</v>
      </c>
      <c r="B283" s="347" t="s">
        <v>515</v>
      </c>
      <c r="C283" s="48" t="s">
        <v>3144</v>
      </c>
      <c r="D283" s="48" t="s">
        <v>22</v>
      </c>
      <c r="E283" s="48" t="s">
        <v>1949</v>
      </c>
      <c r="F283" s="87" t="s">
        <v>1648</v>
      </c>
      <c r="G283" s="87" t="s">
        <v>1648</v>
      </c>
      <c r="H283" s="244">
        <v>616</v>
      </c>
      <c r="I283" s="87" t="s">
        <v>1649</v>
      </c>
      <c r="J283" s="244">
        <v>896</v>
      </c>
      <c r="K283" s="87" t="s">
        <v>1649</v>
      </c>
      <c r="L283" s="87" t="s">
        <v>1649</v>
      </c>
      <c r="M283" s="244">
        <v>0</v>
      </c>
      <c r="N283" s="87" t="s">
        <v>1648</v>
      </c>
      <c r="O283" s="87" t="s">
        <v>1648</v>
      </c>
      <c r="P283" s="87" t="s">
        <v>1648</v>
      </c>
      <c r="Q283" s="244">
        <v>0</v>
      </c>
      <c r="R283" s="244">
        <v>0</v>
      </c>
      <c r="S283" s="244">
        <v>0</v>
      </c>
      <c r="T283" s="244">
        <v>0</v>
      </c>
      <c r="U283" s="244">
        <v>29</v>
      </c>
      <c r="V283" s="244">
        <v>487</v>
      </c>
      <c r="W283" s="244">
        <v>0</v>
      </c>
      <c r="X283" s="244">
        <v>0</v>
      </c>
      <c r="Y283" s="244">
        <v>15</v>
      </c>
      <c r="Z283" s="244">
        <v>2000</v>
      </c>
      <c r="AA283" s="87" t="s">
        <v>1648</v>
      </c>
      <c r="AB283" s="87" t="s">
        <v>1648</v>
      </c>
      <c r="AC283" s="244">
        <v>74</v>
      </c>
      <c r="AD283" s="87" t="s">
        <v>1648</v>
      </c>
      <c r="AE283" s="244">
        <v>6100</v>
      </c>
      <c r="AF283" s="87" t="s">
        <v>1650</v>
      </c>
      <c r="AG283" s="87" t="s">
        <v>1648</v>
      </c>
      <c r="AH283" s="87" t="s">
        <v>1648</v>
      </c>
      <c r="AI283" s="87" t="s">
        <v>1649</v>
      </c>
      <c r="AJ283" s="87" t="s">
        <v>1648</v>
      </c>
    </row>
    <row r="284" spans="1:36" ht="13.5" thickBot="1" x14ac:dyDescent="0.25">
      <c r="A284" s="48" t="s">
        <v>530</v>
      </c>
      <c r="B284" s="347" t="s">
        <v>529</v>
      </c>
      <c r="C284" s="48" t="s">
        <v>3072</v>
      </c>
      <c r="D284" s="48" t="s">
        <v>22</v>
      </c>
      <c r="E284" s="48" t="s">
        <v>1949</v>
      </c>
      <c r="F284" s="87" t="s">
        <v>1648</v>
      </c>
      <c r="G284" s="87" t="s">
        <v>1648</v>
      </c>
      <c r="H284" s="244">
        <v>120</v>
      </c>
      <c r="I284" s="87" t="s">
        <v>1649</v>
      </c>
      <c r="J284" s="244">
        <v>0</v>
      </c>
      <c r="K284" s="87" t="s">
        <v>1649</v>
      </c>
      <c r="L284" s="87" t="s">
        <v>1649</v>
      </c>
      <c r="M284" s="244">
        <v>0</v>
      </c>
      <c r="N284" s="87" t="s">
        <v>1648</v>
      </c>
      <c r="O284" s="87" t="s">
        <v>1649</v>
      </c>
      <c r="P284" s="87" t="s">
        <v>1648</v>
      </c>
      <c r="Q284" s="244">
        <v>0</v>
      </c>
      <c r="R284" s="244">
        <v>0</v>
      </c>
      <c r="S284" s="244">
        <v>0</v>
      </c>
      <c r="T284" s="244">
        <v>0</v>
      </c>
      <c r="U284" s="244">
        <v>0</v>
      </c>
      <c r="V284" s="244">
        <v>0</v>
      </c>
      <c r="W284" s="244">
        <v>0</v>
      </c>
      <c r="X284" s="244">
        <v>0</v>
      </c>
      <c r="Y284" s="244">
        <v>156</v>
      </c>
      <c r="Z284" s="244">
        <v>28457</v>
      </c>
      <c r="AA284" s="87" t="s">
        <v>1648</v>
      </c>
      <c r="AB284" s="87" t="s">
        <v>1649</v>
      </c>
      <c r="AC284" s="244">
        <v>0</v>
      </c>
      <c r="AD284" s="87" t="s">
        <v>1648</v>
      </c>
      <c r="AE284" s="244">
        <v>24669</v>
      </c>
      <c r="AF284" s="87" t="s">
        <v>1651</v>
      </c>
      <c r="AG284" s="87" t="s">
        <v>1649</v>
      </c>
      <c r="AH284" s="87" t="s">
        <v>1648</v>
      </c>
      <c r="AI284" s="87" t="s">
        <v>1649</v>
      </c>
      <c r="AJ284" s="87" t="s">
        <v>1649</v>
      </c>
    </row>
    <row r="285" spans="1:36" ht="13.5" thickBot="1" x14ac:dyDescent="0.25">
      <c r="A285" s="48" t="s">
        <v>546</v>
      </c>
      <c r="B285" s="347" t="s">
        <v>545</v>
      </c>
      <c r="C285" s="48" t="s">
        <v>3058</v>
      </c>
      <c r="D285" s="48" t="s">
        <v>22</v>
      </c>
      <c r="E285" s="48" t="s">
        <v>1949</v>
      </c>
      <c r="F285" s="87" t="s">
        <v>1648</v>
      </c>
      <c r="G285" s="87" t="s">
        <v>1648</v>
      </c>
      <c r="H285" s="244">
        <v>196</v>
      </c>
      <c r="I285" s="87" t="s">
        <v>1648</v>
      </c>
      <c r="J285" s="244">
        <v>2043</v>
      </c>
      <c r="K285" s="87" t="s">
        <v>1649</v>
      </c>
      <c r="L285" s="87" t="s">
        <v>1648</v>
      </c>
      <c r="M285" s="244">
        <v>18567</v>
      </c>
      <c r="N285" s="87" t="s">
        <v>1648</v>
      </c>
      <c r="O285" s="87" t="s">
        <v>1649</v>
      </c>
      <c r="P285" s="87" t="s">
        <v>1648</v>
      </c>
      <c r="Q285" s="244">
        <v>0</v>
      </c>
      <c r="R285" s="244">
        <v>0</v>
      </c>
      <c r="S285" s="244">
        <v>0</v>
      </c>
      <c r="T285" s="244">
        <v>0</v>
      </c>
      <c r="U285" s="244">
        <v>0</v>
      </c>
      <c r="V285" s="244">
        <v>0</v>
      </c>
      <c r="W285" s="244">
        <v>0</v>
      </c>
      <c r="X285" s="244">
        <v>0</v>
      </c>
      <c r="Y285" s="244">
        <v>3</v>
      </c>
      <c r="Z285" s="244">
        <v>25</v>
      </c>
      <c r="AA285" s="87" t="s">
        <v>1648</v>
      </c>
      <c r="AB285" s="87" t="s">
        <v>1649</v>
      </c>
      <c r="AC285" s="244">
        <v>0</v>
      </c>
      <c r="AD285" s="87" t="s">
        <v>1648</v>
      </c>
      <c r="AE285" s="244">
        <v>7201</v>
      </c>
      <c r="AF285" s="87" t="s">
        <v>1650</v>
      </c>
      <c r="AG285" s="87" t="s">
        <v>1648</v>
      </c>
      <c r="AH285" s="87" t="s">
        <v>1648</v>
      </c>
      <c r="AI285" s="87" t="s">
        <v>1649</v>
      </c>
      <c r="AJ285" s="87" t="s">
        <v>1649</v>
      </c>
    </row>
    <row r="286" spans="1:36" ht="13.5" thickBot="1" x14ac:dyDescent="0.25">
      <c r="A286" s="48" t="s">
        <v>556</v>
      </c>
      <c r="B286" s="347" t="s">
        <v>555</v>
      </c>
      <c r="C286" s="48" t="s">
        <v>3077</v>
      </c>
      <c r="D286" s="48" t="s">
        <v>22</v>
      </c>
      <c r="E286" s="48" t="s">
        <v>894</v>
      </c>
      <c r="F286" s="87" t="s">
        <v>1648</v>
      </c>
      <c r="G286" s="87" t="s">
        <v>1648</v>
      </c>
      <c r="H286" s="244">
        <v>345</v>
      </c>
      <c r="I286" s="87" t="s">
        <v>1648</v>
      </c>
      <c r="J286" s="244">
        <v>3038</v>
      </c>
      <c r="K286" s="87" t="s">
        <v>1649</v>
      </c>
      <c r="L286" s="87" t="s">
        <v>1649</v>
      </c>
      <c r="M286" s="244">
        <v>0</v>
      </c>
      <c r="N286" s="87" t="s">
        <v>1648</v>
      </c>
      <c r="O286" s="87" t="s">
        <v>1649</v>
      </c>
      <c r="P286" s="87" t="s">
        <v>1649</v>
      </c>
      <c r="Q286" s="244">
        <v>0</v>
      </c>
      <c r="R286" s="244">
        <v>0</v>
      </c>
      <c r="S286" s="244">
        <v>0</v>
      </c>
      <c r="T286" s="244">
        <v>0</v>
      </c>
      <c r="U286" s="244">
        <v>5</v>
      </c>
      <c r="V286" s="244">
        <v>12</v>
      </c>
      <c r="W286" s="244">
        <v>0</v>
      </c>
      <c r="X286" s="244">
        <v>0</v>
      </c>
      <c r="Y286" s="244">
        <v>0</v>
      </c>
      <c r="Z286" s="244">
        <v>0</v>
      </c>
      <c r="AA286" s="87" t="s">
        <v>1648</v>
      </c>
      <c r="AB286" s="87" t="s">
        <v>1648</v>
      </c>
      <c r="AC286" s="244">
        <v>16</v>
      </c>
      <c r="AD286" s="87" t="s">
        <v>1648</v>
      </c>
      <c r="AE286" s="244">
        <v>9602</v>
      </c>
      <c r="AF286" s="87" t="s">
        <v>1650</v>
      </c>
      <c r="AG286" s="87" t="s">
        <v>1648</v>
      </c>
      <c r="AH286" s="87" t="s">
        <v>1648</v>
      </c>
      <c r="AI286" s="87" t="s">
        <v>1649</v>
      </c>
      <c r="AJ286" s="87" t="s">
        <v>1648</v>
      </c>
    </row>
    <row r="287" spans="1:36" ht="13.5" thickBot="1" x14ac:dyDescent="0.25">
      <c r="A287" s="48" t="s">
        <v>558</v>
      </c>
      <c r="B287" s="347" t="s">
        <v>557</v>
      </c>
      <c r="C287" s="48" t="s">
        <v>3072</v>
      </c>
      <c r="D287" s="48" t="s">
        <v>22</v>
      </c>
      <c r="E287" s="48" t="s">
        <v>1949</v>
      </c>
      <c r="F287" s="87" t="s">
        <v>1648</v>
      </c>
      <c r="G287" s="87" t="s">
        <v>1648</v>
      </c>
      <c r="H287" s="244">
        <v>180</v>
      </c>
      <c r="I287" s="87" t="s">
        <v>1648</v>
      </c>
      <c r="J287" s="244">
        <v>45</v>
      </c>
      <c r="K287" s="87" t="s">
        <v>1649</v>
      </c>
      <c r="L287" s="87" t="s">
        <v>1648</v>
      </c>
      <c r="M287" s="244">
        <v>40000</v>
      </c>
      <c r="N287" s="87" t="s">
        <v>1648</v>
      </c>
      <c r="O287" s="87" t="s">
        <v>1648</v>
      </c>
      <c r="P287" s="87" t="s">
        <v>1648</v>
      </c>
      <c r="Q287" s="244">
        <v>0</v>
      </c>
      <c r="R287" s="244">
        <v>0</v>
      </c>
      <c r="S287" s="244">
        <v>7</v>
      </c>
      <c r="T287" s="244">
        <v>20</v>
      </c>
      <c r="U287" s="244">
        <v>0</v>
      </c>
      <c r="V287" s="244">
        <v>0</v>
      </c>
      <c r="W287" s="244">
        <v>0</v>
      </c>
      <c r="X287" s="244">
        <v>0</v>
      </c>
      <c r="Y287" s="244">
        <v>54</v>
      </c>
      <c r="Z287" s="244">
        <v>43216</v>
      </c>
      <c r="AA287" s="87" t="s">
        <v>1648</v>
      </c>
      <c r="AB287" s="87" t="s">
        <v>1648</v>
      </c>
      <c r="AC287" s="244">
        <v>0</v>
      </c>
      <c r="AD287" s="87" t="s">
        <v>1648</v>
      </c>
      <c r="AE287" s="244">
        <v>2912</v>
      </c>
      <c r="AF287" s="87" t="s">
        <v>1650</v>
      </c>
      <c r="AG287" s="87" t="s">
        <v>1649</v>
      </c>
      <c r="AH287" s="87" t="s">
        <v>1648</v>
      </c>
      <c r="AI287" s="87" t="s">
        <v>1649</v>
      </c>
      <c r="AJ287" s="87" t="s">
        <v>1648</v>
      </c>
    </row>
    <row r="288" spans="1:36" ht="13.5" thickBot="1" x14ac:dyDescent="0.25">
      <c r="A288" s="48" t="s">
        <v>562</v>
      </c>
      <c r="B288" s="347" t="s">
        <v>561</v>
      </c>
      <c r="C288" s="48" t="s">
        <v>3098</v>
      </c>
      <c r="D288" s="48" t="s">
        <v>22</v>
      </c>
      <c r="E288" s="48" t="s">
        <v>1919</v>
      </c>
      <c r="F288" s="87" t="s">
        <v>1648</v>
      </c>
      <c r="G288" s="87" t="s">
        <v>1648</v>
      </c>
      <c r="H288" s="244">
        <v>0</v>
      </c>
      <c r="I288" s="87" t="s">
        <v>1649</v>
      </c>
      <c r="J288" s="244">
        <v>0</v>
      </c>
      <c r="K288" s="87" t="s">
        <v>1649</v>
      </c>
      <c r="L288" s="87" t="s">
        <v>1649</v>
      </c>
      <c r="M288" s="244">
        <v>0</v>
      </c>
      <c r="N288" s="87" t="s">
        <v>1648</v>
      </c>
      <c r="O288" s="87" t="s">
        <v>1648</v>
      </c>
      <c r="P288" s="87" t="s">
        <v>1648</v>
      </c>
      <c r="Q288" s="244">
        <v>7</v>
      </c>
      <c r="R288" s="244">
        <v>1061</v>
      </c>
      <c r="S288" s="244">
        <v>1</v>
      </c>
      <c r="T288" s="244">
        <v>34</v>
      </c>
      <c r="U288" s="244">
        <v>5</v>
      </c>
      <c r="V288" s="244">
        <v>129</v>
      </c>
      <c r="W288" s="244">
        <v>8</v>
      </c>
      <c r="X288" s="244">
        <v>70</v>
      </c>
      <c r="Y288" s="244">
        <v>56</v>
      </c>
      <c r="Z288" s="244">
        <v>1703</v>
      </c>
      <c r="AA288" s="87" t="s">
        <v>1649</v>
      </c>
      <c r="AB288" s="87" t="s">
        <v>1649</v>
      </c>
      <c r="AC288" s="244">
        <v>0</v>
      </c>
      <c r="AD288" s="87" t="s">
        <v>1648</v>
      </c>
      <c r="AE288" s="244">
        <v>9964</v>
      </c>
      <c r="AF288" s="87" t="s">
        <v>1651</v>
      </c>
      <c r="AG288" s="87" t="s">
        <v>1648</v>
      </c>
      <c r="AH288" s="87" t="s">
        <v>1648</v>
      </c>
      <c r="AI288" s="87" t="s">
        <v>1649</v>
      </c>
      <c r="AJ288" s="87" t="s">
        <v>1649</v>
      </c>
    </row>
    <row r="289" spans="1:36" ht="13.5" thickBot="1" x14ac:dyDescent="0.25">
      <c r="A289" s="48" t="s">
        <v>570</v>
      </c>
      <c r="B289" s="347" t="s">
        <v>569</v>
      </c>
      <c r="C289" s="48" t="s">
        <v>3072</v>
      </c>
      <c r="D289" s="48" t="s">
        <v>22</v>
      </c>
      <c r="E289" s="48" t="s">
        <v>1949</v>
      </c>
      <c r="F289" s="87" t="s">
        <v>1648</v>
      </c>
      <c r="G289" s="87" t="s">
        <v>1648</v>
      </c>
      <c r="H289" s="244">
        <v>252</v>
      </c>
      <c r="I289" s="87" t="s">
        <v>1648</v>
      </c>
      <c r="J289" s="244">
        <v>500</v>
      </c>
      <c r="K289" s="87" t="s">
        <v>1649</v>
      </c>
      <c r="L289" s="87" t="s">
        <v>1649</v>
      </c>
      <c r="M289" s="244">
        <v>0</v>
      </c>
      <c r="N289" s="87" t="s">
        <v>1648</v>
      </c>
      <c r="O289" s="87" t="s">
        <v>1648</v>
      </c>
      <c r="P289" s="87" t="s">
        <v>1648</v>
      </c>
      <c r="Q289" s="244">
        <v>49</v>
      </c>
      <c r="R289" s="244">
        <v>783</v>
      </c>
      <c r="S289" s="244">
        <v>8</v>
      </c>
      <c r="T289" s="244">
        <v>32</v>
      </c>
      <c r="U289" s="244">
        <v>29</v>
      </c>
      <c r="V289" s="244">
        <v>79</v>
      </c>
      <c r="W289" s="244">
        <v>8</v>
      </c>
      <c r="X289" s="244">
        <v>68</v>
      </c>
      <c r="Y289" s="244">
        <v>62</v>
      </c>
      <c r="Z289" s="244">
        <v>1008</v>
      </c>
      <c r="AA289" s="87" t="s">
        <v>1648</v>
      </c>
      <c r="AB289" s="87" t="s">
        <v>1648</v>
      </c>
      <c r="AC289" s="244">
        <v>157</v>
      </c>
      <c r="AD289" s="87" t="s">
        <v>1648</v>
      </c>
      <c r="AE289" s="244">
        <v>2800</v>
      </c>
      <c r="AF289" s="87" t="s">
        <v>1650</v>
      </c>
      <c r="AG289" s="87" t="s">
        <v>1649</v>
      </c>
      <c r="AH289" s="87" t="s">
        <v>1648</v>
      </c>
      <c r="AI289" s="87" t="s">
        <v>1649</v>
      </c>
      <c r="AJ289" s="87" t="s">
        <v>1648</v>
      </c>
    </row>
    <row r="290" spans="1:36" ht="13.5" thickBot="1" x14ac:dyDescent="0.25">
      <c r="A290" s="48" t="s">
        <v>580</v>
      </c>
      <c r="B290" s="347" t="s">
        <v>579</v>
      </c>
      <c r="C290" s="48" t="s">
        <v>3077</v>
      </c>
      <c r="D290" s="48" t="s">
        <v>22</v>
      </c>
      <c r="E290" s="48" t="s">
        <v>1949</v>
      </c>
      <c r="F290" s="87" t="s">
        <v>1648</v>
      </c>
      <c r="G290" s="87" t="s">
        <v>1648</v>
      </c>
      <c r="H290" s="244">
        <v>484</v>
      </c>
      <c r="I290" s="87" t="s">
        <v>1648</v>
      </c>
      <c r="J290" s="244">
        <v>15</v>
      </c>
      <c r="K290" s="87" t="s">
        <v>1649</v>
      </c>
      <c r="L290" s="87" t="s">
        <v>1649</v>
      </c>
      <c r="M290" s="244">
        <v>0</v>
      </c>
      <c r="N290" s="87" t="s">
        <v>1648</v>
      </c>
      <c r="O290" s="87" t="s">
        <v>1648</v>
      </c>
      <c r="P290" s="87" t="s">
        <v>1649</v>
      </c>
      <c r="Q290" s="244">
        <v>2</v>
      </c>
      <c r="R290" s="244">
        <v>22</v>
      </c>
      <c r="S290" s="244">
        <v>25</v>
      </c>
      <c r="T290" s="244">
        <v>178</v>
      </c>
      <c r="U290" s="244">
        <v>6</v>
      </c>
      <c r="V290" s="244">
        <v>34</v>
      </c>
      <c r="W290" s="244">
        <v>4</v>
      </c>
      <c r="X290" s="244">
        <v>32</v>
      </c>
      <c r="Y290" s="244">
        <v>25</v>
      </c>
      <c r="Z290" s="244">
        <v>1535</v>
      </c>
      <c r="AA290" s="87" t="s">
        <v>1648</v>
      </c>
      <c r="AB290" s="87" t="s">
        <v>1648</v>
      </c>
      <c r="AC290" s="244">
        <v>67</v>
      </c>
      <c r="AD290" s="87" t="s">
        <v>1648</v>
      </c>
      <c r="AE290" s="244">
        <v>6000</v>
      </c>
      <c r="AF290" s="87" t="s">
        <v>1650</v>
      </c>
      <c r="AG290" s="87" t="s">
        <v>1648</v>
      </c>
      <c r="AH290" s="87" t="s">
        <v>1648</v>
      </c>
      <c r="AI290" s="87" t="s">
        <v>1649</v>
      </c>
      <c r="AJ290" s="87" t="s">
        <v>1648</v>
      </c>
    </row>
    <row r="291" spans="1:36" ht="13.5" thickBot="1" x14ac:dyDescent="0.25">
      <c r="A291" s="48" t="s">
        <v>596</v>
      </c>
      <c r="B291" s="347" t="s">
        <v>595</v>
      </c>
      <c r="C291" s="48" t="s">
        <v>3053</v>
      </c>
      <c r="D291" s="48" t="s">
        <v>22</v>
      </c>
      <c r="E291" s="48" t="s">
        <v>1949</v>
      </c>
      <c r="F291" s="87" t="s">
        <v>1648</v>
      </c>
      <c r="G291" s="87" t="s">
        <v>1648</v>
      </c>
      <c r="H291" s="244">
        <v>137</v>
      </c>
      <c r="I291" s="87" t="s">
        <v>1649</v>
      </c>
      <c r="J291" s="244">
        <v>0</v>
      </c>
      <c r="K291" s="87" t="s">
        <v>1649</v>
      </c>
      <c r="L291" s="87" t="s">
        <v>1648</v>
      </c>
      <c r="M291" s="244">
        <v>15000</v>
      </c>
      <c r="N291" s="87" t="s">
        <v>1648</v>
      </c>
      <c r="O291" s="87" t="s">
        <v>1648</v>
      </c>
      <c r="P291" s="87" t="s">
        <v>1648</v>
      </c>
      <c r="Q291" s="244">
        <v>106</v>
      </c>
      <c r="R291" s="244">
        <v>1200</v>
      </c>
      <c r="S291" s="244">
        <v>10</v>
      </c>
      <c r="T291" s="244">
        <v>100</v>
      </c>
      <c r="U291" s="244">
        <v>25</v>
      </c>
      <c r="V291" s="244">
        <v>500</v>
      </c>
      <c r="W291" s="244">
        <v>0</v>
      </c>
      <c r="X291" s="244">
        <v>0</v>
      </c>
      <c r="Y291" s="244">
        <v>200</v>
      </c>
      <c r="Z291" s="244">
        <v>10000</v>
      </c>
      <c r="AA291" s="87" t="s">
        <v>1648</v>
      </c>
      <c r="AB291" s="87" t="s">
        <v>1648</v>
      </c>
      <c r="AC291" s="244">
        <v>250</v>
      </c>
      <c r="AD291" s="87" t="s">
        <v>1648</v>
      </c>
      <c r="AE291" s="244">
        <v>4750</v>
      </c>
      <c r="AF291" s="87" t="s">
        <v>1650</v>
      </c>
      <c r="AG291" s="87" t="s">
        <v>1649</v>
      </c>
      <c r="AH291" s="87" t="s">
        <v>1648</v>
      </c>
      <c r="AI291" s="87" t="s">
        <v>1649</v>
      </c>
      <c r="AJ291" s="87" t="s">
        <v>1648</v>
      </c>
    </row>
    <row r="292" spans="1:36" ht="13.5" thickBot="1" x14ac:dyDescent="0.25">
      <c r="A292" s="48" t="s">
        <v>598</v>
      </c>
      <c r="B292" s="347" t="s">
        <v>597</v>
      </c>
      <c r="C292" s="48" t="s">
        <v>3061</v>
      </c>
      <c r="D292" s="48" t="s">
        <v>22</v>
      </c>
      <c r="E292" s="48" t="s">
        <v>1949</v>
      </c>
      <c r="F292" s="87" t="s">
        <v>1648</v>
      </c>
      <c r="G292" s="87" t="s">
        <v>1648</v>
      </c>
      <c r="H292" s="244">
        <v>104</v>
      </c>
      <c r="I292" s="87" t="s">
        <v>1648</v>
      </c>
      <c r="J292" s="244">
        <v>3180</v>
      </c>
      <c r="K292" s="87" t="s">
        <v>1649</v>
      </c>
      <c r="L292" s="87" t="s">
        <v>1648</v>
      </c>
      <c r="M292" s="244">
        <v>10000</v>
      </c>
      <c r="N292" s="87" t="s">
        <v>1649</v>
      </c>
      <c r="O292" s="87" t="s">
        <v>1649</v>
      </c>
      <c r="P292" s="87" t="s">
        <v>1649</v>
      </c>
      <c r="Q292" s="244">
        <v>0</v>
      </c>
      <c r="R292" s="244">
        <v>0</v>
      </c>
      <c r="S292" s="244">
        <v>0</v>
      </c>
      <c r="T292" s="244">
        <v>0</v>
      </c>
      <c r="U292" s="244">
        <v>0</v>
      </c>
      <c r="V292" s="244">
        <v>0</v>
      </c>
      <c r="W292" s="244">
        <v>0</v>
      </c>
      <c r="X292" s="244">
        <v>0</v>
      </c>
      <c r="Y292" s="244">
        <v>0</v>
      </c>
      <c r="Z292" s="244">
        <v>0</v>
      </c>
      <c r="AA292" s="87" t="s">
        <v>1648</v>
      </c>
      <c r="AB292" s="87" t="s">
        <v>1649</v>
      </c>
      <c r="AC292" s="244">
        <v>0</v>
      </c>
      <c r="AD292" s="87" t="s">
        <v>1648</v>
      </c>
      <c r="AE292" s="244">
        <v>4851</v>
      </c>
      <c r="AF292" s="87" t="s">
        <v>1650</v>
      </c>
      <c r="AG292" s="87" t="s">
        <v>1649</v>
      </c>
      <c r="AH292" s="87" t="s">
        <v>1649</v>
      </c>
      <c r="AI292" s="87" t="s">
        <v>1649</v>
      </c>
      <c r="AJ292" s="87" t="s">
        <v>1649</v>
      </c>
    </row>
    <row r="293" spans="1:36" ht="13.5" thickBot="1" x14ac:dyDescent="0.25">
      <c r="A293" s="48" t="s">
        <v>602</v>
      </c>
      <c r="B293" s="347" t="s">
        <v>601</v>
      </c>
      <c r="C293" s="48" t="s">
        <v>3077</v>
      </c>
      <c r="D293" s="48" t="s">
        <v>22</v>
      </c>
      <c r="E293" s="48" t="s">
        <v>1949</v>
      </c>
      <c r="F293" s="87" t="s">
        <v>1648</v>
      </c>
      <c r="G293" s="87" t="s">
        <v>1648</v>
      </c>
      <c r="H293" s="244">
        <v>350</v>
      </c>
      <c r="I293" s="87" t="s">
        <v>1648</v>
      </c>
      <c r="J293" s="244">
        <v>2340</v>
      </c>
      <c r="K293" s="87" t="s">
        <v>1649</v>
      </c>
      <c r="L293" s="87" t="s">
        <v>1649</v>
      </c>
      <c r="M293" s="244">
        <v>0</v>
      </c>
      <c r="N293" s="87" t="s">
        <v>1648</v>
      </c>
      <c r="O293" s="87" t="s">
        <v>1648</v>
      </c>
      <c r="P293" s="87" t="s">
        <v>1648</v>
      </c>
      <c r="Q293" s="244">
        <v>2</v>
      </c>
      <c r="R293" s="244">
        <v>72</v>
      </c>
      <c r="S293" s="244">
        <v>0</v>
      </c>
      <c r="T293" s="244">
        <v>0</v>
      </c>
      <c r="U293" s="244">
        <v>0</v>
      </c>
      <c r="V293" s="244">
        <v>0</v>
      </c>
      <c r="W293" s="244">
        <v>0</v>
      </c>
      <c r="X293" s="244">
        <v>0</v>
      </c>
      <c r="Y293" s="244">
        <v>81</v>
      </c>
      <c r="Z293" s="244">
        <v>5912</v>
      </c>
      <c r="AA293" s="87" t="s">
        <v>1649</v>
      </c>
      <c r="AB293" s="87" t="s">
        <v>1648</v>
      </c>
      <c r="AC293" s="244">
        <v>879</v>
      </c>
      <c r="AD293" s="87" t="s">
        <v>1648</v>
      </c>
      <c r="AE293" s="244">
        <v>6771</v>
      </c>
      <c r="AF293" s="87" t="s">
        <v>1651</v>
      </c>
      <c r="AG293" s="87" t="s">
        <v>1648</v>
      </c>
      <c r="AH293" s="87" t="s">
        <v>1649</v>
      </c>
      <c r="AI293" s="87" t="s">
        <v>1649</v>
      </c>
      <c r="AJ293" s="87" t="s">
        <v>1648</v>
      </c>
    </row>
    <row r="294" spans="1:36" ht="13.5" thickBot="1" x14ac:dyDescent="0.25">
      <c r="A294" s="48" t="s">
        <v>636</v>
      </c>
      <c r="B294" s="347" t="s">
        <v>635</v>
      </c>
      <c r="C294" s="48" t="s">
        <v>3098</v>
      </c>
      <c r="D294" s="48" t="s">
        <v>22</v>
      </c>
      <c r="E294" s="48" t="s">
        <v>890</v>
      </c>
      <c r="F294" s="87" t="s">
        <v>1648</v>
      </c>
      <c r="G294" s="87" t="s">
        <v>1648</v>
      </c>
      <c r="H294" s="244">
        <v>34</v>
      </c>
      <c r="I294" s="87" t="s">
        <v>1648</v>
      </c>
      <c r="J294" s="244">
        <v>16</v>
      </c>
      <c r="K294" s="87" t="s">
        <v>1649</v>
      </c>
      <c r="L294" s="87" t="s">
        <v>1649</v>
      </c>
      <c r="M294" s="244">
        <v>0</v>
      </c>
      <c r="N294" s="87" t="s">
        <v>1649</v>
      </c>
      <c r="O294" s="87" t="s">
        <v>1648</v>
      </c>
      <c r="P294" s="87" t="s">
        <v>1648</v>
      </c>
      <c r="Q294" s="244">
        <v>0</v>
      </c>
      <c r="R294" s="244">
        <v>0</v>
      </c>
      <c r="S294" s="244">
        <v>0</v>
      </c>
      <c r="T294" s="244">
        <v>0</v>
      </c>
      <c r="U294" s="244">
        <v>0</v>
      </c>
      <c r="V294" s="244">
        <v>0</v>
      </c>
      <c r="W294" s="244">
        <v>0</v>
      </c>
      <c r="X294" s="244">
        <v>0</v>
      </c>
      <c r="Y294" s="244">
        <v>2</v>
      </c>
      <c r="Z294" s="244">
        <v>10</v>
      </c>
      <c r="AA294" s="87" t="s">
        <v>1649</v>
      </c>
      <c r="AB294" s="87" t="s">
        <v>1649</v>
      </c>
      <c r="AC294" s="244">
        <v>0</v>
      </c>
      <c r="AD294" s="87" t="s">
        <v>1648</v>
      </c>
      <c r="AE294" s="244">
        <v>4922</v>
      </c>
      <c r="AF294" s="87" t="s">
        <v>1650</v>
      </c>
      <c r="AG294" s="87" t="s">
        <v>1648</v>
      </c>
      <c r="AH294" s="87" t="s">
        <v>1648</v>
      </c>
      <c r="AI294" s="87" t="s">
        <v>1649</v>
      </c>
      <c r="AJ294" s="87" t="s">
        <v>1648</v>
      </c>
    </row>
    <row r="295" spans="1:36" ht="13.5" thickBot="1" x14ac:dyDescent="0.25">
      <c r="A295" s="48" t="s">
        <v>662</v>
      </c>
      <c r="B295" s="347" t="s">
        <v>661</v>
      </c>
      <c r="C295" s="48" t="s">
        <v>3098</v>
      </c>
      <c r="D295" s="48" t="s">
        <v>22</v>
      </c>
      <c r="E295" s="48" t="s">
        <v>1949</v>
      </c>
      <c r="F295" s="87" t="s">
        <v>1648</v>
      </c>
      <c r="G295" s="87" t="s">
        <v>1648</v>
      </c>
      <c r="H295" s="244">
        <v>119</v>
      </c>
      <c r="I295" s="87" t="s">
        <v>1649</v>
      </c>
      <c r="J295" s="244">
        <v>0</v>
      </c>
      <c r="K295" s="87" t="s">
        <v>1649</v>
      </c>
      <c r="L295" s="87" t="s">
        <v>1648</v>
      </c>
      <c r="M295" s="244">
        <v>18000</v>
      </c>
      <c r="N295" s="87" t="s">
        <v>1648</v>
      </c>
      <c r="O295" s="87" t="s">
        <v>1648</v>
      </c>
      <c r="P295" s="87" t="s">
        <v>1648</v>
      </c>
      <c r="Q295" s="244">
        <v>1</v>
      </c>
      <c r="R295" s="244">
        <v>3</v>
      </c>
      <c r="S295" s="244">
        <v>2</v>
      </c>
      <c r="T295" s="244">
        <v>14</v>
      </c>
      <c r="U295" s="244">
        <v>19</v>
      </c>
      <c r="V295" s="244">
        <v>132</v>
      </c>
      <c r="W295" s="244">
        <v>0</v>
      </c>
      <c r="X295" s="244">
        <v>0</v>
      </c>
      <c r="Y295" s="244">
        <v>130</v>
      </c>
      <c r="Z295" s="244">
        <v>9934</v>
      </c>
      <c r="AA295" s="87" t="s">
        <v>1648</v>
      </c>
      <c r="AB295" s="87" t="s">
        <v>1648</v>
      </c>
      <c r="AC295" s="244">
        <v>19</v>
      </c>
      <c r="AD295" s="87" t="s">
        <v>1648</v>
      </c>
      <c r="AE295" s="244">
        <v>18233</v>
      </c>
      <c r="AF295" s="87" t="s">
        <v>1651</v>
      </c>
      <c r="AG295" s="87" t="s">
        <v>1648</v>
      </c>
      <c r="AH295" s="87" t="s">
        <v>1648</v>
      </c>
      <c r="AI295" s="87" t="s">
        <v>1649</v>
      </c>
      <c r="AJ295" s="87" t="s">
        <v>1648</v>
      </c>
    </row>
    <row r="296" spans="1:36" ht="13.5" thickBot="1" x14ac:dyDescent="0.25">
      <c r="A296" s="48" t="s">
        <v>704</v>
      </c>
      <c r="B296" s="347" t="s">
        <v>703</v>
      </c>
      <c r="C296" s="48" t="s">
        <v>3074</v>
      </c>
      <c r="D296" s="48" t="s">
        <v>22</v>
      </c>
      <c r="E296" s="48" t="s">
        <v>1949</v>
      </c>
      <c r="F296" s="257" t="s">
        <v>1648</v>
      </c>
      <c r="G296" s="87" t="s">
        <v>1649</v>
      </c>
      <c r="H296" s="244">
        <v>0</v>
      </c>
      <c r="I296" s="87" t="s">
        <v>1649</v>
      </c>
      <c r="J296" s="244">
        <v>0</v>
      </c>
      <c r="K296" s="87" t="s">
        <v>1649</v>
      </c>
      <c r="L296" s="87" t="s">
        <v>1649</v>
      </c>
      <c r="M296" s="244">
        <v>0</v>
      </c>
      <c r="N296" s="87" t="s">
        <v>1649</v>
      </c>
      <c r="O296" s="87" t="s">
        <v>1649</v>
      </c>
      <c r="P296" s="87" t="s">
        <v>1649</v>
      </c>
      <c r="Q296" s="244">
        <v>0</v>
      </c>
      <c r="R296" s="244">
        <v>0</v>
      </c>
      <c r="S296" s="244">
        <v>0</v>
      </c>
      <c r="T296" s="244">
        <v>0</v>
      </c>
      <c r="U296" s="244">
        <v>0</v>
      </c>
      <c r="V296" s="244">
        <v>0</v>
      </c>
      <c r="W296" s="244">
        <v>0</v>
      </c>
      <c r="X296" s="244">
        <v>0</v>
      </c>
      <c r="Y296" s="244">
        <v>0</v>
      </c>
      <c r="Z296" s="244">
        <v>0</v>
      </c>
      <c r="AA296" s="87" t="s">
        <v>1648</v>
      </c>
      <c r="AB296" s="87" t="s">
        <v>1648</v>
      </c>
      <c r="AC296" s="244">
        <v>0</v>
      </c>
      <c r="AD296" s="87" t="s">
        <v>1649</v>
      </c>
      <c r="AE296" s="244">
        <v>18148</v>
      </c>
      <c r="AF296" s="87" t="s">
        <v>1650</v>
      </c>
      <c r="AG296" s="87" t="s">
        <v>1649</v>
      </c>
      <c r="AH296" s="87" t="s">
        <v>1648</v>
      </c>
      <c r="AI296" s="87" t="s">
        <v>1649</v>
      </c>
      <c r="AJ296" s="87" t="s">
        <v>1648</v>
      </c>
    </row>
    <row r="297" spans="1:36" ht="13.5" thickBot="1" x14ac:dyDescent="0.25">
      <c r="A297" s="48" t="s">
        <v>706</v>
      </c>
      <c r="B297" s="347" t="s">
        <v>705</v>
      </c>
      <c r="C297" s="48" t="s">
        <v>3098</v>
      </c>
      <c r="D297" s="48" t="s">
        <v>22</v>
      </c>
      <c r="E297" s="48" t="s">
        <v>1919</v>
      </c>
      <c r="F297" s="87" t="s">
        <v>1648</v>
      </c>
      <c r="G297" s="87" t="s">
        <v>1648</v>
      </c>
      <c r="H297" s="244">
        <v>681</v>
      </c>
      <c r="I297" s="87" t="s">
        <v>1649</v>
      </c>
      <c r="J297" s="244">
        <v>0</v>
      </c>
      <c r="K297" s="87" t="s">
        <v>1649</v>
      </c>
      <c r="L297" s="87" t="s">
        <v>1649</v>
      </c>
      <c r="M297" s="244">
        <v>0</v>
      </c>
      <c r="N297" s="87" t="s">
        <v>1648</v>
      </c>
      <c r="O297" s="87" t="s">
        <v>1648</v>
      </c>
      <c r="P297" s="87" t="s">
        <v>1648</v>
      </c>
      <c r="Q297" s="244">
        <v>1</v>
      </c>
      <c r="R297" s="244">
        <v>61</v>
      </c>
      <c r="S297" s="244">
        <v>11</v>
      </c>
      <c r="T297" s="244">
        <v>39</v>
      </c>
      <c r="U297" s="244">
        <v>1</v>
      </c>
      <c r="V297" s="244">
        <v>17</v>
      </c>
      <c r="W297" s="244">
        <v>0</v>
      </c>
      <c r="X297" s="244">
        <v>0</v>
      </c>
      <c r="Y297" s="244">
        <v>26</v>
      </c>
      <c r="Z297" s="244">
        <v>1850</v>
      </c>
      <c r="AA297" s="87" t="s">
        <v>1648</v>
      </c>
      <c r="AB297" s="87" t="s">
        <v>1649</v>
      </c>
      <c r="AC297" s="87" t="s">
        <v>1660</v>
      </c>
      <c r="AD297" s="87" t="s">
        <v>1648</v>
      </c>
      <c r="AE297" s="244">
        <v>1613</v>
      </c>
      <c r="AF297" s="87" t="s">
        <v>1651</v>
      </c>
      <c r="AG297" s="87" t="s">
        <v>1648</v>
      </c>
      <c r="AH297" s="87" t="s">
        <v>1648</v>
      </c>
      <c r="AI297" s="87" t="s">
        <v>1649</v>
      </c>
      <c r="AJ297" s="87" t="s">
        <v>1649</v>
      </c>
    </row>
    <row r="298" spans="1:36" ht="13.5" thickBot="1" x14ac:dyDescent="0.25">
      <c r="A298" s="48" t="s">
        <v>712</v>
      </c>
      <c r="B298" s="347" t="s">
        <v>711</v>
      </c>
      <c r="C298" s="48" t="s">
        <v>3072</v>
      </c>
      <c r="D298" s="48" t="s">
        <v>22</v>
      </c>
      <c r="E298" s="48" t="s">
        <v>1949</v>
      </c>
      <c r="F298" s="87" t="s">
        <v>1648</v>
      </c>
      <c r="G298" s="87" t="s">
        <v>1648</v>
      </c>
      <c r="H298" s="244">
        <v>234</v>
      </c>
      <c r="I298" s="87" t="s">
        <v>1649</v>
      </c>
      <c r="J298" s="244">
        <v>0</v>
      </c>
      <c r="K298" s="87" t="s">
        <v>1649</v>
      </c>
      <c r="L298" s="87" t="s">
        <v>1649</v>
      </c>
      <c r="M298" s="244">
        <v>0</v>
      </c>
      <c r="N298" s="87" t="s">
        <v>1649</v>
      </c>
      <c r="O298" s="87" t="s">
        <v>1648</v>
      </c>
      <c r="P298" s="87" t="s">
        <v>1649</v>
      </c>
      <c r="Q298" s="244">
        <v>41</v>
      </c>
      <c r="R298" s="244">
        <v>1005</v>
      </c>
      <c r="S298" s="244">
        <v>0</v>
      </c>
      <c r="T298" s="244">
        <v>0</v>
      </c>
      <c r="U298" s="244">
        <v>0</v>
      </c>
      <c r="V298" s="244">
        <v>0</v>
      </c>
      <c r="W298" s="244">
        <v>0</v>
      </c>
      <c r="X298" s="244">
        <v>0</v>
      </c>
      <c r="Y298" s="244">
        <v>0</v>
      </c>
      <c r="Z298" s="244">
        <v>15170</v>
      </c>
      <c r="AA298" s="87" t="s">
        <v>1648</v>
      </c>
      <c r="AB298" s="87" t="s">
        <v>1649</v>
      </c>
      <c r="AC298" s="244">
        <v>0</v>
      </c>
      <c r="AD298" s="87" t="s">
        <v>1648</v>
      </c>
      <c r="AE298" s="244">
        <v>2200</v>
      </c>
      <c r="AF298" s="87" t="s">
        <v>1650</v>
      </c>
      <c r="AG298" s="87" t="s">
        <v>1648</v>
      </c>
      <c r="AH298" s="87" t="s">
        <v>1648</v>
      </c>
      <c r="AI298" s="87" t="s">
        <v>1649</v>
      </c>
      <c r="AJ298" s="87" t="s">
        <v>1649</v>
      </c>
    </row>
    <row r="299" spans="1:36" ht="13.5" thickBot="1" x14ac:dyDescent="0.25">
      <c r="A299" s="48" t="s">
        <v>730</v>
      </c>
      <c r="B299" s="347" t="s">
        <v>729</v>
      </c>
      <c r="C299" s="48" t="s">
        <v>3061</v>
      </c>
      <c r="D299" s="48" t="s">
        <v>22</v>
      </c>
      <c r="E299" s="48" t="s">
        <v>1949</v>
      </c>
      <c r="F299" s="87" t="s">
        <v>1648</v>
      </c>
      <c r="G299" s="87" t="s">
        <v>1648</v>
      </c>
      <c r="H299" s="244">
        <v>528</v>
      </c>
      <c r="I299" s="87" t="s">
        <v>1649</v>
      </c>
      <c r="J299" s="244">
        <v>0</v>
      </c>
      <c r="K299" s="87" t="s">
        <v>1649</v>
      </c>
      <c r="L299" s="87" t="s">
        <v>1649</v>
      </c>
      <c r="M299" s="244">
        <v>0</v>
      </c>
      <c r="N299" s="87" t="s">
        <v>1648</v>
      </c>
      <c r="O299" s="87" t="s">
        <v>1648</v>
      </c>
      <c r="P299" s="87" t="s">
        <v>1648</v>
      </c>
      <c r="Q299" s="244">
        <v>4</v>
      </c>
      <c r="R299" s="244">
        <v>621</v>
      </c>
      <c r="S299" s="244">
        <v>2</v>
      </c>
      <c r="T299" s="244">
        <v>6</v>
      </c>
      <c r="U299" s="244">
        <v>26</v>
      </c>
      <c r="V299" s="244">
        <v>1920</v>
      </c>
      <c r="W299" s="244">
        <v>0</v>
      </c>
      <c r="X299" s="244">
        <v>0</v>
      </c>
      <c r="Y299" s="244">
        <v>2</v>
      </c>
      <c r="Z299" s="244">
        <v>153</v>
      </c>
      <c r="AA299" s="87" t="s">
        <v>1648</v>
      </c>
      <c r="AB299" s="87" t="s">
        <v>1648</v>
      </c>
      <c r="AC299" s="244">
        <v>53</v>
      </c>
      <c r="AD299" s="87" t="s">
        <v>1648</v>
      </c>
      <c r="AE299" s="244">
        <v>13350</v>
      </c>
      <c r="AF299" s="87" t="s">
        <v>1651</v>
      </c>
      <c r="AG299" s="87" t="s">
        <v>1648</v>
      </c>
      <c r="AH299" s="87" t="s">
        <v>1648</v>
      </c>
      <c r="AI299" s="87" t="s">
        <v>1649</v>
      </c>
      <c r="AJ299" s="87" t="s">
        <v>1649</v>
      </c>
    </row>
    <row r="300" spans="1:36" ht="13.5" thickBot="1" x14ac:dyDescent="0.25">
      <c r="A300" s="48" t="s">
        <v>742</v>
      </c>
      <c r="B300" s="347" t="s">
        <v>741</v>
      </c>
      <c r="C300" s="48" t="s">
        <v>3074</v>
      </c>
      <c r="D300" s="48" t="s">
        <v>22</v>
      </c>
      <c r="E300" s="48" t="s">
        <v>2133</v>
      </c>
      <c r="F300" s="87" t="s">
        <v>1648</v>
      </c>
      <c r="G300" s="87" t="s">
        <v>1648</v>
      </c>
      <c r="H300" s="244">
        <v>268</v>
      </c>
      <c r="I300" s="87" t="s">
        <v>1648</v>
      </c>
      <c r="J300" s="244">
        <v>143</v>
      </c>
      <c r="K300" s="87" t="s">
        <v>1649</v>
      </c>
      <c r="L300" s="87" t="s">
        <v>1649</v>
      </c>
      <c r="M300" s="244">
        <v>0</v>
      </c>
      <c r="N300" s="87" t="s">
        <v>1649</v>
      </c>
      <c r="O300" s="87" t="s">
        <v>1649</v>
      </c>
      <c r="P300" s="87" t="s">
        <v>1649</v>
      </c>
      <c r="Q300" s="244">
        <v>0</v>
      </c>
      <c r="R300" s="244">
        <v>0</v>
      </c>
      <c r="S300" s="244">
        <v>0</v>
      </c>
      <c r="T300" s="244">
        <v>0</v>
      </c>
      <c r="U300" s="244">
        <v>1</v>
      </c>
      <c r="V300" s="244">
        <v>5</v>
      </c>
      <c r="W300" s="244">
        <v>0</v>
      </c>
      <c r="X300" s="244">
        <v>0</v>
      </c>
      <c r="Y300" s="244">
        <v>0</v>
      </c>
      <c r="Z300" s="244">
        <v>0</v>
      </c>
      <c r="AA300" s="87" t="s">
        <v>1648</v>
      </c>
      <c r="AB300" s="87" t="s">
        <v>1649</v>
      </c>
      <c r="AC300" s="244">
        <v>0</v>
      </c>
      <c r="AD300" s="87" t="s">
        <v>1648</v>
      </c>
      <c r="AE300" s="244">
        <v>1011</v>
      </c>
      <c r="AF300" s="87" t="s">
        <v>1650</v>
      </c>
      <c r="AG300" s="87" t="s">
        <v>1648</v>
      </c>
      <c r="AH300" s="87" t="s">
        <v>1648</v>
      </c>
      <c r="AI300" s="87" t="s">
        <v>1649</v>
      </c>
      <c r="AJ300" s="87" t="s">
        <v>1648</v>
      </c>
    </row>
    <row r="301" spans="1:36" ht="13.5" thickBot="1" x14ac:dyDescent="0.25">
      <c r="A301" s="48" t="s">
        <v>746</v>
      </c>
      <c r="B301" s="347" t="s">
        <v>745</v>
      </c>
      <c r="C301" s="48" t="s">
        <v>3072</v>
      </c>
      <c r="D301" s="48" t="s">
        <v>22</v>
      </c>
      <c r="E301" s="48" t="s">
        <v>890</v>
      </c>
      <c r="F301" s="87" t="s">
        <v>1648</v>
      </c>
      <c r="G301" s="87" t="s">
        <v>1648</v>
      </c>
      <c r="H301" s="244">
        <v>609</v>
      </c>
      <c r="I301" s="87" t="s">
        <v>1648</v>
      </c>
      <c r="J301" s="244">
        <v>2418</v>
      </c>
      <c r="K301" s="87" t="s">
        <v>1649</v>
      </c>
      <c r="L301" s="87" t="s">
        <v>1649</v>
      </c>
      <c r="M301" s="244">
        <v>0</v>
      </c>
      <c r="N301" s="87" t="s">
        <v>1649</v>
      </c>
      <c r="O301" s="87" t="s">
        <v>1648</v>
      </c>
      <c r="P301" s="87" t="s">
        <v>1648</v>
      </c>
      <c r="Q301" s="244">
        <v>6</v>
      </c>
      <c r="R301" s="244">
        <v>25</v>
      </c>
      <c r="S301" s="244">
        <v>2</v>
      </c>
      <c r="T301" s="244">
        <v>10</v>
      </c>
      <c r="U301" s="244">
        <v>1</v>
      </c>
      <c r="V301" s="244">
        <v>40</v>
      </c>
      <c r="W301" s="244">
        <v>2</v>
      </c>
      <c r="X301" s="244">
        <v>10</v>
      </c>
      <c r="Y301" s="244">
        <v>9</v>
      </c>
      <c r="Z301" s="244">
        <v>52</v>
      </c>
      <c r="AA301" s="87" t="s">
        <v>1648</v>
      </c>
      <c r="AB301" s="87" t="s">
        <v>1649</v>
      </c>
      <c r="AC301" s="244">
        <v>0</v>
      </c>
      <c r="AD301" s="87" t="s">
        <v>1648</v>
      </c>
      <c r="AE301" s="244">
        <v>15777</v>
      </c>
      <c r="AF301" s="87" t="s">
        <v>1651</v>
      </c>
      <c r="AG301" s="87" t="s">
        <v>1648</v>
      </c>
      <c r="AH301" s="87" t="s">
        <v>1649</v>
      </c>
      <c r="AI301" s="87" t="s">
        <v>1649</v>
      </c>
      <c r="AJ301" s="87" t="s">
        <v>1648</v>
      </c>
    </row>
    <row r="302" spans="1:36" ht="13.5" thickBot="1" x14ac:dyDescent="0.25">
      <c r="A302" s="48" t="s">
        <v>766</v>
      </c>
      <c r="B302" s="347" t="s">
        <v>765</v>
      </c>
      <c r="C302" s="48" t="s">
        <v>3072</v>
      </c>
      <c r="D302" s="48" t="s">
        <v>22</v>
      </c>
      <c r="E302" s="48" t="s">
        <v>1949</v>
      </c>
      <c r="F302" s="87" t="s">
        <v>1648</v>
      </c>
      <c r="G302" s="87" t="s">
        <v>1648</v>
      </c>
      <c r="H302" s="244">
        <v>325</v>
      </c>
      <c r="I302" s="87" t="s">
        <v>1649</v>
      </c>
      <c r="J302" s="244">
        <v>0</v>
      </c>
      <c r="K302" s="87" t="s">
        <v>1649</v>
      </c>
      <c r="L302" s="87" t="s">
        <v>1649</v>
      </c>
      <c r="M302" s="244">
        <v>0</v>
      </c>
      <c r="N302" s="87" t="s">
        <v>1649</v>
      </c>
      <c r="O302" s="87" t="s">
        <v>1648</v>
      </c>
      <c r="P302" s="87" t="s">
        <v>1648</v>
      </c>
      <c r="Q302" s="244">
        <v>33</v>
      </c>
      <c r="R302" s="244">
        <v>813</v>
      </c>
      <c r="S302" s="244">
        <v>6</v>
      </c>
      <c r="T302" s="244">
        <v>69</v>
      </c>
      <c r="U302" s="244">
        <v>18</v>
      </c>
      <c r="V302" s="244">
        <v>462</v>
      </c>
      <c r="W302" s="244">
        <v>0</v>
      </c>
      <c r="X302" s="244">
        <v>0</v>
      </c>
      <c r="Y302" s="244">
        <v>0</v>
      </c>
      <c r="Z302" s="244">
        <v>0</v>
      </c>
      <c r="AA302" s="87" t="s">
        <v>1648</v>
      </c>
      <c r="AB302" s="87" t="s">
        <v>1649</v>
      </c>
      <c r="AC302" s="244">
        <v>0</v>
      </c>
      <c r="AD302" s="87" t="s">
        <v>1648</v>
      </c>
      <c r="AE302" s="244">
        <v>3330</v>
      </c>
      <c r="AF302" s="87" t="s">
        <v>1651</v>
      </c>
      <c r="AG302" s="87" t="s">
        <v>1649</v>
      </c>
      <c r="AH302" s="87" t="s">
        <v>1649</v>
      </c>
      <c r="AI302" s="87" t="s">
        <v>1649</v>
      </c>
      <c r="AJ302" s="87" t="s">
        <v>1649</v>
      </c>
    </row>
    <row r="303" spans="1:36" ht="13.5" thickBot="1" x14ac:dyDescent="0.25">
      <c r="A303" s="48" t="s">
        <v>786</v>
      </c>
      <c r="B303" s="347" t="s">
        <v>785</v>
      </c>
      <c r="C303" s="48" t="s">
        <v>3098</v>
      </c>
      <c r="D303" s="48" t="s">
        <v>22</v>
      </c>
      <c r="E303" s="48" t="s">
        <v>890</v>
      </c>
      <c r="F303" s="87" t="s">
        <v>1648</v>
      </c>
      <c r="G303" s="87" t="s">
        <v>1648</v>
      </c>
      <c r="H303" s="244">
        <v>526</v>
      </c>
      <c r="I303" s="87" t="s">
        <v>1649</v>
      </c>
      <c r="J303" s="244">
        <v>0</v>
      </c>
      <c r="K303" s="87" t="s">
        <v>1649</v>
      </c>
      <c r="L303" s="87" t="s">
        <v>1649</v>
      </c>
      <c r="M303" s="244">
        <v>0</v>
      </c>
      <c r="N303" s="87" t="s">
        <v>1648</v>
      </c>
      <c r="O303" s="87" t="s">
        <v>1648</v>
      </c>
      <c r="P303" s="87" t="s">
        <v>1648</v>
      </c>
      <c r="Q303" s="244">
        <v>3</v>
      </c>
      <c r="R303" s="244">
        <v>12</v>
      </c>
      <c r="S303" s="244">
        <v>4</v>
      </c>
      <c r="T303" s="244">
        <v>0</v>
      </c>
      <c r="U303" s="244">
        <v>11</v>
      </c>
      <c r="V303" s="244">
        <v>94</v>
      </c>
      <c r="W303" s="244">
        <v>0</v>
      </c>
      <c r="X303" s="244">
        <v>0</v>
      </c>
      <c r="Y303" s="244">
        <v>34</v>
      </c>
      <c r="Z303" s="244">
        <v>312</v>
      </c>
      <c r="AA303" s="87" t="s">
        <v>1648</v>
      </c>
      <c r="AB303" s="87" t="s">
        <v>1649</v>
      </c>
      <c r="AC303" s="244">
        <v>0</v>
      </c>
      <c r="AD303" s="87" t="s">
        <v>1648</v>
      </c>
      <c r="AE303" s="244">
        <v>9563</v>
      </c>
      <c r="AF303" s="87" t="s">
        <v>1651</v>
      </c>
      <c r="AG303" s="87" t="s">
        <v>1648</v>
      </c>
      <c r="AH303" s="87" t="s">
        <v>1648</v>
      </c>
      <c r="AI303" s="87" t="s">
        <v>1649</v>
      </c>
      <c r="AJ303" s="87" t="s">
        <v>1648</v>
      </c>
    </row>
    <row r="304" spans="1:36" ht="13.5" thickBot="1" x14ac:dyDescent="0.25">
      <c r="A304" s="48" t="s">
        <v>812</v>
      </c>
      <c r="B304" s="347" t="s">
        <v>811</v>
      </c>
      <c r="C304" s="48" t="s">
        <v>3098</v>
      </c>
      <c r="D304" s="48" t="s">
        <v>22</v>
      </c>
      <c r="E304" s="48" t="s">
        <v>890</v>
      </c>
      <c r="F304" s="87" t="s">
        <v>1648</v>
      </c>
      <c r="G304" s="87" t="s">
        <v>1648</v>
      </c>
      <c r="H304" s="244">
        <v>269</v>
      </c>
      <c r="I304" s="87" t="s">
        <v>1649</v>
      </c>
      <c r="J304" s="244">
        <v>0</v>
      </c>
      <c r="K304" s="87" t="s">
        <v>1649</v>
      </c>
      <c r="L304" s="87" t="s">
        <v>1649</v>
      </c>
      <c r="M304" s="244">
        <v>0</v>
      </c>
      <c r="N304" s="87" t="s">
        <v>1648</v>
      </c>
      <c r="O304" s="87" t="s">
        <v>1648</v>
      </c>
      <c r="P304" s="87" t="s">
        <v>1648</v>
      </c>
      <c r="Q304" s="244">
        <v>38</v>
      </c>
      <c r="R304" s="244">
        <v>847</v>
      </c>
      <c r="S304" s="244">
        <v>2</v>
      </c>
      <c r="T304" s="244">
        <v>8</v>
      </c>
      <c r="U304" s="244">
        <v>13</v>
      </c>
      <c r="V304" s="244">
        <v>87</v>
      </c>
      <c r="W304" s="244">
        <v>0</v>
      </c>
      <c r="X304" s="244">
        <v>0</v>
      </c>
      <c r="Y304" s="244">
        <v>21</v>
      </c>
      <c r="Z304" s="244">
        <v>456</v>
      </c>
      <c r="AA304" s="87" t="s">
        <v>1648</v>
      </c>
      <c r="AB304" s="87" t="s">
        <v>1648</v>
      </c>
      <c r="AC304" s="244">
        <v>42</v>
      </c>
      <c r="AD304" s="87" t="s">
        <v>1648</v>
      </c>
      <c r="AE304" s="244">
        <v>3542</v>
      </c>
      <c r="AF304" s="87" t="s">
        <v>1651</v>
      </c>
      <c r="AG304" s="87" t="s">
        <v>1648</v>
      </c>
      <c r="AH304" s="87" t="s">
        <v>1648</v>
      </c>
      <c r="AI304" s="87" t="s">
        <v>1649</v>
      </c>
      <c r="AJ304" s="87" t="s">
        <v>1648</v>
      </c>
    </row>
    <row r="305" spans="1:36" ht="13.5" thickBot="1" x14ac:dyDescent="0.25">
      <c r="A305" s="48" t="s">
        <v>38</v>
      </c>
      <c r="B305" s="347" t="s">
        <v>37</v>
      </c>
      <c r="C305" s="48" t="s">
        <v>3098</v>
      </c>
      <c r="D305" s="48" t="s">
        <v>39</v>
      </c>
      <c r="E305" s="48" t="s">
        <v>890</v>
      </c>
      <c r="F305" s="87" t="s">
        <v>1648</v>
      </c>
      <c r="G305" s="87" t="s">
        <v>1648</v>
      </c>
      <c r="H305" s="244">
        <v>76</v>
      </c>
      <c r="I305" s="87" t="s">
        <v>1648</v>
      </c>
      <c r="J305" s="244">
        <v>268</v>
      </c>
      <c r="K305" s="87" t="s">
        <v>1649</v>
      </c>
      <c r="L305" s="87" t="s">
        <v>1649</v>
      </c>
      <c r="M305" s="244">
        <v>0</v>
      </c>
      <c r="N305" s="87" t="s">
        <v>1648</v>
      </c>
      <c r="O305" s="87" t="s">
        <v>1648</v>
      </c>
      <c r="P305" s="87" t="s">
        <v>1648</v>
      </c>
      <c r="Q305" s="244">
        <v>5</v>
      </c>
      <c r="R305" s="244">
        <v>38</v>
      </c>
      <c r="S305" s="244">
        <v>0</v>
      </c>
      <c r="T305" s="244">
        <v>0</v>
      </c>
      <c r="U305" s="244">
        <v>4</v>
      </c>
      <c r="V305" s="244">
        <v>125</v>
      </c>
      <c r="W305" s="244">
        <v>0</v>
      </c>
      <c r="X305" s="244">
        <v>0</v>
      </c>
      <c r="Y305" s="244">
        <v>28</v>
      </c>
      <c r="Z305" s="244">
        <v>1957</v>
      </c>
      <c r="AA305" s="87" t="s">
        <v>1648</v>
      </c>
      <c r="AB305" s="87" t="s">
        <v>1649</v>
      </c>
      <c r="AC305" s="244">
        <v>0</v>
      </c>
      <c r="AD305" s="87" t="s">
        <v>1648</v>
      </c>
      <c r="AE305" s="244">
        <v>51725</v>
      </c>
      <c r="AF305" s="87" t="s">
        <v>1650</v>
      </c>
      <c r="AG305" s="87" t="s">
        <v>1648</v>
      </c>
      <c r="AH305" s="87" t="s">
        <v>1648</v>
      </c>
      <c r="AI305" s="87" t="s">
        <v>1649</v>
      </c>
      <c r="AJ305" s="87" t="s">
        <v>1648</v>
      </c>
    </row>
    <row r="306" spans="1:36" ht="13.5" thickBot="1" x14ac:dyDescent="0.25">
      <c r="A306" s="48" t="s">
        <v>41</v>
      </c>
      <c r="B306" s="347" t="s">
        <v>40</v>
      </c>
      <c r="C306" s="48" t="s">
        <v>3074</v>
      </c>
      <c r="D306" s="48" t="s">
        <v>39</v>
      </c>
      <c r="E306" s="48" t="s">
        <v>1919</v>
      </c>
      <c r="F306" s="87" t="s">
        <v>1648</v>
      </c>
      <c r="G306" s="87" t="s">
        <v>1648</v>
      </c>
      <c r="H306" s="244">
        <v>1036</v>
      </c>
      <c r="I306" s="87" t="s">
        <v>1648</v>
      </c>
      <c r="J306" s="244">
        <v>1217</v>
      </c>
      <c r="K306" s="87" t="s">
        <v>1649</v>
      </c>
      <c r="L306" s="87" t="s">
        <v>1649</v>
      </c>
      <c r="M306" s="244">
        <v>0</v>
      </c>
      <c r="N306" s="87" t="s">
        <v>1648</v>
      </c>
      <c r="O306" s="87" t="s">
        <v>1648</v>
      </c>
      <c r="P306" s="87" t="s">
        <v>1648</v>
      </c>
      <c r="Q306" s="244">
        <v>8</v>
      </c>
      <c r="R306" s="244">
        <v>52</v>
      </c>
      <c r="S306" s="244">
        <v>0</v>
      </c>
      <c r="T306" s="244">
        <v>0</v>
      </c>
      <c r="U306" s="244">
        <v>0</v>
      </c>
      <c r="V306" s="244">
        <v>0</v>
      </c>
      <c r="W306" s="244">
        <v>0</v>
      </c>
      <c r="X306" s="244">
        <v>0</v>
      </c>
      <c r="Y306" s="244">
        <v>24</v>
      </c>
      <c r="Z306" s="244">
        <v>1258</v>
      </c>
      <c r="AA306" s="87" t="s">
        <v>1648</v>
      </c>
      <c r="AB306" s="87" t="s">
        <v>1648</v>
      </c>
      <c r="AC306" s="244">
        <v>42</v>
      </c>
      <c r="AD306" s="87" t="s">
        <v>1648</v>
      </c>
      <c r="AE306" s="244">
        <v>3021</v>
      </c>
      <c r="AF306" s="87" t="s">
        <v>1650</v>
      </c>
      <c r="AG306" s="87" t="s">
        <v>1648</v>
      </c>
      <c r="AH306" s="87" t="s">
        <v>1649</v>
      </c>
      <c r="AI306" s="87" t="s">
        <v>1649</v>
      </c>
      <c r="AJ306" s="87" t="s">
        <v>1648</v>
      </c>
    </row>
    <row r="307" spans="1:36" ht="13.5" thickBot="1" x14ac:dyDescent="0.25">
      <c r="A307" s="48" t="s">
        <v>49</v>
      </c>
      <c r="B307" s="347" t="s">
        <v>48</v>
      </c>
      <c r="C307" s="48" t="s">
        <v>3053</v>
      </c>
      <c r="D307" s="48" t="s">
        <v>39</v>
      </c>
      <c r="E307" s="48" t="s">
        <v>894</v>
      </c>
      <c r="F307" s="87" t="s">
        <v>1648</v>
      </c>
      <c r="G307" s="87" t="s">
        <v>1648</v>
      </c>
      <c r="H307" s="244">
        <v>1012</v>
      </c>
      <c r="I307" s="87" t="s">
        <v>1649</v>
      </c>
      <c r="J307" s="244">
        <v>0</v>
      </c>
      <c r="K307" s="87" t="s">
        <v>1649</v>
      </c>
      <c r="L307" s="87" t="s">
        <v>1649</v>
      </c>
      <c r="M307" s="244">
        <v>0</v>
      </c>
      <c r="N307" s="87" t="s">
        <v>1648</v>
      </c>
      <c r="O307" s="87" t="s">
        <v>1648</v>
      </c>
      <c r="P307" s="87" t="s">
        <v>1648</v>
      </c>
      <c r="Q307" s="244">
        <v>17</v>
      </c>
      <c r="R307" s="244">
        <v>212</v>
      </c>
      <c r="S307" s="244">
        <v>8</v>
      </c>
      <c r="T307" s="244">
        <v>42</v>
      </c>
      <c r="U307" s="244">
        <v>24</v>
      </c>
      <c r="V307" s="244">
        <v>604</v>
      </c>
      <c r="W307" s="244">
        <v>0</v>
      </c>
      <c r="X307" s="244">
        <v>0</v>
      </c>
      <c r="Y307" s="244">
        <v>22</v>
      </c>
      <c r="Z307" s="244">
        <v>889</v>
      </c>
      <c r="AA307" s="87" t="s">
        <v>1648</v>
      </c>
      <c r="AB307" s="87" t="s">
        <v>1648</v>
      </c>
      <c r="AC307" s="244">
        <v>1</v>
      </c>
      <c r="AD307" s="87" t="s">
        <v>1648</v>
      </c>
      <c r="AE307" s="244">
        <v>1686</v>
      </c>
      <c r="AF307" s="87" t="s">
        <v>1651</v>
      </c>
      <c r="AG307" s="87" t="s">
        <v>1648</v>
      </c>
      <c r="AH307" s="87" t="s">
        <v>1648</v>
      </c>
      <c r="AI307" s="87" t="s">
        <v>1649</v>
      </c>
      <c r="AJ307" s="87" t="s">
        <v>1648</v>
      </c>
    </row>
    <row r="308" spans="1:36" ht="13.5" thickBot="1" x14ac:dyDescent="0.25">
      <c r="A308" s="48" t="s">
        <v>72</v>
      </c>
      <c r="B308" s="347" t="s">
        <v>71</v>
      </c>
      <c r="C308" s="48" t="s">
        <v>3098</v>
      </c>
      <c r="D308" s="48" t="s">
        <v>39</v>
      </c>
      <c r="E308" s="48" t="s">
        <v>890</v>
      </c>
      <c r="F308" s="87" t="s">
        <v>1648</v>
      </c>
      <c r="G308" s="87" t="s">
        <v>1648</v>
      </c>
      <c r="H308" s="244">
        <v>420</v>
      </c>
      <c r="I308" s="87" t="s">
        <v>1649</v>
      </c>
      <c r="J308" s="244">
        <v>0</v>
      </c>
      <c r="K308" s="87" t="s">
        <v>1649</v>
      </c>
      <c r="L308" s="87" t="s">
        <v>1649</v>
      </c>
      <c r="M308" s="244">
        <v>0</v>
      </c>
      <c r="N308" s="87" t="s">
        <v>1648</v>
      </c>
      <c r="O308" s="87" t="s">
        <v>1648</v>
      </c>
      <c r="P308" s="87" t="s">
        <v>1648</v>
      </c>
      <c r="Q308" s="244">
        <v>16</v>
      </c>
      <c r="R308" s="244">
        <v>256</v>
      </c>
      <c r="S308" s="244">
        <v>18</v>
      </c>
      <c r="T308" s="244">
        <v>183</v>
      </c>
      <c r="U308" s="244">
        <v>114</v>
      </c>
      <c r="V308" s="244">
        <v>1927</v>
      </c>
      <c r="W308" s="244">
        <v>181</v>
      </c>
      <c r="X308" s="244">
        <v>2553</v>
      </c>
      <c r="Y308" s="244">
        <v>128</v>
      </c>
      <c r="Z308" s="244">
        <v>4460</v>
      </c>
      <c r="AA308" s="87" t="s">
        <v>1648</v>
      </c>
      <c r="AB308" s="87" t="s">
        <v>1649</v>
      </c>
      <c r="AC308" s="244">
        <v>0</v>
      </c>
      <c r="AD308" s="87" t="s">
        <v>1648</v>
      </c>
      <c r="AE308" s="244">
        <v>30044</v>
      </c>
      <c r="AF308" s="87" t="s">
        <v>1650</v>
      </c>
      <c r="AG308" s="87" t="s">
        <v>1648</v>
      </c>
      <c r="AH308" s="87" t="s">
        <v>1649</v>
      </c>
      <c r="AI308" s="87" t="s">
        <v>1649</v>
      </c>
      <c r="AJ308" s="87" t="s">
        <v>1648</v>
      </c>
    </row>
    <row r="309" spans="1:36" ht="13.5" thickBot="1" x14ac:dyDescent="0.25">
      <c r="A309" s="48" t="s">
        <v>84</v>
      </c>
      <c r="B309" s="347" t="s">
        <v>83</v>
      </c>
      <c r="C309" s="48" t="s">
        <v>3098</v>
      </c>
      <c r="D309" s="48" t="s">
        <v>39</v>
      </c>
      <c r="E309" s="48" t="s">
        <v>1949</v>
      </c>
      <c r="F309" s="87" t="s">
        <v>1648</v>
      </c>
      <c r="G309" s="87" t="s">
        <v>1648</v>
      </c>
      <c r="H309" s="244">
        <v>231</v>
      </c>
      <c r="I309" s="87" t="s">
        <v>1649</v>
      </c>
      <c r="J309" s="244">
        <v>0</v>
      </c>
      <c r="K309" s="87" t="s">
        <v>1649</v>
      </c>
      <c r="L309" s="87" t="s">
        <v>1649</v>
      </c>
      <c r="M309" s="244">
        <v>0</v>
      </c>
      <c r="N309" s="87" t="s">
        <v>1648</v>
      </c>
      <c r="O309" s="87" t="s">
        <v>1648</v>
      </c>
      <c r="P309" s="87" t="s">
        <v>1648</v>
      </c>
      <c r="Q309" s="244">
        <v>6</v>
      </c>
      <c r="R309" s="244">
        <v>66</v>
      </c>
      <c r="S309" s="244">
        <v>0</v>
      </c>
      <c r="T309" s="244">
        <v>0</v>
      </c>
      <c r="U309" s="244">
        <v>3</v>
      </c>
      <c r="V309" s="244">
        <v>29</v>
      </c>
      <c r="W309" s="244">
        <v>0</v>
      </c>
      <c r="X309" s="244">
        <v>0</v>
      </c>
      <c r="Y309" s="244">
        <v>35</v>
      </c>
      <c r="Z309" s="244">
        <v>436</v>
      </c>
      <c r="AA309" s="87" t="s">
        <v>1648</v>
      </c>
      <c r="AB309" s="87" t="s">
        <v>1649</v>
      </c>
      <c r="AC309" s="244">
        <v>0</v>
      </c>
      <c r="AD309" s="87" t="s">
        <v>1648</v>
      </c>
      <c r="AE309" s="244">
        <v>16766</v>
      </c>
      <c r="AF309" s="87" t="s">
        <v>1651</v>
      </c>
      <c r="AG309" s="87" t="s">
        <v>1648</v>
      </c>
      <c r="AH309" s="87" t="s">
        <v>1648</v>
      </c>
      <c r="AI309" s="87" t="s">
        <v>1649</v>
      </c>
      <c r="AJ309" s="87" t="s">
        <v>1648</v>
      </c>
    </row>
    <row r="310" spans="1:36" ht="13.5" thickBot="1" x14ac:dyDescent="0.25">
      <c r="A310" s="48" t="s">
        <v>108</v>
      </c>
      <c r="B310" s="347" t="s">
        <v>107</v>
      </c>
      <c r="C310" s="48" t="s">
        <v>3098</v>
      </c>
      <c r="D310" s="48" t="s">
        <v>39</v>
      </c>
      <c r="E310" s="48" t="s">
        <v>1919</v>
      </c>
      <c r="F310" s="87" t="s">
        <v>1648</v>
      </c>
      <c r="G310" s="87" t="s">
        <v>1648</v>
      </c>
      <c r="H310" s="244">
        <v>0</v>
      </c>
      <c r="I310" s="87" t="s">
        <v>1649</v>
      </c>
      <c r="J310" s="244">
        <v>0</v>
      </c>
      <c r="K310" s="87" t="s">
        <v>1649</v>
      </c>
      <c r="L310" s="87" t="s">
        <v>1649</v>
      </c>
      <c r="M310" s="244">
        <v>0</v>
      </c>
      <c r="N310" s="87" t="s">
        <v>1648</v>
      </c>
      <c r="O310" s="87" t="s">
        <v>1649</v>
      </c>
      <c r="P310" s="87" t="s">
        <v>1649</v>
      </c>
      <c r="Q310" s="244">
        <v>0</v>
      </c>
      <c r="R310" s="244">
        <v>0</v>
      </c>
      <c r="S310" s="244">
        <v>0</v>
      </c>
      <c r="T310" s="244">
        <v>0</v>
      </c>
      <c r="U310" s="244">
        <v>0</v>
      </c>
      <c r="V310" s="244">
        <v>0</v>
      </c>
      <c r="W310" s="244">
        <v>0</v>
      </c>
      <c r="X310" s="244">
        <v>0</v>
      </c>
      <c r="Y310" s="244">
        <v>0</v>
      </c>
      <c r="Z310" s="244">
        <v>0</v>
      </c>
      <c r="AA310" s="87" t="s">
        <v>1649</v>
      </c>
      <c r="AB310" s="87" t="s">
        <v>1649</v>
      </c>
      <c r="AC310" s="87" t="s">
        <v>1660</v>
      </c>
      <c r="AD310" s="87" t="s">
        <v>1648</v>
      </c>
      <c r="AE310" s="244">
        <v>48103</v>
      </c>
      <c r="AF310" s="87" t="s">
        <v>1650</v>
      </c>
      <c r="AG310" s="87" t="s">
        <v>1649</v>
      </c>
      <c r="AH310" s="87" t="s">
        <v>1649</v>
      </c>
      <c r="AI310" s="87" t="s">
        <v>1648</v>
      </c>
      <c r="AJ310" s="87" t="s">
        <v>1648</v>
      </c>
    </row>
    <row r="311" spans="1:36" ht="13.5" thickBot="1" x14ac:dyDescent="0.25">
      <c r="A311" s="48" t="s">
        <v>114</v>
      </c>
      <c r="B311" s="347" t="s">
        <v>113</v>
      </c>
      <c r="C311" s="48" t="s">
        <v>3061</v>
      </c>
      <c r="D311" s="48" t="s">
        <v>39</v>
      </c>
      <c r="E311" s="48" t="s">
        <v>1949</v>
      </c>
      <c r="F311" s="87" t="s">
        <v>1648</v>
      </c>
      <c r="G311" s="87" t="s">
        <v>1648</v>
      </c>
      <c r="H311" s="244">
        <v>360</v>
      </c>
      <c r="I311" s="87" t="s">
        <v>1649</v>
      </c>
      <c r="J311" s="244">
        <v>0</v>
      </c>
      <c r="K311" s="87" t="s">
        <v>1649</v>
      </c>
      <c r="L311" s="87" t="s">
        <v>1649</v>
      </c>
      <c r="M311" s="244">
        <v>0</v>
      </c>
      <c r="N311" s="87" t="s">
        <v>1648</v>
      </c>
      <c r="O311" s="87" t="s">
        <v>1648</v>
      </c>
      <c r="P311" s="87" t="s">
        <v>1648</v>
      </c>
      <c r="Q311" s="244">
        <v>0</v>
      </c>
      <c r="R311" s="244">
        <v>0</v>
      </c>
      <c r="S311" s="244">
        <v>0</v>
      </c>
      <c r="T311" s="244">
        <v>0</v>
      </c>
      <c r="U311" s="244">
        <v>0</v>
      </c>
      <c r="V311" s="244">
        <v>0</v>
      </c>
      <c r="W311" s="244">
        <v>0</v>
      </c>
      <c r="X311" s="244">
        <v>0</v>
      </c>
      <c r="Y311" s="244">
        <v>275</v>
      </c>
      <c r="Z311" s="244">
        <v>32064</v>
      </c>
      <c r="AA311" s="87" t="s">
        <v>1648</v>
      </c>
      <c r="AB311" s="87" t="s">
        <v>1649</v>
      </c>
      <c r="AC311" s="87" t="s">
        <v>1660</v>
      </c>
      <c r="AD311" s="87" t="s">
        <v>1648</v>
      </c>
      <c r="AE311" s="244">
        <v>21320</v>
      </c>
      <c r="AF311" s="87" t="s">
        <v>1651</v>
      </c>
      <c r="AG311" s="87" t="s">
        <v>1648</v>
      </c>
      <c r="AH311" s="87" t="s">
        <v>1648</v>
      </c>
      <c r="AI311" s="87" t="s">
        <v>1649</v>
      </c>
      <c r="AJ311" s="87" t="s">
        <v>1649</v>
      </c>
    </row>
    <row r="312" spans="1:36" ht="13.5" thickBot="1" x14ac:dyDescent="0.25">
      <c r="A312" s="48" t="s">
        <v>124</v>
      </c>
      <c r="B312" s="347" t="s">
        <v>123</v>
      </c>
      <c r="C312" s="48" t="s">
        <v>3098</v>
      </c>
      <c r="D312" s="48" t="s">
        <v>39</v>
      </c>
      <c r="E312" s="48" t="s">
        <v>1949</v>
      </c>
      <c r="F312" s="87" t="s">
        <v>1648</v>
      </c>
      <c r="G312" s="87" t="s">
        <v>1648</v>
      </c>
      <c r="H312" s="244">
        <v>320</v>
      </c>
      <c r="I312" s="87" t="s">
        <v>1649</v>
      </c>
      <c r="J312" s="244">
        <v>0</v>
      </c>
      <c r="K312" s="87" t="s">
        <v>1649</v>
      </c>
      <c r="L312" s="87" t="s">
        <v>1649</v>
      </c>
      <c r="M312" s="244">
        <v>0</v>
      </c>
      <c r="N312" s="87" t="s">
        <v>1648</v>
      </c>
      <c r="O312" s="87" t="s">
        <v>1648</v>
      </c>
      <c r="P312" s="87" t="s">
        <v>1648</v>
      </c>
      <c r="Q312" s="244">
        <v>34</v>
      </c>
      <c r="R312" s="244">
        <v>499</v>
      </c>
      <c r="S312" s="244">
        <v>29</v>
      </c>
      <c r="T312" s="244">
        <v>129</v>
      </c>
      <c r="U312" s="244">
        <v>32</v>
      </c>
      <c r="V312" s="244">
        <v>361</v>
      </c>
      <c r="W312" s="244">
        <v>0</v>
      </c>
      <c r="X312" s="244">
        <v>0</v>
      </c>
      <c r="Y312" s="244">
        <v>51</v>
      </c>
      <c r="Z312" s="244">
        <v>899</v>
      </c>
      <c r="AA312" s="87" t="s">
        <v>1648</v>
      </c>
      <c r="AB312" s="87" t="s">
        <v>1648</v>
      </c>
      <c r="AC312" s="244">
        <v>207</v>
      </c>
      <c r="AD312" s="87" t="s">
        <v>1649</v>
      </c>
      <c r="AE312" s="244">
        <v>24395</v>
      </c>
      <c r="AF312" s="87" t="s">
        <v>1651</v>
      </c>
      <c r="AG312" s="87" t="s">
        <v>1648</v>
      </c>
      <c r="AH312" s="87" t="s">
        <v>1648</v>
      </c>
      <c r="AI312" s="87" t="s">
        <v>1649</v>
      </c>
      <c r="AJ312" s="87" t="s">
        <v>1648</v>
      </c>
    </row>
    <row r="313" spans="1:36" ht="13.5" thickBot="1" x14ac:dyDescent="0.25">
      <c r="A313" s="48" t="s">
        <v>134</v>
      </c>
      <c r="B313" s="347" t="s">
        <v>133</v>
      </c>
      <c r="C313" s="48" t="s">
        <v>3059</v>
      </c>
      <c r="D313" s="48" t="s">
        <v>39</v>
      </c>
      <c r="E313" s="48" t="s">
        <v>894</v>
      </c>
      <c r="F313" s="87" t="s">
        <v>1648</v>
      </c>
      <c r="G313" s="87" t="s">
        <v>1648</v>
      </c>
      <c r="H313" s="244">
        <v>1180</v>
      </c>
      <c r="I313" s="87" t="s">
        <v>1649</v>
      </c>
      <c r="J313" s="244">
        <v>0</v>
      </c>
      <c r="K313" s="87" t="s">
        <v>1649</v>
      </c>
      <c r="L313" s="87" t="s">
        <v>1649</v>
      </c>
      <c r="M313" s="244">
        <v>0</v>
      </c>
      <c r="N313" s="87" t="s">
        <v>1648</v>
      </c>
      <c r="O313" s="87" t="s">
        <v>1648</v>
      </c>
      <c r="P313" s="87" t="s">
        <v>1648</v>
      </c>
      <c r="Q313" s="244">
        <v>3</v>
      </c>
      <c r="R313" s="244">
        <v>41</v>
      </c>
      <c r="S313" s="244">
        <v>2</v>
      </c>
      <c r="T313" s="244">
        <v>10</v>
      </c>
      <c r="U313" s="244">
        <v>3</v>
      </c>
      <c r="V313" s="244">
        <v>36</v>
      </c>
      <c r="W313" s="244">
        <v>5</v>
      </c>
      <c r="X313" s="244">
        <v>26</v>
      </c>
      <c r="Y313" s="244">
        <v>18</v>
      </c>
      <c r="Z313" s="244">
        <v>841</v>
      </c>
      <c r="AA313" s="87" t="s">
        <v>1648</v>
      </c>
      <c r="AB313" s="87" t="s">
        <v>1649</v>
      </c>
      <c r="AC313" s="244">
        <v>0</v>
      </c>
      <c r="AD313" s="87" t="s">
        <v>1648</v>
      </c>
      <c r="AE313" s="244">
        <v>13595</v>
      </c>
      <c r="AF313" s="87" t="s">
        <v>1651</v>
      </c>
      <c r="AG313" s="87" t="s">
        <v>1648</v>
      </c>
      <c r="AH313" s="87" t="s">
        <v>1648</v>
      </c>
      <c r="AI313" s="87" t="s">
        <v>1649</v>
      </c>
      <c r="AJ313" s="87" t="s">
        <v>1648</v>
      </c>
    </row>
    <row r="314" spans="1:36" ht="13.5" thickBot="1" x14ac:dyDescent="0.25">
      <c r="A314" s="48" t="s">
        <v>150</v>
      </c>
      <c r="B314" s="347" t="s">
        <v>149</v>
      </c>
      <c r="C314" s="48" t="s">
        <v>3072</v>
      </c>
      <c r="D314" s="48" t="s">
        <v>39</v>
      </c>
      <c r="E314" s="48" t="s">
        <v>1949</v>
      </c>
      <c r="F314" s="87" t="s">
        <v>1648</v>
      </c>
      <c r="G314" s="87" t="s">
        <v>1648</v>
      </c>
      <c r="H314" s="244">
        <v>258</v>
      </c>
      <c r="I314" s="87" t="s">
        <v>1649</v>
      </c>
      <c r="J314" s="244">
        <v>0</v>
      </c>
      <c r="K314" s="87" t="s">
        <v>1649</v>
      </c>
      <c r="L314" s="87" t="s">
        <v>1648</v>
      </c>
      <c r="M314" s="244">
        <v>15453</v>
      </c>
      <c r="N314" s="87" t="s">
        <v>1648</v>
      </c>
      <c r="O314" s="87" t="s">
        <v>1649</v>
      </c>
      <c r="P314" s="87" t="s">
        <v>1648</v>
      </c>
      <c r="Q314" s="244">
        <v>0</v>
      </c>
      <c r="R314" s="244">
        <v>0</v>
      </c>
      <c r="S314" s="244">
        <v>0</v>
      </c>
      <c r="T314" s="244">
        <v>0</v>
      </c>
      <c r="U314" s="244">
        <v>0</v>
      </c>
      <c r="V314" s="244">
        <v>0</v>
      </c>
      <c r="W314" s="244">
        <v>0</v>
      </c>
      <c r="X314" s="244">
        <v>0</v>
      </c>
      <c r="Y314" s="244">
        <v>15</v>
      </c>
      <c r="Z314" s="244">
        <v>1189</v>
      </c>
      <c r="AA314" s="87" t="s">
        <v>1648</v>
      </c>
      <c r="AB314" s="87" t="s">
        <v>1649</v>
      </c>
      <c r="AC314" s="244">
        <v>0</v>
      </c>
      <c r="AD314" s="87" t="s">
        <v>1649</v>
      </c>
      <c r="AE314" s="244">
        <v>7983</v>
      </c>
      <c r="AF314" s="87" t="s">
        <v>1650</v>
      </c>
      <c r="AG314" s="87" t="s">
        <v>1648</v>
      </c>
      <c r="AH314" s="87" t="s">
        <v>1648</v>
      </c>
      <c r="AI314" s="87" t="s">
        <v>1649</v>
      </c>
      <c r="AJ314" s="87" t="s">
        <v>1648</v>
      </c>
    </row>
    <row r="315" spans="1:36" ht="13.5" thickBot="1" x14ac:dyDescent="0.25">
      <c r="A315" s="48" t="s">
        <v>170</v>
      </c>
      <c r="B315" s="347" t="s">
        <v>169</v>
      </c>
      <c r="C315" s="48" t="s">
        <v>3144</v>
      </c>
      <c r="D315" s="48" t="s">
        <v>39</v>
      </c>
      <c r="E315" s="48" t="s">
        <v>1919</v>
      </c>
      <c r="F315" s="87" t="s">
        <v>1648</v>
      </c>
      <c r="G315" s="87" t="s">
        <v>1648</v>
      </c>
      <c r="H315" s="244">
        <v>600</v>
      </c>
      <c r="I315" s="87" t="s">
        <v>1648</v>
      </c>
      <c r="J315" s="244">
        <v>3653</v>
      </c>
      <c r="K315" s="87" t="s">
        <v>1649</v>
      </c>
      <c r="L315" s="87" t="s">
        <v>1648</v>
      </c>
      <c r="M315" s="244">
        <v>12500</v>
      </c>
      <c r="N315" s="87" t="s">
        <v>1648</v>
      </c>
      <c r="O315" s="87" t="s">
        <v>1648</v>
      </c>
      <c r="P315" s="87" t="s">
        <v>1648</v>
      </c>
      <c r="Q315" s="244">
        <v>0</v>
      </c>
      <c r="R315" s="244">
        <v>0</v>
      </c>
      <c r="S315" s="244">
        <v>1</v>
      </c>
      <c r="T315" s="244">
        <v>6</v>
      </c>
      <c r="U315" s="244">
        <v>12</v>
      </c>
      <c r="V315" s="244">
        <v>88</v>
      </c>
      <c r="W315" s="244">
        <v>33</v>
      </c>
      <c r="X315" s="244">
        <v>5289</v>
      </c>
      <c r="Y315" s="244">
        <v>21</v>
      </c>
      <c r="Z315" s="244">
        <v>3766</v>
      </c>
      <c r="AA315" s="87" t="s">
        <v>1648</v>
      </c>
      <c r="AB315" s="87" t="s">
        <v>1648</v>
      </c>
      <c r="AC315" s="244">
        <v>104</v>
      </c>
      <c r="AD315" s="87" t="s">
        <v>1648</v>
      </c>
      <c r="AE315" s="244">
        <v>10515</v>
      </c>
      <c r="AF315" s="87" t="s">
        <v>1651</v>
      </c>
      <c r="AG315" s="87" t="s">
        <v>1648</v>
      </c>
      <c r="AH315" s="87" t="s">
        <v>1648</v>
      </c>
      <c r="AI315" s="87" t="s">
        <v>1648</v>
      </c>
      <c r="AJ315" s="87" t="s">
        <v>1648</v>
      </c>
    </row>
    <row r="316" spans="1:36" ht="13.5" thickBot="1" x14ac:dyDescent="0.25">
      <c r="A316" s="48" t="s">
        <v>174</v>
      </c>
      <c r="B316" s="347" t="s">
        <v>173</v>
      </c>
      <c r="C316" s="48" t="s">
        <v>3098</v>
      </c>
      <c r="D316" s="48" t="s">
        <v>39</v>
      </c>
      <c r="E316" s="48" t="s">
        <v>1949</v>
      </c>
      <c r="F316" s="87" t="s">
        <v>1648</v>
      </c>
      <c r="G316" s="87" t="s">
        <v>1648</v>
      </c>
      <c r="H316" s="244">
        <v>624</v>
      </c>
      <c r="I316" s="87" t="s">
        <v>1649</v>
      </c>
      <c r="J316" s="244">
        <v>0</v>
      </c>
      <c r="K316" s="87" t="s">
        <v>1649</v>
      </c>
      <c r="L316" s="87" t="s">
        <v>1649</v>
      </c>
      <c r="M316" s="244">
        <v>0</v>
      </c>
      <c r="N316" s="87" t="s">
        <v>1648</v>
      </c>
      <c r="O316" s="87" t="s">
        <v>1648</v>
      </c>
      <c r="P316" s="87" t="s">
        <v>1648</v>
      </c>
      <c r="Q316" s="244">
        <v>108</v>
      </c>
      <c r="R316" s="244">
        <v>3088</v>
      </c>
      <c r="S316" s="244">
        <v>1</v>
      </c>
      <c r="T316" s="244">
        <v>30</v>
      </c>
      <c r="U316" s="244">
        <v>18</v>
      </c>
      <c r="V316" s="244">
        <v>161</v>
      </c>
      <c r="W316" s="244">
        <v>0</v>
      </c>
      <c r="X316" s="244">
        <v>0</v>
      </c>
      <c r="Y316" s="244">
        <v>46</v>
      </c>
      <c r="Z316" s="244">
        <v>2495</v>
      </c>
      <c r="AA316" s="87" t="s">
        <v>1648</v>
      </c>
      <c r="AB316" s="87" t="s">
        <v>1648</v>
      </c>
      <c r="AC316" s="244">
        <v>104</v>
      </c>
      <c r="AD316" s="87" t="s">
        <v>1648</v>
      </c>
      <c r="AE316" s="244">
        <v>12970</v>
      </c>
      <c r="AF316" s="87" t="s">
        <v>1651</v>
      </c>
      <c r="AG316" s="87" t="s">
        <v>1648</v>
      </c>
      <c r="AH316" s="87" t="s">
        <v>1648</v>
      </c>
      <c r="AI316" s="87" t="s">
        <v>1649</v>
      </c>
      <c r="AJ316" s="87" t="s">
        <v>1648</v>
      </c>
    </row>
    <row r="317" spans="1:36" ht="13.5" thickBot="1" x14ac:dyDescent="0.25">
      <c r="A317" s="48" t="s">
        <v>188</v>
      </c>
      <c r="B317" s="347" t="s">
        <v>187</v>
      </c>
      <c r="C317" s="48" t="s">
        <v>3098</v>
      </c>
      <c r="D317" s="48" t="s">
        <v>39</v>
      </c>
      <c r="E317" s="48" t="s">
        <v>1919</v>
      </c>
      <c r="F317" s="87" t="s">
        <v>1648</v>
      </c>
      <c r="G317" s="87" t="s">
        <v>1648</v>
      </c>
      <c r="H317" s="244">
        <v>494</v>
      </c>
      <c r="I317" s="87" t="s">
        <v>1649</v>
      </c>
      <c r="J317" s="244">
        <v>0</v>
      </c>
      <c r="K317" s="87" t="s">
        <v>1649</v>
      </c>
      <c r="L317" s="87" t="s">
        <v>1649</v>
      </c>
      <c r="M317" s="244">
        <v>0</v>
      </c>
      <c r="N317" s="87" t="s">
        <v>1648</v>
      </c>
      <c r="O317" s="87" t="s">
        <v>1648</v>
      </c>
      <c r="P317" s="87" t="s">
        <v>1648</v>
      </c>
      <c r="Q317" s="244">
        <v>0</v>
      </c>
      <c r="R317" s="244">
        <v>0</v>
      </c>
      <c r="S317" s="244">
        <v>0</v>
      </c>
      <c r="T317" s="244">
        <v>0</v>
      </c>
      <c r="U317" s="244">
        <v>0</v>
      </c>
      <c r="V317" s="244">
        <v>0</v>
      </c>
      <c r="W317" s="244">
        <v>0</v>
      </c>
      <c r="X317" s="244">
        <v>0</v>
      </c>
      <c r="Y317" s="244">
        <v>0</v>
      </c>
      <c r="Z317" s="244">
        <v>0</v>
      </c>
      <c r="AA317" s="87" t="s">
        <v>1648</v>
      </c>
      <c r="AB317" s="87" t="s">
        <v>1649</v>
      </c>
      <c r="AC317" s="87" t="s">
        <v>1660</v>
      </c>
      <c r="AD317" s="87" t="s">
        <v>1648</v>
      </c>
      <c r="AE317" s="244">
        <v>56746</v>
      </c>
      <c r="AF317" s="87" t="s">
        <v>1651</v>
      </c>
      <c r="AG317" s="87" t="s">
        <v>1649</v>
      </c>
      <c r="AH317" s="87" t="s">
        <v>1648</v>
      </c>
      <c r="AI317" s="87" t="s">
        <v>1649</v>
      </c>
      <c r="AJ317" s="87" t="s">
        <v>1648</v>
      </c>
    </row>
    <row r="318" spans="1:36" ht="13.5" thickBot="1" x14ac:dyDescent="0.25">
      <c r="A318" s="48" t="s">
        <v>190</v>
      </c>
      <c r="B318" s="347" t="s">
        <v>189</v>
      </c>
      <c r="C318" s="48" t="s">
        <v>3055</v>
      </c>
      <c r="D318" s="48" t="s">
        <v>39</v>
      </c>
      <c r="E318" s="48" t="s">
        <v>1949</v>
      </c>
      <c r="F318" s="87" t="s">
        <v>1648</v>
      </c>
      <c r="G318" s="87" t="s">
        <v>1649</v>
      </c>
      <c r="H318" s="244">
        <v>40</v>
      </c>
      <c r="I318" s="87" t="s">
        <v>1649</v>
      </c>
      <c r="J318" s="244">
        <v>0</v>
      </c>
      <c r="K318" s="87" t="s">
        <v>1649</v>
      </c>
      <c r="L318" s="87" t="s">
        <v>1649</v>
      </c>
      <c r="M318" s="244">
        <v>0</v>
      </c>
      <c r="N318" s="87" t="s">
        <v>1648</v>
      </c>
      <c r="O318" s="87" t="s">
        <v>1648</v>
      </c>
      <c r="P318" s="87" t="s">
        <v>1648</v>
      </c>
      <c r="Q318" s="244">
        <v>13</v>
      </c>
      <c r="R318" s="244">
        <v>100</v>
      </c>
      <c r="S318" s="244">
        <v>4</v>
      </c>
      <c r="T318" s="244">
        <v>35</v>
      </c>
      <c r="U318" s="244">
        <v>0</v>
      </c>
      <c r="V318" s="244">
        <v>0</v>
      </c>
      <c r="W318" s="244">
        <v>1</v>
      </c>
      <c r="X318" s="244">
        <v>12</v>
      </c>
      <c r="Y318" s="244">
        <v>12</v>
      </c>
      <c r="Z318" s="244">
        <v>150</v>
      </c>
      <c r="AA318" s="87" t="s">
        <v>1649</v>
      </c>
      <c r="AB318" s="87" t="s">
        <v>1648</v>
      </c>
      <c r="AC318" s="244">
        <v>5</v>
      </c>
      <c r="AD318" s="87" t="s">
        <v>1649</v>
      </c>
      <c r="AE318" s="244">
        <v>9520</v>
      </c>
      <c r="AF318" s="87" t="s">
        <v>1651</v>
      </c>
      <c r="AG318" s="87" t="s">
        <v>1648</v>
      </c>
      <c r="AH318" s="87" t="s">
        <v>1648</v>
      </c>
      <c r="AI318" s="87" t="s">
        <v>1649</v>
      </c>
      <c r="AJ318" s="87" t="s">
        <v>1649</v>
      </c>
    </row>
    <row r="319" spans="1:36" ht="13.5" thickBot="1" x14ac:dyDescent="0.25">
      <c r="A319" s="48" t="s">
        <v>200</v>
      </c>
      <c r="B319" s="347" t="s">
        <v>199</v>
      </c>
      <c r="C319" s="48" t="s">
        <v>3098</v>
      </c>
      <c r="D319" s="48" t="s">
        <v>39</v>
      </c>
      <c r="E319" s="48" t="s">
        <v>1949</v>
      </c>
      <c r="F319" s="87" t="s">
        <v>1648</v>
      </c>
      <c r="G319" s="87" t="s">
        <v>1649</v>
      </c>
      <c r="H319" s="244">
        <v>0</v>
      </c>
      <c r="I319" s="87" t="s">
        <v>1649</v>
      </c>
      <c r="J319" s="244">
        <v>0</v>
      </c>
      <c r="K319" s="87" t="s">
        <v>1649</v>
      </c>
      <c r="L319" s="87" t="s">
        <v>1649</v>
      </c>
      <c r="M319" s="244">
        <v>0</v>
      </c>
      <c r="N319" s="87" t="s">
        <v>1648</v>
      </c>
      <c r="O319" s="87" t="s">
        <v>1648</v>
      </c>
      <c r="P319" s="87" t="s">
        <v>1648</v>
      </c>
      <c r="Q319" s="244">
        <v>5</v>
      </c>
      <c r="R319" s="244">
        <v>105</v>
      </c>
      <c r="S319" s="244">
        <v>3</v>
      </c>
      <c r="T319" s="244">
        <v>17</v>
      </c>
      <c r="U319" s="244">
        <v>1</v>
      </c>
      <c r="V319" s="244">
        <v>9</v>
      </c>
      <c r="W319" s="244">
        <v>0</v>
      </c>
      <c r="X319" s="244">
        <v>0</v>
      </c>
      <c r="Y319" s="244">
        <v>77</v>
      </c>
      <c r="Z319" s="244">
        <v>15457</v>
      </c>
      <c r="AA319" s="87" t="s">
        <v>1649</v>
      </c>
      <c r="AB319" s="87" t="s">
        <v>1648</v>
      </c>
      <c r="AC319" s="244">
        <v>337</v>
      </c>
      <c r="AD319" s="87" t="s">
        <v>1648</v>
      </c>
      <c r="AE319" s="244">
        <v>20500</v>
      </c>
      <c r="AF319" s="87" t="s">
        <v>1650</v>
      </c>
      <c r="AG319" s="87" t="s">
        <v>1648</v>
      </c>
      <c r="AH319" s="87" t="s">
        <v>1648</v>
      </c>
      <c r="AI319" s="87" t="s">
        <v>1648</v>
      </c>
      <c r="AJ319" s="87" t="s">
        <v>1648</v>
      </c>
    </row>
    <row r="320" spans="1:36" ht="13.5" thickBot="1" x14ac:dyDescent="0.25">
      <c r="A320" s="48" t="s">
        <v>218</v>
      </c>
      <c r="B320" s="347" t="s">
        <v>217</v>
      </c>
      <c r="C320" s="48" t="s">
        <v>3061</v>
      </c>
      <c r="D320" s="48" t="s">
        <v>39</v>
      </c>
      <c r="E320" s="48" t="s">
        <v>1949</v>
      </c>
      <c r="F320" s="87" t="s">
        <v>1648</v>
      </c>
      <c r="G320" s="87" t="s">
        <v>1648</v>
      </c>
      <c r="H320" s="244">
        <v>800</v>
      </c>
      <c r="I320" s="87" t="s">
        <v>1649</v>
      </c>
      <c r="J320" s="244">
        <v>0</v>
      </c>
      <c r="K320" s="87" t="s">
        <v>1649</v>
      </c>
      <c r="L320" s="87" t="s">
        <v>1649</v>
      </c>
      <c r="M320" s="244">
        <v>0</v>
      </c>
      <c r="N320" s="87" t="s">
        <v>1648</v>
      </c>
      <c r="O320" s="87" t="s">
        <v>1648</v>
      </c>
      <c r="P320" s="87" t="s">
        <v>1648</v>
      </c>
      <c r="Q320" s="244">
        <v>29</v>
      </c>
      <c r="R320" s="244">
        <v>1384</v>
      </c>
      <c r="S320" s="244">
        <v>4</v>
      </c>
      <c r="T320" s="244">
        <v>7</v>
      </c>
      <c r="U320" s="244">
        <v>14</v>
      </c>
      <c r="V320" s="244">
        <v>105</v>
      </c>
      <c r="W320" s="244">
        <v>0</v>
      </c>
      <c r="X320" s="244">
        <v>0</v>
      </c>
      <c r="Y320" s="244">
        <v>0</v>
      </c>
      <c r="Z320" s="244">
        <v>0</v>
      </c>
      <c r="AA320" s="87" t="s">
        <v>1648</v>
      </c>
      <c r="AB320" s="87" t="s">
        <v>1648</v>
      </c>
      <c r="AC320" s="244">
        <v>192</v>
      </c>
      <c r="AD320" s="87" t="s">
        <v>1648</v>
      </c>
      <c r="AE320" s="244">
        <v>21408</v>
      </c>
      <c r="AF320" s="87" t="s">
        <v>1650</v>
      </c>
      <c r="AG320" s="87" t="s">
        <v>1648</v>
      </c>
      <c r="AH320" s="87" t="s">
        <v>1649</v>
      </c>
      <c r="AI320" s="87" t="s">
        <v>1648</v>
      </c>
      <c r="AJ320" s="87" t="s">
        <v>1648</v>
      </c>
    </row>
    <row r="321" spans="1:36" ht="13.5" thickBot="1" x14ac:dyDescent="0.25">
      <c r="A321" s="48" t="s">
        <v>228</v>
      </c>
      <c r="B321" s="347" t="s">
        <v>227</v>
      </c>
      <c r="C321" s="48" t="s">
        <v>3053</v>
      </c>
      <c r="D321" s="48" t="s">
        <v>39</v>
      </c>
      <c r="E321" s="48" t="s">
        <v>894</v>
      </c>
      <c r="F321" s="87" t="s">
        <v>1648</v>
      </c>
      <c r="G321" s="87" t="s">
        <v>1648</v>
      </c>
      <c r="H321" s="244">
        <v>1504</v>
      </c>
      <c r="I321" s="87" t="s">
        <v>1648</v>
      </c>
      <c r="J321" s="244">
        <v>216</v>
      </c>
      <c r="K321" s="87" t="s">
        <v>1649</v>
      </c>
      <c r="L321" s="87" t="s">
        <v>1649</v>
      </c>
      <c r="M321" s="244">
        <v>0</v>
      </c>
      <c r="N321" s="87" t="s">
        <v>1648</v>
      </c>
      <c r="O321" s="87" t="s">
        <v>1648</v>
      </c>
      <c r="P321" s="87" t="s">
        <v>1648</v>
      </c>
      <c r="Q321" s="244">
        <v>0</v>
      </c>
      <c r="R321" s="244">
        <v>0</v>
      </c>
      <c r="S321" s="244">
        <v>1</v>
      </c>
      <c r="T321" s="244">
        <v>22</v>
      </c>
      <c r="U321" s="244">
        <v>0</v>
      </c>
      <c r="V321" s="244">
        <v>0</v>
      </c>
      <c r="W321" s="244">
        <v>0</v>
      </c>
      <c r="X321" s="244">
        <v>0</v>
      </c>
      <c r="Y321" s="244">
        <v>117</v>
      </c>
      <c r="Z321" s="244">
        <v>11430</v>
      </c>
      <c r="AA321" s="87" t="s">
        <v>1648</v>
      </c>
      <c r="AB321" s="87" t="s">
        <v>1648</v>
      </c>
      <c r="AC321" s="244">
        <v>3</v>
      </c>
      <c r="AD321" s="87" t="s">
        <v>1648</v>
      </c>
      <c r="AE321" s="244">
        <v>20470</v>
      </c>
      <c r="AF321" s="87" t="s">
        <v>1651</v>
      </c>
      <c r="AG321" s="87" t="s">
        <v>1648</v>
      </c>
      <c r="AH321" s="87" t="s">
        <v>1648</v>
      </c>
      <c r="AI321" s="87" t="s">
        <v>1649</v>
      </c>
      <c r="AJ321" s="87" t="s">
        <v>1648</v>
      </c>
    </row>
    <row r="322" spans="1:36" ht="13.5" thickBot="1" x14ac:dyDescent="0.25">
      <c r="A322" s="48" t="s">
        <v>240</v>
      </c>
      <c r="B322" s="347" t="s">
        <v>239</v>
      </c>
      <c r="C322" s="48" t="s">
        <v>3061</v>
      </c>
      <c r="D322" s="48" t="s">
        <v>39</v>
      </c>
      <c r="E322" s="48" t="s">
        <v>890</v>
      </c>
      <c r="F322" s="87" t="s">
        <v>1648</v>
      </c>
      <c r="G322" s="87" t="s">
        <v>1648</v>
      </c>
      <c r="H322" s="244">
        <v>300</v>
      </c>
      <c r="I322" s="87" t="s">
        <v>1648</v>
      </c>
      <c r="J322" s="244">
        <v>1259</v>
      </c>
      <c r="K322" s="87" t="s">
        <v>1649</v>
      </c>
      <c r="L322" s="87" t="s">
        <v>1648</v>
      </c>
      <c r="M322" s="244">
        <v>50000</v>
      </c>
      <c r="N322" s="87" t="s">
        <v>1648</v>
      </c>
      <c r="O322" s="87" t="s">
        <v>1648</v>
      </c>
      <c r="P322" s="87" t="s">
        <v>1648</v>
      </c>
      <c r="Q322" s="244">
        <v>30</v>
      </c>
      <c r="R322" s="244">
        <v>643</v>
      </c>
      <c r="S322" s="244">
        <v>77</v>
      </c>
      <c r="T322" s="244">
        <v>315</v>
      </c>
      <c r="U322" s="244">
        <v>13</v>
      </c>
      <c r="V322" s="244">
        <v>232</v>
      </c>
      <c r="W322" s="244">
        <v>6</v>
      </c>
      <c r="X322" s="244">
        <v>804</v>
      </c>
      <c r="Y322" s="244">
        <v>27</v>
      </c>
      <c r="Z322" s="244">
        <v>63000</v>
      </c>
      <c r="AA322" s="87" t="s">
        <v>1648</v>
      </c>
      <c r="AB322" s="87" t="s">
        <v>1648</v>
      </c>
      <c r="AC322" s="244">
        <v>163</v>
      </c>
      <c r="AD322" s="87" t="s">
        <v>1648</v>
      </c>
      <c r="AE322" s="244">
        <v>20000</v>
      </c>
      <c r="AF322" s="87" t="s">
        <v>1650</v>
      </c>
      <c r="AG322" s="87" t="s">
        <v>1648</v>
      </c>
      <c r="AH322" s="87" t="s">
        <v>1648</v>
      </c>
      <c r="AI322" s="87" t="s">
        <v>1648</v>
      </c>
      <c r="AJ322" s="87" t="s">
        <v>1648</v>
      </c>
    </row>
    <row r="323" spans="1:36" ht="13.5" thickBot="1" x14ac:dyDescent="0.25">
      <c r="A323" s="48" t="s">
        <v>242</v>
      </c>
      <c r="B323" s="347" t="s">
        <v>241</v>
      </c>
      <c r="C323" s="48" t="s">
        <v>3144</v>
      </c>
      <c r="D323" s="48" t="s">
        <v>39</v>
      </c>
      <c r="E323" s="48" t="s">
        <v>890</v>
      </c>
      <c r="F323" s="87" t="s">
        <v>1648</v>
      </c>
      <c r="G323" s="87" t="s">
        <v>1648</v>
      </c>
      <c r="H323" s="244">
        <v>655</v>
      </c>
      <c r="I323" s="87" t="s">
        <v>1648</v>
      </c>
      <c r="J323" s="244">
        <v>2044</v>
      </c>
      <c r="K323" s="87" t="s">
        <v>1649</v>
      </c>
      <c r="L323" s="87" t="s">
        <v>1649</v>
      </c>
      <c r="M323" s="244">
        <v>0</v>
      </c>
      <c r="N323" s="87" t="s">
        <v>1648</v>
      </c>
      <c r="O323" s="87" t="s">
        <v>1648</v>
      </c>
      <c r="P323" s="87" t="s">
        <v>1648</v>
      </c>
      <c r="Q323" s="244">
        <v>0</v>
      </c>
      <c r="R323" s="244">
        <v>0</v>
      </c>
      <c r="S323" s="244">
        <v>0</v>
      </c>
      <c r="T323" s="244">
        <v>0</v>
      </c>
      <c r="U323" s="244">
        <v>9</v>
      </c>
      <c r="V323" s="244">
        <v>29</v>
      </c>
      <c r="W323" s="244">
        <v>9</v>
      </c>
      <c r="X323" s="244">
        <v>90</v>
      </c>
      <c r="Y323" s="244">
        <v>20</v>
      </c>
      <c r="Z323" s="244">
        <v>4141</v>
      </c>
      <c r="AA323" s="87" t="s">
        <v>1648</v>
      </c>
      <c r="AB323" s="87" t="s">
        <v>1649</v>
      </c>
      <c r="AC323" s="244">
        <v>0</v>
      </c>
      <c r="AD323" s="87" t="s">
        <v>1648</v>
      </c>
      <c r="AE323" s="244">
        <v>11213</v>
      </c>
      <c r="AF323" s="87" t="s">
        <v>1651</v>
      </c>
      <c r="AG323" s="87" t="s">
        <v>1648</v>
      </c>
      <c r="AH323" s="87" t="s">
        <v>1648</v>
      </c>
      <c r="AI323" s="87" t="s">
        <v>1649</v>
      </c>
      <c r="AJ323" s="87" t="s">
        <v>1649</v>
      </c>
    </row>
    <row r="324" spans="1:36" ht="13.5" thickBot="1" x14ac:dyDescent="0.25">
      <c r="A324" s="48" t="s">
        <v>300</v>
      </c>
      <c r="B324" s="347" t="s">
        <v>299</v>
      </c>
      <c r="C324" s="48" t="s">
        <v>3098</v>
      </c>
      <c r="D324" s="48" t="s">
        <v>39</v>
      </c>
      <c r="E324" s="48" t="s">
        <v>890</v>
      </c>
      <c r="F324" s="87" t="s">
        <v>1648</v>
      </c>
      <c r="G324" s="87" t="s">
        <v>1648</v>
      </c>
      <c r="H324" s="244">
        <v>468</v>
      </c>
      <c r="I324" s="87" t="s">
        <v>1649</v>
      </c>
      <c r="J324" s="244">
        <v>0</v>
      </c>
      <c r="K324" s="87" t="s">
        <v>1649</v>
      </c>
      <c r="L324" s="87" t="s">
        <v>1649</v>
      </c>
      <c r="M324" s="244">
        <v>0</v>
      </c>
      <c r="N324" s="87" t="s">
        <v>1648</v>
      </c>
      <c r="O324" s="87" t="s">
        <v>1648</v>
      </c>
      <c r="P324" s="87" t="s">
        <v>1648</v>
      </c>
      <c r="Q324" s="244">
        <v>19</v>
      </c>
      <c r="R324" s="244">
        <v>76</v>
      </c>
      <c r="S324" s="244">
        <v>0</v>
      </c>
      <c r="T324" s="244">
        <v>0</v>
      </c>
      <c r="U324" s="244">
        <v>0</v>
      </c>
      <c r="V324" s="244">
        <v>0</v>
      </c>
      <c r="W324" s="244">
        <v>0</v>
      </c>
      <c r="X324" s="244">
        <v>0</v>
      </c>
      <c r="Y324" s="244">
        <v>21</v>
      </c>
      <c r="Z324" s="244">
        <v>1767</v>
      </c>
      <c r="AA324" s="87" t="s">
        <v>1648</v>
      </c>
      <c r="AB324" s="87" t="s">
        <v>1649</v>
      </c>
      <c r="AC324" s="87" t="s">
        <v>1660</v>
      </c>
      <c r="AD324" s="87" t="s">
        <v>1648</v>
      </c>
      <c r="AE324" s="244">
        <v>4300</v>
      </c>
      <c r="AF324" s="87" t="s">
        <v>1650</v>
      </c>
      <c r="AG324" s="87" t="s">
        <v>1648</v>
      </c>
      <c r="AH324" s="87" t="s">
        <v>1648</v>
      </c>
      <c r="AI324" s="87" t="s">
        <v>1649</v>
      </c>
      <c r="AJ324" s="87" t="s">
        <v>1648</v>
      </c>
    </row>
    <row r="325" spans="1:36" ht="13.5" thickBot="1" x14ac:dyDescent="0.25">
      <c r="A325" s="48" t="s">
        <v>308</v>
      </c>
      <c r="B325" s="347" t="s">
        <v>307</v>
      </c>
      <c r="C325" s="48" t="s">
        <v>3074</v>
      </c>
      <c r="D325" s="48" t="s">
        <v>39</v>
      </c>
      <c r="E325" s="48" t="s">
        <v>1919</v>
      </c>
      <c r="F325" s="257" t="s">
        <v>1648</v>
      </c>
      <c r="G325" s="87" t="s">
        <v>1649</v>
      </c>
      <c r="H325" s="244">
        <v>0</v>
      </c>
      <c r="I325" s="87" t="s">
        <v>1649</v>
      </c>
      <c r="J325" s="244">
        <v>0</v>
      </c>
      <c r="K325" s="87" t="s">
        <v>1649</v>
      </c>
      <c r="L325" s="87" t="s">
        <v>1649</v>
      </c>
      <c r="M325" s="244">
        <v>0</v>
      </c>
      <c r="N325" s="87" t="s">
        <v>1649</v>
      </c>
      <c r="O325" s="87" t="s">
        <v>1649</v>
      </c>
      <c r="P325" s="87" t="s">
        <v>1649</v>
      </c>
      <c r="Q325" s="244">
        <v>0</v>
      </c>
      <c r="R325" s="244">
        <v>0</v>
      </c>
      <c r="S325" s="244">
        <v>0</v>
      </c>
      <c r="T325" s="244">
        <v>0</v>
      </c>
      <c r="U325" s="244">
        <v>0</v>
      </c>
      <c r="V325" s="244">
        <v>0</v>
      </c>
      <c r="W325" s="244">
        <v>0</v>
      </c>
      <c r="X325" s="244">
        <v>0</v>
      </c>
      <c r="Y325" s="244">
        <v>0</v>
      </c>
      <c r="Z325" s="244">
        <v>0</v>
      </c>
      <c r="AA325" s="87" t="s">
        <v>1649</v>
      </c>
      <c r="AB325" s="87" t="s">
        <v>1649</v>
      </c>
      <c r="AC325" s="244">
        <v>0</v>
      </c>
      <c r="AD325" s="87" t="s">
        <v>1649</v>
      </c>
      <c r="AE325" s="244">
        <v>108443</v>
      </c>
      <c r="AF325" s="87" t="s">
        <v>1650</v>
      </c>
      <c r="AG325" s="87" t="s">
        <v>1649</v>
      </c>
      <c r="AH325" s="87" t="s">
        <v>1649</v>
      </c>
      <c r="AI325" s="87" t="s">
        <v>1648</v>
      </c>
      <c r="AJ325" s="87" t="s">
        <v>1649</v>
      </c>
    </row>
    <row r="326" spans="1:36" ht="13.5" thickBot="1" x14ac:dyDescent="0.25">
      <c r="A326" s="48" t="s">
        <v>328</v>
      </c>
      <c r="B326" s="347" t="s">
        <v>327</v>
      </c>
      <c r="C326" s="48" t="s">
        <v>3074</v>
      </c>
      <c r="D326" s="48" t="s">
        <v>39</v>
      </c>
      <c r="E326" s="48" t="s">
        <v>1949</v>
      </c>
      <c r="F326" s="87" t="s">
        <v>1648</v>
      </c>
      <c r="G326" s="87" t="s">
        <v>1648</v>
      </c>
      <c r="H326" s="244">
        <v>312</v>
      </c>
      <c r="I326" s="87" t="s">
        <v>1648</v>
      </c>
      <c r="J326" s="244">
        <v>200</v>
      </c>
      <c r="K326" s="87" t="s">
        <v>1649</v>
      </c>
      <c r="L326" s="87" t="s">
        <v>1648</v>
      </c>
      <c r="M326" s="244">
        <v>8000</v>
      </c>
      <c r="N326" s="87" t="s">
        <v>1648</v>
      </c>
      <c r="O326" s="87" t="s">
        <v>1648</v>
      </c>
      <c r="P326" s="87" t="s">
        <v>1648</v>
      </c>
      <c r="Q326" s="244">
        <v>37</v>
      </c>
      <c r="R326" s="244">
        <v>12606</v>
      </c>
      <c r="S326" s="244">
        <v>33</v>
      </c>
      <c r="T326" s="244">
        <v>3912</v>
      </c>
      <c r="U326" s="244">
        <v>96</v>
      </c>
      <c r="V326" s="244">
        <v>36324</v>
      </c>
      <c r="W326" s="244">
        <v>32</v>
      </c>
      <c r="X326" s="244">
        <v>1166</v>
      </c>
      <c r="Y326" s="244">
        <v>20</v>
      </c>
      <c r="Z326" s="244">
        <v>10726</v>
      </c>
      <c r="AA326" s="87" t="s">
        <v>1648</v>
      </c>
      <c r="AB326" s="87" t="s">
        <v>1648</v>
      </c>
      <c r="AC326" s="244">
        <v>48</v>
      </c>
      <c r="AD326" s="87" t="s">
        <v>1648</v>
      </c>
      <c r="AE326" s="244">
        <v>45023</v>
      </c>
      <c r="AF326" s="87" t="s">
        <v>1650</v>
      </c>
      <c r="AG326" s="87" t="s">
        <v>1648</v>
      </c>
      <c r="AH326" s="87" t="s">
        <v>1648</v>
      </c>
      <c r="AI326" s="87" t="s">
        <v>1649</v>
      </c>
      <c r="AJ326" s="87" t="s">
        <v>1648</v>
      </c>
    </row>
    <row r="327" spans="1:36" ht="13.5" thickBot="1" x14ac:dyDescent="0.25">
      <c r="A327" s="48" t="s">
        <v>386</v>
      </c>
      <c r="B327" s="347" t="s">
        <v>385</v>
      </c>
      <c r="C327" s="48" t="s">
        <v>3058</v>
      </c>
      <c r="D327" s="48" t="s">
        <v>39</v>
      </c>
      <c r="E327" s="48" t="s">
        <v>1949</v>
      </c>
      <c r="F327" s="87" t="s">
        <v>1648</v>
      </c>
      <c r="G327" s="87" t="s">
        <v>1648</v>
      </c>
      <c r="H327" s="244">
        <v>1368</v>
      </c>
      <c r="I327" s="87" t="s">
        <v>1648</v>
      </c>
      <c r="J327" s="244">
        <v>2472</v>
      </c>
      <c r="K327" s="87" t="s">
        <v>1649</v>
      </c>
      <c r="L327" s="87" t="s">
        <v>1649</v>
      </c>
      <c r="M327" s="244">
        <v>0</v>
      </c>
      <c r="N327" s="87" t="s">
        <v>1649</v>
      </c>
      <c r="O327" s="87" t="s">
        <v>1648</v>
      </c>
      <c r="P327" s="87" t="s">
        <v>1648</v>
      </c>
      <c r="Q327" s="244">
        <v>8</v>
      </c>
      <c r="R327" s="244">
        <v>120</v>
      </c>
      <c r="S327" s="244">
        <v>0</v>
      </c>
      <c r="T327" s="244">
        <v>0</v>
      </c>
      <c r="U327" s="244">
        <v>2</v>
      </c>
      <c r="V327" s="244">
        <v>41</v>
      </c>
      <c r="W327" s="244">
        <v>0</v>
      </c>
      <c r="X327" s="244">
        <v>0</v>
      </c>
      <c r="Y327" s="244">
        <v>4</v>
      </c>
      <c r="Z327" s="244">
        <v>20</v>
      </c>
      <c r="AA327" s="87" t="s">
        <v>1648</v>
      </c>
      <c r="AB327" s="87" t="s">
        <v>1649</v>
      </c>
      <c r="AC327" s="244">
        <v>0</v>
      </c>
      <c r="AD327" s="87" t="s">
        <v>1648</v>
      </c>
      <c r="AE327" s="244">
        <v>19422</v>
      </c>
      <c r="AF327" s="87" t="s">
        <v>1650</v>
      </c>
      <c r="AG327" s="87" t="s">
        <v>1648</v>
      </c>
      <c r="AH327" s="87" t="s">
        <v>1648</v>
      </c>
      <c r="AI327" s="87" t="s">
        <v>1649</v>
      </c>
      <c r="AJ327" s="87" t="s">
        <v>1649</v>
      </c>
    </row>
    <row r="328" spans="1:36" ht="13.5" thickBot="1" x14ac:dyDescent="0.25">
      <c r="A328" s="48" t="s">
        <v>431</v>
      </c>
      <c r="B328" s="347" t="s">
        <v>430</v>
      </c>
      <c r="C328" s="48" t="s">
        <v>3061</v>
      </c>
      <c r="D328" s="48" t="s">
        <v>39</v>
      </c>
      <c r="E328" s="48" t="s">
        <v>1949</v>
      </c>
      <c r="F328" s="257" t="s">
        <v>1648</v>
      </c>
      <c r="G328" s="87" t="s">
        <v>1649</v>
      </c>
      <c r="H328" s="244">
        <v>0</v>
      </c>
      <c r="I328" s="87" t="s">
        <v>1649</v>
      </c>
      <c r="J328" s="244">
        <v>0</v>
      </c>
      <c r="K328" s="87" t="s">
        <v>1649</v>
      </c>
      <c r="L328" s="87" t="s">
        <v>1649</v>
      </c>
      <c r="M328" s="244">
        <v>0</v>
      </c>
      <c r="N328" s="87" t="s">
        <v>1649</v>
      </c>
      <c r="O328" s="87" t="s">
        <v>1649</v>
      </c>
      <c r="P328" s="87" t="s">
        <v>1649</v>
      </c>
      <c r="Q328" s="244">
        <v>0</v>
      </c>
      <c r="R328" s="244">
        <v>0</v>
      </c>
      <c r="S328" s="244">
        <v>0</v>
      </c>
      <c r="T328" s="244">
        <v>0</v>
      </c>
      <c r="U328" s="244">
        <v>0</v>
      </c>
      <c r="V328" s="244">
        <v>0</v>
      </c>
      <c r="W328" s="244">
        <v>0</v>
      </c>
      <c r="X328" s="244">
        <v>0</v>
      </c>
      <c r="Y328" s="244">
        <v>0</v>
      </c>
      <c r="Z328" s="244">
        <v>0</v>
      </c>
      <c r="AA328" s="87" t="s">
        <v>1649</v>
      </c>
      <c r="AB328" s="87" t="s">
        <v>1649</v>
      </c>
      <c r="AC328" s="244">
        <v>0</v>
      </c>
      <c r="AD328" s="87" t="s">
        <v>1649</v>
      </c>
      <c r="AE328" s="244">
        <v>8750</v>
      </c>
      <c r="AF328" s="87" t="s">
        <v>1650</v>
      </c>
      <c r="AG328" s="87" t="s">
        <v>1649</v>
      </c>
      <c r="AH328" s="87" t="s">
        <v>1649</v>
      </c>
      <c r="AI328" s="87" t="s">
        <v>1649</v>
      </c>
      <c r="AJ328" s="87" t="s">
        <v>1649</v>
      </c>
    </row>
    <row r="329" spans="1:36" ht="13.5" thickBot="1" x14ac:dyDescent="0.25">
      <c r="A329" s="48" t="s">
        <v>437</v>
      </c>
      <c r="B329" s="347" t="s">
        <v>436</v>
      </c>
      <c r="C329" s="48" t="s">
        <v>3098</v>
      </c>
      <c r="D329" s="48" t="s">
        <v>39</v>
      </c>
      <c r="E329" s="48" t="s">
        <v>890</v>
      </c>
      <c r="F329" s="87" t="s">
        <v>1648</v>
      </c>
      <c r="G329" s="87" t="s">
        <v>1648</v>
      </c>
      <c r="H329" s="244">
        <v>160</v>
      </c>
      <c r="I329" s="87" t="s">
        <v>1648</v>
      </c>
      <c r="J329" s="244">
        <v>480</v>
      </c>
      <c r="K329" s="87" t="s">
        <v>1649</v>
      </c>
      <c r="L329" s="87" t="s">
        <v>1649</v>
      </c>
      <c r="M329" s="244">
        <v>0</v>
      </c>
      <c r="N329" s="87" t="s">
        <v>1649</v>
      </c>
      <c r="O329" s="87" t="s">
        <v>1649</v>
      </c>
      <c r="P329" s="87" t="s">
        <v>1648</v>
      </c>
      <c r="Q329" s="244">
        <v>6</v>
      </c>
      <c r="R329" s="244">
        <v>58</v>
      </c>
      <c r="S329" s="244">
        <v>0</v>
      </c>
      <c r="T329" s="244">
        <v>0</v>
      </c>
      <c r="U329" s="244">
        <v>0</v>
      </c>
      <c r="V329" s="244">
        <v>0</v>
      </c>
      <c r="W329" s="244">
        <v>0</v>
      </c>
      <c r="X329" s="244">
        <v>0</v>
      </c>
      <c r="Y329" s="244">
        <v>6</v>
      </c>
      <c r="Z329" s="244">
        <v>58</v>
      </c>
      <c r="AA329" s="87" t="s">
        <v>1649</v>
      </c>
      <c r="AB329" s="87" t="s">
        <v>1649</v>
      </c>
      <c r="AC329" s="244">
        <v>0</v>
      </c>
      <c r="AD329" s="87" t="s">
        <v>1648</v>
      </c>
      <c r="AE329" s="244">
        <v>951</v>
      </c>
      <c r="AF329" s="87" t="s">
        <v>1651</v>
      </c>
      <c r="AG329" s="87" t="s">
        <v>1648</v>
      </c>
      <c r="AH329" s="87" t="s">
        <v>1648</v>
      </c>
      <c r="AI329" s="87" t="s">
        <v>1649</v>
      </c>
      <c r="AJ329" s="87" t="s">
        <v>1649</v>
      </c>
    </row>
    <row r="330" spans="1:36" ht="13.5" thickBot="1" x14ac:dyDescent="0.25">
      <c r="A330" s="48" t="s">
        <v>448</v>
      </c>
      <c r="B330" s="347" t="s">
        <v>447</v>
      </c>
      <c r="C330" s="48" t="s">
        <v>3074</v>
      </c>
      <c r="D330" s="48" t="s">
        <v>39</v>
      </c>
      <c r="E330" s="48" t="s">
        <v>1949</v>
      </c>
      <c r="F330" s="87" t="s">
        <v>1648</v>
      </c>
      <c r="G330" s="87" t="s">
        <v>1648</v>
      </c>
      <c r="H330" s="244">
        <v>560</v>
      </c>
      <c r="I330" s="87" t="s">
        <v>1649</v>
      </c>
      <c r="J330" s="244">
        <v>435</v>
      </c>
      <c r="K330" s="87" t="s">
        <v>1649</v>
      </c>
      <c r="L330" s="87" t="s">
        <v>1649</v>
      </c>
      <c r="M330" s="244">
        <v>0</v>
      </c>
      <c r="N330" s="87" t="s">
        <v>1648</v>
      </c>
      <c r="O330" s="87" t="s">
        <v>1648</v>
      </c>
      <c r="P330" s="87" t="s">
        <v>1648</v>
      </c>
      <c r="Q330" s="244">
        <v>18</v>
      </c>
      <c r="R330" s="244">
        <v>670</v>
      </c>
      <c r="S330" s="244">
        <v>5</v>
      </c>
      <c r="T330" s="244">
        <v>37</v>
      </c>
      <c r="U330" s="244">
        <v>3</v>
      </c>
      <c r="V330" s="244">
        <v>89</v>
      </c>
      <c r="W330" s="244">
        <v>0</v>
      </c>
      <c r="X330" s="244">
        <v>0</v>
      </c>
      <c r="Y330" s="244">
        <v>26</v>
      </c>
      <c r="Z330" s="244">
        <v>796</v>
      </c>
      <c r="AA330" s="87" t="s">
        <v>1648</v>
      </c>
      <c r="AB330" s="87" t="s">
        <v>1648</v>
      </c>
      <c r="AC330" s="244">
        <v>253</v>
      </c>
      <c r="AD330" s="87" t="s">
        <v>1648</v>
      </c>
      <c r="AE330" s="244">
        <v>19413</v>
      </c>
      <c r="AF330" s="87" t="s">
        <v>1651</v>
      </c>
      <c r="AG330" s="87" t="s">
        <v>1648</v>
      </c>
      <c r="AH330" s="87" t="s">
        <v>1648</v>
      </c>
      <c r="AI330" s="87" t="s">
        <v>1649</v>
      </c>
      <c r="AJ330" s="87" t="s">
        <v>1648</v>
      </c>
    </row>
    <row r="331" spans="1:36" ht="13.5" thickBot="1" x14ac:dyDescent="0.25">
      <c r="A331" s="48" t="s">
        <v>464</v>
      </c>
      <c r="B331" s="347" t="s">
        <v>463</v>
      </c>
      <c r="C331" s="48" t="s">
        <v>3098</v>
      </c>
      <c r="D331" s="48" t="s">
        <v>39</v>
      </c>
      <c r="E331" s="48" t="s">
        <v>890</v>
      </c>
      <c r="F331" s="87" t="s">
        <v>1648</v>
      </c>
      <c r="G331" s="87" t="s">
        <v>1648</v>
      </c>
      <c r="H331" s="244">
        <v>1503</v>
      </c>
      <c r="I331" s="87" t="s">
        <v>1648</v>
      </c>
      <c r="J331" s="244">
        <v>2674</v>
      </c>
      <c r="K331" s="87" t="s">
        <v>1649</v>
      </c>
      <c r="L331" s="87" t="s">
        <v>1649</v>
      </c>
      <c r="M331" s="244">
        <v>0</v>
      </c>
      <c r="N331" s="87" t="s">
        <v>1648</v>
      </c>
      <c r="O331" s="87" t="s">
        <v>1648</v>
      </c>
      <c r="P331" s="87" t="s">
        <v>1648</v>
      </c>
      <c r="Q331" s="244">
        <v>0</v>
      </c>
      <c r="R331" s="244">
        <v>0</v>
      </c>
      <c r="S331" s="244">
        <v>0</v>
      </c>
      <c r="T331" s="244">
        <v>0</v>
      </c>
      <c r="U331" s="244">
        <v>3</v>
      </c>
      <c r="V331" s="244">
        <v>47</v>
      </c>
      <c r="W331" s="244">
        <v>0</v>
      </c>
      <c r="X331" s="244">
        <v>0</v>
      </c>
      <c r="Y331" s="244">
        <v>0</v>
      </c>
      <c r="Z331" s="244">
        <v>0</v>
      </c>
      <c r="AA331" s="87" t="s">
        <v>1649</v>
      </c>
      <c r="AB331" s="87" t="s">
        <v>1648</v>
      </c>
      <c r="AC331" s="244">
        <v>0</v>
      </c>
      <c r="AD331" s="87" t="s">
        <v>1648</v>
      </c>
      <c r="AE331" s="244">
        <v>5161</v>
      </c>
      <c r="AF331" s="87" t="s">
        <v>1650</v>
      </c>
      <c r="AG331" s="87" t="s">
        <v>1648</v>
      </c>
      <c r="AH331" s="87" t="s">
        <v>1649</v>
      </c>
      <c r="AI331" s="87" t="s">
        <v>1649</v>
      </c>
      <c r="AJ331" s="87" t="s">
        <v>1648</v>
      </c>
    </row>
    <row r="332" spans="1:36" ht="13.5" thickBot="1" x14ac:dyDescent="0.25">
      <c r="A332" s="48" t="s">
        <v>484</v>
      </c>
      <c r="B332" s="347" t="s">
        <v>483</v>
      </c>
      <c r="C332" s="48" t="s">
        <v>3059</v>
      </c>
      <c r="D332" s="48" t="s">
        <v>39</v>
      </c>
      <c r="E332" s="48" t="s">
        <v>1949</v>
      </c>
      <c r="F332" s="257" t="s">
        <v>1648</v>
      </c>
      <c r="G332" s="87" t="s">
        <v>1648</v>
      </c>
      <c r="H332" s="244">
        <v>207</v>
      </c>
      <c r="I332" s="87" t="s">
        <v>1649</v>
      </c>
      <c r="J332" s="244">
        <v>0</v>
      </c>
      <c r="K332" s="87" t="s">
        <v>1649</v>
      </c>
      <c r="L332" s="87" t="s">
        <v>1649</v>
      </c>
      <c r="M332" s="244">
        <v>0</v>
      </c>
      <c r="N332" s="87" t="s">
        <v>1649</v>
      </c>
      <c r="O332" s="87" t="s">
        <v>1648</v>
      </c>
      <c r="P332" s="87" t="s">
        <v>1648</v>
      </c>
      <c r="Q332" s="244">
        <v>4</v>
      </c>
      <c r="R332" s="244">
        <v>11</v>
      </c>
      <c r="S332" s="244">
        <v>0</v>
      </c>
      <c r="T332" s="244">
        <v>0</v>
      </c>
      <c r="U332" s="244">
        <v>0</v>
      </c>
      <c r="V332" s="244">
        <v>0</v>
      </c>
      <c r="W332" s="244">
        <v>0</v>
      </c>
      <c r="X332" s="244">
        <v>0</v>
      </c>
      <c r="Y332" s="244">
        <v>0</v>
      </c>
      <c r="Z332" s="244">
        <v>0</v>
      </c>
      <c r="AA332" s="87" t="s">
        <v>1648</v>
      </c>
      <c r="AB332" s="87" t="s">
        <v>1648</v>
      </c>
      <c r="AC332" s="244">
        <v>13</v>
      </c>
      <c r="AD332" s="87" t="s">
        <v>1648</v>
      </c>
      <c r="AE332" s="244">
        <v>520</v>
      </c>
      <c r="AF332" s="87" t="s">
        <v>1650</v>
      </c>
      <c r="AG332" s="87" t="s">
        <v>1648</v>
      </c>
      <c r="AH332" s="87" t="s">
        <v>1648</v>
      </c>
      <c r="AI332" s="87" t="s">
        <v>1649</v>
      </c>
      <c r="AJ332" s="87" t="s">
        <v>1648</v>
      </c>
    </row>
    <row r="333" spans="1:36" ht="13.5" thickBot="1" x14ac:dyDescent="0.25">
      <c r="A333" s="48" t="s">
        <v>538</v>
      </c>
      <c r="B333" s="347" t="s">
        <v>537</v>
      </c>
      <c r="C333" s="48" t="s">
        <v>3098</v>
      </c>
      <c r="D333" s="48" t="s">
        <v>39</v>
      </c>
      <c r="E333" s="48" t="s">
        <v>1949</v>
      </c>
      <c r="F333" s="87" t="s">
        <v>1648</v>
      </c>
      <c r="G333" s="87" t="s">
        <v>1648</v>
      </c>
      <c r="H333" s="244">
        <v>1012</v>
      </c>
      <c r="I333" s="87" t="s">
        <v>1649</v>
      </c>
      <c r="J333" s="244">
        <v>0</v>
      </c>
      <c r="K333" s="87" t="s">
        <v>1649</v>
      </c>
      <c r="L333" s="87" t="s">
        <v>1649</v>
      </c>
      <c r="M333" s="244">
        <v>0</v>
      </c>
      <c r="N333" s="87" t="s">
        <v>1648</v>
      </c>
      <c r="O333" s="87" t="s">
        <v>1648</v>
      </c>
      <c r="P333" s="87" t="s">
        <v>1648</v>
      </c>
      <c r="Q333" s="244">
        <v>82</v>
      </c>
      <c r="R333" s="244">
        <v>1608</v>
      </c>
      <c r="S333" s="244">
        <v>34</v>
      </c>
      <c r="T333" s="244">
        <v>552</v>
      </c>
      <c r="U333" s="244">
        <v>80</v>
      </c>
      <c r="V333" s="244">
        <v>1188</v>
      </c>
      <c r="W333" s="244">
        <v>0</v>
      </c>
      <c r="X333" s="244">
        <v>0</v>
      </c>
      <c r="Y333" s="244">
        <v>11</v>
      </c>
      <c r="Z333" s="244">
        <v>6208</v>
      </c>
      <c r="AA333" s="87" t="s">
        <v>1648</v>
      </c>
      <c r="AB333" s="87" t="s">
        <v>1648</v>
      </c>
      <c r="AC333" s="244">
        <v>95</v>
      </c>
      <c r="AD333" s="87" t="s">
        <v>1648</v>
      </c>
      <c r="AE333" s="244">
        <v>18765</v>
      </c>
      <c r="AF333" s="87" t="s">
        <v>1651</v>
      </c>
      <c r="AG333" s="87" t="s">
        <v>1648</v>
      </c>
      <c r="AH333" s="87" t="s">
        <v>1648</v>
      </c>
      <c r="AI333" s="87" t="s">
        <v>1649</v>
      </c>
      <c r="AJ333" s="87" t="s">
        <v>1648</v>
      </c>
    </row>
    <row r="334" spans="1:36" ht="13.5" thickBot="1" x14ac:dyDescent="0.25">
      <c r="A334" s="48" t="s">
        <v>544</v>
      </c>
      <c r="B334" s="347" t="s">
        <v>543</v>
      </c>
      <c r="C334" s="48" t="s">
        <v>3098</v>
      </c>
      <c r="D334" s="48" t="s">
        <v>39</v>
      </c>
      <c r="E334" s="48" t="s">
        <v>890</v>
      </c>
      <c r="F334" s="87" t="s">
        <v>1648</v>
      </c>
      <c r="G334" s="87" t="s">
        <v>1648</v>
      </c>
      <c r="H334" s="244">
        <v>35</v>
      </c>
      <c r="I334" s="87" t="s">
        <v>1648</v>
      </c>
      <c r="J334" s="244">
        <v>17</v>
      </c>
      <c r="K334" s="87" t="s">
        <v>1649</v>
      </c>
      <c r="L334" s="87" t="s">
        <v>1649</v>
      </c>
      <c r="M334" s="244">
        <v>0</v>
      </c>
      <c r="N334" s="87" t="s">
        <v>1649</v>
      </c>
      <c r="O334" s="87" t="s">
        <v>1648</v>
      </c>
      <c r="P334" s="87" t="s">
        <v>1648</v>
      </c>
      <c r="Q334" s="244">
        <v>4</v>
      </c>
      <c r="R334" s="244">
        <v>150</v>
      </c>
      <c r="S334" s="244">
        <v>12</v>
      </c>
      <c r="T334" s="244">
        <v>76</v>
      </c>
      <c r="U334" s="244">
        <v>28</v>
      </c>
      <c r="V334" s="244">
        <v>159</v>
      </c>
      <c r="W334" s="244">
        <v>39</v>
      </c>
      <c r="X334" s="244">
        <v>1789</v>
      </c>
      <c r="Y334" s="244">
        <v>56</v>
      </c>
      <c r="Z334" s="244">
        <v>86</v>
      </c>
      <c r="AA334" s="87" t="s">
        <v>1648</v>
      </c>
      <c r="AB334" s="87" t="s">
        <v>1649</v>
      </c>
      <c r="AC334" s="244">
        <v>0</v>
      </c>
      <c r="AD334" s="87" t="s">
        <v>1648</v>
      </c>
      <c r="AE334" s="244">
        <v>1852</v>
      </c>
      <c r="AF334" s="87" t="s">
        <v>1651</v>
      </c>
      <c r="AG334" s="87" t="s">
        <v>1648</v>
      </c>
      <c r="AH334" s="87" t="s">
        <v>1648</v>
      </c>
      <c r="AI334" s="87" t="s">
        <v>1649</v>
      </c>
      <c r="AJ334" s="87" t="s">
        <v>1648</v>
      </c>
    </row>
    <row r="335" spans="1:36" ht="13.5" thickBot="1" x14ac:dyDescent="0.25">
      <c r="A335" s="48" t="s">
        <v>550</v>
      </c>
      <c r="B335" s="347" t="s">
        <v>549</v>
      </c>
      <c r="C335" s="48" t="s">
        <v>3098</v>
      </c>
      <c r="D335" s="48" t="s">
        <v>39</v>
      </c>
      <c r="E335" s="48" t="s">
        <v>1919</v>
      </c>
      <c r="F335" s="87" t="s">
        <v>1648</v>
      </c>
      <c r="G335" s="87" t="s">
        <v>1648</v>
      </c>
      <c r="H335" s="244">
        <v>1054</v>
      </c>
      <c r="I335" s="87" t="s">
        <v>1649</v>
      </c>
      <c r="J335" s="244">
        <v>0</v>
      </c>
      <c r="K335" s="87" t="s">
        <v>1649</v>
      </c>
      <c r="L335" s="87" t="s">
        <v>1649</v>
      </c>
      <c r="M335" s="244">
        <v>0</v>
      </c>
      <c r="N335" s="87" t="s">
        <v>1648</v>
      </c>
      <c r="O335" s="87" t="s">
        <v>1648</v>
      </c>
      <c r="P335" s="87" t="s">
        <v>1648</v>
      </c>
      <c r="Q335" s="244">
        <v>131</v>
      </c>
      <c r="R335" s="244">
        <v>455</v>
      </c>
      <c r="S335" s="244">
        <v>4</v>
      </c>
      <c r="T335" s="244">
        <v>9</v>
      </c>
      <c r="U335" s="244">
        <v>73</v>
      </c>
      <c r="V335" s="244">
        <v>272</v>
      </c>
      <c r="W335" s="244">
        <v>0</v>
      </c>
      <c r="X335" s="244">
        <v>0</v>
      </c>
      <c r="Y335" s="244">
        <v>11</v>
      </c>
      <c r="Z335" s="244">
        <v>917</v>
      </c>
      <c r="AA335" s="87" t="s">
        <v>1648</v>
      </c>
      <c r="AB335" s="87" t="s">
        <v>1649</v>
      </c>
      <c r="AC335" s="244">
        <v>0</v>
      </c>
      <c r="AD335" s="87" t="s">
        <v>1648</v>
      </c>
      <c r="AE335" s="244">
        <v>31928</v>
      </c>
      <c r="AF335" s="87" t="s">
        <v>1650</v>
      </c>
      <c r="AG335" s="87" t="s">
        <v>1648</v>
      </c>
      <c r="AH335" s="87" t="s">
        <v>1648</v>
      </c>
      <c r="AI335" s="87" t="s">
        <v>1648</v>
      </c>
      <c r="AJ335" s="87" t="s">
        <v>1648</v>
      </c>
    </row>
    <row r="336" spans="1:36" ht="13.5" thickBot="1" x14ac:dyDescent="0.25">
      <c r="A336" s="48" t="s">
        <v>578</v>
      </c>
      <c r="B336" s="347" t="s">
        <v>577</v>
      </c>
      <c r="C336" s="48" t="s">
        <v>3053</v>
      </c>
      <c r="D336" s="48" t="s">
        <v>39</v>
      </c>
      <c r="E336" s="48" t="s">
        <v>890</v>
      </c>
      <c r="F336" s="87" t="s">
        <v>1648</v>
      </c>
      <c r="G336" s="87" t="s">
        <v>1648</v>
      </c>
      <c r="H336" s="244">
        <v>495</v>
      </c>
      <c r="I336" s="87" t="s">
        <v>1649</v>
      </c>
      <c r="J336" s="244">
        <v>0</v>
      </c>
      <c r="K336" s="87" t="s">
        <v>1649</v>
      </c>
      <c r="L336" s="87" t="s">
        <v>1648</v>
      </c>
      <c r="M336" s="244">
        <v>41500</v>
      </c>
      <c r="N336" s="87" t="s">
        <v>1648</v>
      </c>
      <c r="O336" s="87" t="s">
        <v>1648</v>
      </c>
      <c r="P336" s="87" t="s">
        <v>1648</v>
      </c>
      <c r="Q336" s="244">
        <v>151</v>
      </c>
      <c r="R336" s="244">
        <v>2184</v>
      </c>
      <c r="S336" s="244">
        <v>11</v>
      </c>
      <c r="T336" s="244">
        <v>60</v>
      </c>
      <c r="U336" s="244">
        <v>39</v>
      </c>
      <c r="V336" s="244">
        <v>367</v>
      </c>
      <c r="W336" s="244">
        <v>0</v>
      </c>
      <c r="X336" s="244">
        <v>0</v>
      </c>
      <c r="Y336" s="244">
        <v>75</v>
      </c>
      <c r="Z336" s="244">
        <v>703</v>
      </c>
      <c r="AA336" s="87" t="s">
        <v>1648</v>
      </c>
      <c r="AB336" s="87" t="s">
        <v>1649</v>
      </c>
      <c r="AC336" s="244">
        <v>0</v>
      </c>
      <c r="AD336" s="87" t="s">
        <v>1648</v>
      </c>
      <c r="AE336" s="244">
        <v>18733</v>
      </c>
      <c r="AF336" s="87" t="s">
        <v>1651</v>
      </c>
      <c r="AG336" s="87" t="s">
        <v>1648</v>
      </c>
      <c r="AH336" s="87" t="s">
        <v>1648</v>
      </c>
      <c r="AI336" s="87" t="s">
        <v>1649</v>
      </c>
      <c r="AJ336" s="87" t="s">
        <v>1648</v>
      </c>
    </row>
    <row r="337" spans="1:36" ht="13.5" thickBot="1" x14ac:dyDescent="0.25">
      <c r="A337" s="48" t="s">
        <v>588</v>
      </c>
      <c r="B337" s="347" t="s">
        <v>587</v>
      </c>
      <c r="C337" s="48" t="s">
        <v>3098</v>
      </c>
      <c r="D337" s="48" t="s">
        <v>39</v>
      </c>
      <c r="E337" s="48" t="s">
        <v>1949</v>
      </c>
      <c r="F337" s="87" t="s">
        <v>1648</v>
      </c>
      <c r="G337" s="87" t="s">
        <v>1648</v>
      </c>
      <c r="H337" s="244">
        <v>1</v>
      </c>
      <c r="I337" s="87" t="s">
        <v>1648</v>
      </c>
      <c r="J337" s="244">
        <v>1</v>
      </c>
      <c r="K337" s="87" t="s">
        <v>1649</v>
      </c>
      <c r="L337" s="87" t="s">
        <v>1649</v>
      </c>
      <c r="M337" s="244">
        <v>1</v>
      </c>
      <c r="N337" s="87" t="s">
        <v>1648</v>
      </c>
      <c r="O337" s="87" t="s">
        <v>1648</v>
      </c>
      <c r="P337" s="87" t="s">
        <v>1648</v>
      </c>
      <c r="Q337" s="244">
        <v>49</v>
      </c>
      <c r="R337" s="244">
        <v>385</v>
      </c>
      <c r="S337" s="244">
        <v>0</v>
      </c>
      <c r="T337" s="244">
        <v>0</v>
      </c>
      <c r="U337" s="244">
        <v>38</v>
      </c>
      <c r="V337" s="244">
        <v>1173</v>
      </c>
      <c r="W337" s="244">
        <v>66</v>
      </c>
      <c r="X337" s="244">
        <v>601</v>
      </c>
      <c r="Y337" s="244">
        <v>0</v>
      </c>
      <c r="Z337" s="244">
        <v>0</v>
      </c>
      <c r="AA337" s="87" t="s">
        <v>1648</v>
      </c>
      <c r="AB337" s="87" t="s">
        <v>1649</v>
      </c>
      <c r="AC337" s="244">
        <v>0</v>
      </c>
      <c r="AD337" s="87" t="s">
        <v>1648</v>
      </c>
      <c r="AE337" s="244">
        <v>48548</v>
      </c>
      <c r="AF337" s="87" t="s">
        <v>1651</v>
      </c>
      <c r="AG337" s="87" t="s">
        <v>1648</v>
      </c>
      <c r="AH337" s="87" t="s">
        <v>1649</v>
      </c>
      <c r="AI337" s="87" t="s">
        <v>1648</v>
      </c>
      <c r="AJ337" s="87" t="s">
        <v>1648</v>
      </c>
    </row>
    <row r="338" spans="1:36" ht="13.5" thickBot="1" x14ac:dyDescent="0.25">
      <c r="A338" s="48" t="s">
        <v>616</v>
      </c>
      <c r="B338" s="347" t="s">
        <v>615</v>
      </c>
      <c r="C338" s="48" t="s">
        <v>3098</v>
      </c>
      <c r="D338" s="48" t="s">
        <v>39</v>
      </c>
      <c r="E338" s="48" t="s">
        <v>1949</v>
      </c>
      <c r="F338" s="87" t="s">
        <v>1648</v>
      </c>
      <c r="G338" s="87" t="s">
        <v>1648</v>
      </c>
      <c r="H338" s="244">
        <v>155</v>
      </c>
      <c r="I338" s="87" t="s">
        <v>1649</v>
      </c>
      <c r="J338" s="244">
        <v>0</v>
      </c>
      <c r="K338" s="87" t="s">
        <v>1649</v>
      </c>
      <c r="L338" s="87" t="s">
        <v>1649</v>
      </c>
      <c r="M338" s="244">
        <v>0</v>
      </c>
      <c r="N338" s="87" t="s">
        <v>1648</v>
      </c>
      <c r="O338" s="87" t="s">
        <v>1648</v>
      </c>
      <c r="P338" s="87" t="s">
        <v>1648</v>
      </c>
      <c r="Q338" s="244">
        <v>66</v>
      </c>
      <c r="R338" s="244">
        <v>1562</v>
      </c>
      <c r="S338" s="244">
        <v>5</v>
      </c>
      <c r="T338" s="244">
        <v>58</v>
      </c>
      <c r="U338" s="244">
        <v>14</v>
      </c>
      <c r="V338" s="244">
        <v>351</v>
      </c>
      <c r="W338" s="244">
        <v>0</v>
      </c>
      <c r="X338" s="244">
        <v>0</v>
      </c>
      <c r="Y338" s="244">
        <v>9</v>
      </c>
      <c r="Z338" s="244">
        <v>84</v>
      </c>
      <c r="AA338" s="87" t="s">
        <v>1648</v>
      </c>
      <c r="AB338" s="87" t="s">
        <v>1648</v>
      </c>
      <c r="AC338" s="244">
        <v>15</v>
      </c>
      <c r="AD338" s="87" t="s">
        <v>1648</v>
      </c>
      <c r="AE338" s="244">
        <v>19444</v>
      </c>
      <c r="AF338" s="87" t="s">
        <v>1651</v>
      </c>
      <c r="AG338" s="87" t="s">
        <v>1648</v>
      </c>
      <c r="AH338" s="87" t="s">
        <v>1648</v>
      </c>
      <c r="AI338" s="87" t="s">
        <v>1649</v>
      </c>
      <c r="AJ338" s="87" t="s">
        <v>1648</v>
      </c>
    </row>
    <row r="339" spans="1:36" ht="13.5" thickBot="1" x14ac:dyDescent="0.25">
      <c r="A339" s="48" t="s">
        <v>640</v>
      </c>
      <c r="B339" s="347" t="s">
        <v>639</v>
      </c>
      <c r="C339" s="48" t="s">
        <v>3144</v>
      </c>
      <c r="D339" s="48" t="s">
        <v>39</v>
      </c>
      <c r="E339" s="48" t="s">
        <v>1949</v>
      </c>
      <c r="F339" s="87" t="s">
        <v>1648</v>
      </c>
      <c r="G339" s="87" t="s">
        <v>1648</v>
      </c>
      <c r="H339" s="244">
        <v>240</v>
      </c>
      <c r="I339" s="87" t="s">
        <v>1649</v>
      </c>
      <c r="J339" s="244">
        <v>0</v>
      </c>
      <c r="K339" s="87" t="s">
        <v>1649</v>
      </c>
      <c r="L339" s="87" t="s">
        <v>1649</v>
      </c>
      <c r="M339" s="244">
        <v>0</v>
      </c>
      <c r="N339" s="87" t="s">
        <v>1648</v>
      </c>
      <c r="O339" s="87" t="s">
        <v>1649</v>
      </c>
      <c r="P339" s="87" t="s">
        <v>1648</v>
      </c>
      <c r="Q339" s="244">
        <v>0</v>
      </c>
      <c r="R339" s="244">
        <v>0</v>
      </c>
      <c r="S339" s="244">
        <v>0</v>
      </c>
      <c r="T339" s="244">
        <v>0</v>
      </c>
      <c r="U339" s="244">
        <v>0</v>
      </c>
      <c r="V339" s="244">
        <v>0</v>
      </c>
      <c r="W339" s="244">
        <v>0</v>
      </c>
      <c r="X339" s="244">
        <v>0</v>
      </c>
      <c r="Y339" s="244">
        <v>9</v>
      </c>
      <c r="Z339" s="244">
        <v>1519</v>
      </c>
      <c r="AA339" s="87" t="s">
        <v>1648</v>
      </c>
      <c r="AB339" s="87" t="s">
        <v>1648</v>
      </c>
      <c r="AC339" s="244">
        <v>24</v>
      </c>
      <c r="AD339" s="87" t="s">
        <v>1648</v>
      </c>
      <c r="AE339" s="244">
        <v>7319</v>
      </c>
      <c r="AF339" s="87" t="s">
        <v>1651</v>
      </c>
      <c r="AG339" s="87" t="s">
        <v>1648</v>
      </c>
      <c r="AH339" s="87" t="s">
        <v>1648</v>
      </c>
      <c r="AI339" s="87" t="s">
        <v>1649</v>
      </c>
      <c r="AJ339" s="87" t="s">
        <v>1648</v>
      </c>
    </row>
    <row r="340" spans="1:36" ht="13.5" thickBot="1" x14ac:dyDescent="0.25">
      <c r="A340" s="48" t="s">
        <v>642</v>
      </c>
      <c r="B340" s="347" t="s">
        <v>641</v>
      </c>
      <c r="C340" s="48" t="s">
        <v>3098</v>
      </c>
      <c r="D340" s="48" t="s">
        <v>39</v>
      </c>
      <c r="E340" s="48" t="s">
        <v>890</v>
      </c>
      <c r="F340" s="87" t="s">
        <v>1648</v>
      </c>
      <c r="G340" s="87" t="s">
        <v>1648</v>
      </c>
      <c r="H340" s="244">
        <v>72</v>
      </c>
      <c r="I340" s="87" t="s">
        <v>1648</v>
      </c>
      <c r="J340" s="244">
        <v>2415</v>
      </c>
      <c r="K340" s="87" t="s">
        <v>1649</v>
      </c>
      <c r="L340" s="87" t="s">
        <v>1649</v>
      </c>
      <c r="M340" s="244">
        <v>0</v>
      </c>
      <c r="N340" s="87" t="s">
        <v>1648</v>
      </c>
      <c r="O340" s="87" t="s">
        <v>1648</v>
      </c>
      <c r="P340" s="87" t="s">
        <v>1648</v>
      </c>
      <c r="Q340" s="244">
        <v>8</v>
      </c>
      <c r="R340" s="244">
        <v>5808</v>
      </c>
      <c r="S340" s="244">
        <v>0</v>
      </c>
      <c r="T340" s="244">
        <v>0</v>
      </c>
      <c r="U340" s="244">
        <v>0</v>
      </c>
      <c r="V340" s="244">
        <v>0</v>
      </c>
      <c r="W340" s="244">
        <v>0</v>
      </c>
      <c r="X340" s="244">
        <v>0</v>
      </c>
      <c r="Y340" s="244">
        <v>62</v>
      </c>
      <c r="Z340" s="244">
        <v>5147</v>
      </c>
      <c r="AA340" s="87" t="s">
        <v>1648</v>
      </c>
      <c r="AB340" s="87" t="s">
        <v>1648</v>
      </c>
      <c r="AC340" s="244">
        <v>3</v>
      </c>
      <c r="AD340" s="87" t="s">
        <v>1648</v>
      </c>
      <c r="AE340" s="244">
        <v>5554</v>
      </c>
      <c r="AF340" s="87" t="s">
        <v>1651</v>
      </c>
      <c r="AG340" s="87" t="s">
        <v>1648</v>
      </c>
      <c r="AH340" s="87" t="s">
        <v>1648</v>
      </c>
      <c r="AI340" s="87" t="s">
        <v>1649</v>
      </c>
      <c r="AJ340" s="87" t="s">
        <v>1648</v>
      </c>
    </row>
    <row r="341" spans="1:36" ht="13.5" thickBot="1" x14ac:dyDescent="0.25">
      <c r="A341" s="48" t="s">
        <v>646</v>
      </c>
      <c r="B341" s="347" t="s">
        <v>645</v>
      </c>
      <c r="C341" s="48" t="s">
        <v>3144</v>
      </c>
      <c r="D341" s="48" t="s">
        <v>39</v>
      </c>
      <c r="E341" s="48" t="s">
        <v>890</v>
      </c>
      <c r="F341" s="87" t="s">
        <v>1648</v>
      </c>
      <c r="G341" s="87" t="s">
        <v>1648</v>
      </c>
      <c r="H341" s="244">
        <v>608</v>
      </c>
      <c r="I341" s="87" t="s">
        <v>1649</v>
      </c>
      <c r="J341" s="244">
        <v>0</v>
      </c>
      <c r="K341" s="87" t="s">
        <v>1649</v>
      </c>
      <c r="L341" s="87" t="s">
        <v>1649</v>
      </c>
      <c r="M341" s="244">
        <v>0</v>
      </c>
      <c r="N341" s="87" t="s">
        <v>1648</v>
      </c>
      <c r="O341" s="87" t="s">
        <v>1648</v>
      </c>
      <c r="P341" s="87" t="s">
        <v>1648</v>
      </c>
      <c r="Q341" s="244">
        <v>20</v>
      </c>
      <c r="R341" s="244">
        <v>46</v>
      </c>
      <c r="S341" s="244">
        <v>1</v>
      </c>
      <c r="T341" s="244">
        <v>0</v>
      </c>
      <c r="U341" s="244">
        <v>21</v>
      </c>
      <c r="V341" s="244">
        <v>127</v>
      </c>
      <c r="W341" s="244">
        <v>0</v>
      </c>
      <c r="X341" s="244">
        <v>0</v>
      </c>
      <c r="Y341" s="244">
        <v>37</v>
      </c>
      <c r="Z341" s="244">
        <v>4810</v>
      </c>
      <c r="AA341" s="87" t="s">
        <v>1648</v>
      </c>
      <c r="AB341" s="87" t="s">
        <v>1649</v>
      </c>
      <c r="AC341" s="244">
        <v>0</v>
      </c>
      <c r="AD341" s="87" t="s">
        <v>1648</v>
      </c>
      <c r="AE341" s="244">
        <v>12747</v>
      </c>
      <c r="AF341" s="87" t="s">
        <v>1650</v>
      </c>
      <c r="AG341" s="87" t="s">
        <v>1648</v>
      </c>
      <c r="AH341" s="87" t="s">
        <v>1648</v>
      </c>
      <c r="AI341" s="87" t="s">
        <v>1648</v>
      </c>
      <c r="AJ341" s="87" t="s">
        <v>1648</v>
      </c>
    </row>
    <row r="342" spans="1:36" ht="13.5" thickBot="1" x14ac:dyDescent="0.25">
      <c r="A342" s="48" t="s">
        <v>664</v>
      </c>
      <c r="B342" s="347" t="s">
        <v>663</v>
      </c>
      <c r="C342" s="48" t="s">
        <v>3098</v>
      </c>
      <c r="D342" s="48" t="s">
        <v>39</v>
      </c>
      <c r="E342" s="48" t="s">
        <v>1949</v>
      </c>
      <c r="F342" s="87" t="s">
        <v>1648</v>
      </c>
      <c r="G342" s="87" t="s">
        <v>1648</v>
      </c>
      <c r="H342" s="244">
        <v>715</v>
      </c>
      <c r="I342" s="87" t="s">
        <v>1649</v>
      </c>
      <c r="J342" s="244">
        <v>0</v>
      </c>
      <c r="K342" s="87" t="s">
        <v>1649</v>
      </c>
      <c r="L342" s="87" t="s">
        <v>1649</v>
      </c>
      <c r="M342" s="244">
        <v>0</v>
      </c>
      <c r="N342" s="87" t="s">
        <v>1648</v>
      </c>
      <c r="O342" s="87" t="s">
        <v>1648</v>
      </c>
      <c r="P342" s="87" t="s">
        <v>1648</v>
      </c>
      <c r="Q342" s="244">
        <v>0</v>
      </c>
      <c r="R342" s="244">
        <v>0</v>
      </c>
      <c r="S342" s="244">
        <v>0</v>
      </c>
      <c r="T342" s="244">
        <v>0</v>
      </c>
      <c r="U342" s="244">
        <v>0</v>
      </c>
      <c r="V342" s="244">
        <v>0</v>
      </c>
      <c r="W342" s="244">
        <v>0</v>
      </c>
      <c r="X342" s="244">
        <v>0</v>
      </c>
      <c r="Y342" s="244">
        <v>0</v>
      </c>
      <c r="Z342" s="244">
        <v>0</v>
      </c>
      <c r="AA342" s="87" t="s">
        <v>1648</v>
      </c>
      <c r="AB342" s="87" t="s">
        <v>1648</v>
      </c>
      <c r="AC342" s="87" t="s">
        <v>1660</v>
      </c>
      <c r="AD342" s="87" t="s">
        <v>1648</v>
      </c>
      <c r="AE342" s="244">
        <v>18959</v>
      </c>
      <c r="AF342" s="87" t="s">
        <v>1651</v>
      </c>
      <c r="AG342" s="87" t="s">
        <v>1648</v>
      </c>
      <c r="AH342" s="87" t="s">
        <v>1648</v>
      </c>
      <c r="AI342" s="87" t="s">
        <v>1649</v>
      </c>
      <c r="AJ342" s="87" t="s">
        <v>1648</v>
      </c>
    </row>
    <row r="343" spans="1:36" ht="13.5" thickBot="1" x14ac:dyDescent="0.25">
      <c r="A343" s="48" t="s">
        <v>688</v>
      </c>
      <c r="B343" s="347" t="s">
        <v>687</v>
      </c>
      <c r="C343" s="48" t="s">
        <v>3055</v>
      </c>
      <c r="D343" s="48" t="s">
        <v>39</v>
      </c>
      <c r="E343" s="48" t="s">
        <v>1949</v>
      </c>
      <c r="F343" s="87" t="s">
        <v>1648</v>
      </c>
      <c r="G343" s="87" t="s">
        <v>1648</v>
      </c>
      <c r="H343" s="244">
        <v>600</v>
      </c>
      <c r="I343" s="87" t="s">
        <v>1649</v>
      </c>
      <c r="J343" s="244">
        <v>0</v>
      </c>
      <c r="K343" s="87" t="s">
        <v>1649</v>
      </c>
      <c r="L343" s="87" t="s">
        <v>1649</v>
      </c>
      <c r="M343" s="87" t="s">
        <v>1660</v>
      </c>
      <c r="N343" s="87" t="s">
        <v>1648</v>
      </c>
      <c r="O343" s="87" t="s">
        <v>1648</v>
      </c>
      <c r="P343" s="87" t="s">
        <v>1649</v>
      </c>
      <c r="Q343" s="244">
        <v>1</v>
      </c>
      <c r="R343" s="244">
        <v>0</v>
      </c>
      <c r="S343" s="244">
        <v>0</v>
      </c>
      <c r="T343" s="244">
        <v>0</v>
      </c>
      <c r="U343" s="244">
        <v>0</v>
      </c>
      <c r="V343" s="244">
        <v>0</v>
      </c>
      <c r="W343" s="244">
        <v>0</v>
      </c>
      <c r="X343" s="244">
        <v>0</v>
      </c>
      <c r="Y343" s="244">
        <v>0</v>
      </c>
      <c r="Z343" s="244">
        <v>59</v>
      </c>
      <c r="AA343" s="87" t="s">
        <v>1648</v>
      </c>
      <c r="AB343" s="87" t="s">
        <v>1649</v>
      </c>
      <c r="AC343" s="244">
        <v>0</v>
      </c>
      <c r="AD343" s="87" t="s">
        <v>1648</v>
      </c>
      <c r="AE343" s="244">
        <v>6767</v>
      </c>
      <c r="AF343" s="87" t="s">
        <v>1650</v>
      </c>
      <c r="AG343" s="87" t="s">
        <v>1648</v>
      </c>
      <c r="AH343" s="87" t="s">
        <v>1648</v>
      </c>
      <c r="AI343" s="87" t="s">
        <v>1649</v>
      </c>
      <c r="AJ343" s="87" t="s">
        <v>1648</v>
      </c>
    </row>
    <row r="344" spans="1:36" ht="13.5" thickBot="1" x14ac:dyDescent="0.25">
      <c r="A344" s="48" t="s">
        <v>698</v>
      </c>
      <c r="B344" s="347" t="s">
        <v>697</v>
      </c>
      <c r="C344" s="48" t="s">
        <v>3098</v>
      </c>
      <c r="D344" s="48" t="s">
        <v>39</v>
      </c>
      <c r="E344" s="48" t="s">
        <v>890</v>
      </c>
      <c r="F344" s="87" t="s">
        <v>1648</v>
      </c>
      <c r="G344" s="87" t="s">
        <v>1648</v>
      </c>
      <c r="H344" s="244">
        <v>91</v>
      </c>
      <c r="I344" s="87" t="s">
        <v>1648</v>
      </c>
      <c r="J344" s="244">
        <v>4740</v>
      </c>
      <c r="K344" s="87" t="s">
        <v>1649</v>
      </c>
      <c r="L344" s="87" t="s">
        <v>1649</v>
      </c>
      <c r="M344" s="244">
        <v>0</v>
      </c>
      <c r="N344" s="87" t="s">
        <v>1648</v>
      </c>
      <c r="O344" s="87" t="s">
        <v>1648</v>
      </c>
      <c r="P344" s="87" t="s">
        <v>1649</v>
      </c>
      <c r="Q344" s="244">
        <v>1</v>
      </c>
      <c r="R344" s="244">
        <v>40</v>
      </c>
      <c r="S344" s="244">
        <v>0</v>
      </c>
      <c r="T344" s="244">
        <v>0</v>
      </c>
      <c r="U344" s="244">
        <v>0</v>
      </c>
      <c r="V344" s="244">
        <v>0</v>
      </c>
      <c r="W344" s="244">
        <v>0</v>
      </c>
      <c r="X344" s="244">
        <v>0</v>
      </c>
      <c r="Y344" s="244">
        <v>0</v>
      </c>
      <c r="Z344" s="244">
        <v>0</v>
      </c>
      <c r="AA344" s="87" t="s">
        <v>1648</v>
      </c>
      <c r="AB344" s="87" t="s">
        <v>1649</v>
      </c>
      <c r="AC344" s="244">
        <v>0</v>
      </c>
      <c r="AD344" s="87" t="s">
        <v>1648</v>
      </c>
      <c r="AE344" s="244">
        <v>3264</v>
      </c>
      <c r="AF344" s="87" t="s">
        <v>1650</v>
      </c>
      <c r="AG344" s="87" t="s">
        <v>1648</v>
      </c>
      <c r="AH344" s="87" t="s">
        <v>1648</v>
      </c>
      <c r="AI344" s="87" t="s">
        <v>1649</v>
      </c>
      <c r="AJ344" s="87" t="s">
        <v>1648</v>
      </c>
    </row>
    <row r="345" spans="1:36" ht="13.5" thickBot="1" x14ac:dyDescent="0.25">
      <c r="A345" s="48" t="s">
        <v>716</v>
      </c>
      <c r="B345" s="347" t="s">
        <v>715</v>
      </c>
      <c r="C345" s="48" t="s">
        <v>3053</v>
      </c>
      <c r="D345" s="48" t="s">
        <v>39</v>
      </c>
      <c r="E345" s="48" t="s">
        <v>1949</v>
      </c>
      <c r="F345" s="87" t="s">
        <v>1648</v>
      </c>
      <c r="G345" s="87" t="s">
        <v>1649</v>
      </c>
      <c r="H345" s="244">
        <v>0</v>
      </c>
      <c r="I345" s="87" t="s">
        <v>1649</v>
      </c>
      <c r="J345" s="244">
        <v>0</v>
      </c>
      <c r="K345" s="87" t="s">
        <v>1649</v>
      </c>
      <c r="L345" s="87" t="s">
        <v>1649</v>
      </c>
      <c r="M345" s="244">
        <v>0</v>
      </c>
      <c r="N345" s="87" t="s">
        <v>1648</v>
      </c>
      <c r="O345" s="87" t="s">
        <v>1648</v>
      </c>
      <c r="P345" s="87" t="s">
        <v>1649</v>
      </c>
      <c r="Q345" s="244">
        <v>15</v>
      </c>
      <c r="R345" s="244">
        <v>1576</v>
      </c>
      <c r="S345" s="244">
        <v>3</v>
      </c>
      <c r="T345" s="244">
        <v>28</v>
      </c>
      <c r="U345" s="244">
        <v>5</v>
      </c>
      <c r="V345" s="244">
        <v>35</v>
      </c>
      <c r="W345" s="244">
        <v>0</v>
      </c>
      <c r="X345" s="244">
        <v>0</v>
      </c>
      <c r="Y345" s="244">
        <v>0</v>
      </c>
      <c r="Z345" s="244">
        <v>0</v>
      </c>
      <c r="AA345" s="87" t="s">
        <v>1648</v>
      </c>
      <c r="AB345" s="87" t="s">
        <v>1649</v>
      </c>
      <c r="AC345" s="244">
        <v>0</v>
      </c>
      <c r="AD345" s="87" t="s">
        <v>1648</v>
      </c>
      <c r="AE345" s="244">
        <v>43680</v>
      </c>
      <c r="AF345" s="87" t="s">
        <v>1650</v>
      </c>
      <c r="AG345" s="87" t="s">
        <v>1648</v>
      </c>
      <c r="AH345" s="87" t="s">
        <v>1648</v>
      </c>
      <c r="AI345" s="87" t="s">
        <v>1648</v>
      </c>
      <c r="AJ345" s="87" t="s">
        <v>1648</v>
      </c>
    </row>
    <row r="346" spans="1:36" ht="13.5" thickBot="1" x14ac:dyDescent="0.25">
      <c r="A346" s="48" t="s">
        <v>760</v>
      </c>
      <c r="B346" s="347" t="s">
        <v>759</v>
      </c>
      <c r="C346" s="48" t="s">
        <v>3072</v>
      </c>
      <c r="D346" s="48" t="s">
        <v>39</v>
      </c>
      <c r="E346" s="48" t="s">
        <v>1949</v>
      </c>
      <c r="F346" s="87" t="s">
        <v>1648</v>
      </c>
      <c r="G346" s="87" t="s">
        <v>1648</v>
      </c>
      <c r="H346" s="244">
        <v>342</v>
      </c>
      <c r="I346" s="87" t="s">
        <v>1649</v>
      </c>
      <c r="J346" s="244">
        <v>0</v>
      </c>
      <c r="K346" s="87" t="s">
        <v>1649</v>
      </c>
      <c r="L346" s="87" t="s">
        <v>1649</v>
      </c>
      <c r="M346" s="244">
        <v>0</v>
      </c>
      <c r="N346" s="87" t="s">
        <v>1648</v>
      </c>
      <c r="O346" s="87" t="s">
        <v>1649</v>
      </c>
      <c r="P346" s="87" t="s">
        <v>1648</v>
      </c>
      <c r="Q346" s="244">
        <v>0</v>
      </c>
      <c r="R346" s="244">
        <v>0</v>
      </c>
      <c r="S346" s="244">
        <v>0</v>
      </c>
      <c r="T346" s="244">
        <v>0</v>
      </c>
      <c r="U346" s="244">
        <v>0</v>
      </c>
      <c r="V346" s="244">
        <v>0</v>
      </c>
      <c r="W346" s="244">
        <v>0</v>
      </c>
      <c r="X346" s="244">
        <v>0</v>
      </c>
      <c r="Y346" s="244">
        <v>0</v>
      </c>
      <c r="Z346" s="244">
        <v>0</v>
      </c>
      <c r="AA346" s="87" t="s">
        <v>1648</v>
      </c>
      <c r="AB346" s="87" t="s">
        <v>1649</v>
      </c>
      <c r="AC346" s="244">
        <v>0</v>
      </c>
      <c r="AD346" s="87" t="s">
        <v>1649</v>
      </c>
      <c r="AE346" s="244">
        <v>36982</v>
      </c>
      <c r="AF346" s="87" t="s">
        <v>1650</v>
      </c>
      <c r="AG346" s="87" t="s">
        <v>1649</v>
      </c>
      <c r="AH346" s="87" t="s">
        <v>1648</v>
      </c>
      <c r="AI346" s="87" t="s">
        <v>1649</v>
      </c>
      <c r="AJ346" s="87" t="s">
        <v>1648</v>
      </c>
    </row>
    <row r="347" spans="1:36" ht="13.5" thickBot="1" x14ac:dyDescent="0.25">
      <c r="A347" s="48" t="s">
        <v>800</v>
      </c>
      <c r="B347" s="347" t="s">
        <v>799</v>
      </c>
      <c r="C347" s="48" t="s">
        <v>3098</v>
      </c>
      <c r="D347" s="48" t="s">
        <v>39</v>
      </c>
      <c r="E347" s="48" t="s">
        <v>1919</v>
      </c>
      <c r="F347" s="87" t="s">
        <v>1648</v>
      </c>
      <c r="G347" s="87" t="s">
        <v>1648</v>
      </c>
      <c r="H347" s="244">
        <v>972</v>
      </c>
      <c r="I347" s="87" t="s">
        <v>1648</v>
      </c>
      <c r="J347" s="244">
        <v>500</v>
      </c>
      <c r="K347" s="87" t="s">
        <v>1649</v>
      </c>
      <c r="L347" s="87" t="s">
        <v>1649</v>
      </c>
      <c r="M347" s="244">
        <v>0</v>
      </c>
      <c r="N347" s="87" t="s">
        <v>1648</v>
      </c>
      <c r="O347" s="87" t="s">
        <v>1648</v>
      </c>
      <c r="P347" s="87" t="s">
        <v>1648</v>
      </c>
      <c r="Q347" s="244">
        <v>43</v>
      </c>
      <c r="R347" s="244">
        <v>213</v>
      </c>
      <c r="S347" s="244">
        <v>11</v>
      </c>
      <c r="T347" s="244">
        <v>40</v>
      </c>
      <c r="U347" s="244">
        <v>23</v>
      </c>
      <c r="V347" s="244">
        <v>368</v>
      </c>
      <c r="W347" s="244">
        <v>44</v>
      </c>
      <c r="X347" s="244">
        <v>730</v>
      </c>
      <c r="Y347" s="244">
        <v>11</v>
      </c>
      <c r="Z347" s="244">
        <v>87</v>
      </c>
      <c r="AA347" s="87" t="s">
        <v>1648</v>
      </c>
      <c r="AB347" s="87" t="s">
        <v>1649</v>
      </c>
      <c r="AC347" s="244">
        <v>0</v>
      </c>
      <c r="AD347" s="87" t="s">
        <v>1648</v>
      </c>
      <c r="AE347" s="244">
        <v>13893</v>
      </c>
      <c r="AF347" s="87" t="s">
        <v>1651</v>
      </c>
      <c r="AG347" s="87" t="s">
        <v>1648</v>
      </c>
      <c r="AH347" s="87" t="s">
        <v>1648</v>
      </c>
      <c r="AI347" s="87" t="s">
        <v>1649</v>
      </c>
      <c r="AJ347" s="87" t="s">
        <v>1648</v>
      </c>
    </row>
    <row r="348" spans="1:36" ht="13.5" thickBot="1" x14ac:dyDescent="0.25">
      <c r="A348" s="48" t="s">
        <v>53</v>
      </c>
      <c r="B348" s="347" t="s">
        <v>52</v>
      </c>
      <c r="C348" s="48" t="s">
        <v>3198</v>
      </c>
      <c r="D348" s="48" t="s">
        <v>54</v>
      </c>
      <c r="E348" s="48" t="s">
        <v>1949</v>
      </c>
      <c r="F348" s="87" t="s">
        <v>1648</v>
      </c>
      <c r="G348" s="87" t="s">
        <v>1648</v>
      </c>
      <c r="H348" s="244">
        <v>320</v>
      </c>
      <c r="I348" s="87" t="s">
        <v>1649</v>
      </c>
      <c r="J348" s="244">
        <v>0</v>
      </c>
      <c r="K348" s="87" t="s">
        <v>1649</v>
      </c>
      <c r="L348" s="87" t="s">
        <v>1649</v>
      </c>
      <c r="M348" s="244">
        <v>0</v>
      </c>
      <c r="N348" s="87" t="s">
        <v>1648</v>
      </c>
      <c r="O348" s="87" t="s">
        <v>1648</v>
      </c>
      <c r="P348" s="87" t="s">
        <v>1648</v>
      </c>
      <c r="Q348" s="244">
        <v>10</v>
      </c>
      <c r="R348" s="244">
        <v>7666</v>
      </c>
      <c r="S348" s="244">
        <v>30</v>
      </c>
      <c r="T348" s="244">
        <v>3079</v>
      </c>
      <c r="U348" s="244">
        <v>11</v>
      </c>
      <c r="V348" s="244">
        <v>4555</v>
      </c>
      <c r="W348" s="244">
        <v>0</v>
      </c>
      <c r="X348" s="244">
        <v>0</v>
      </c>
      <c r="Y348" s="244">
        <v>254</v>
      </c>
      <c r="Z348" s="244">
        <v>108391</v>
      </c>
      <c r="AA348" s="87" t="s">
        <v>1649</v>
      </c>
      <c r="AB348" s="87" t="s">
        <v>1649</v>
      </c>
      <c r="AC348" s="244">
        <v>0</v>
      </c>
      <c r="AD348" s="87" t="s">
        <v>1648</v>
      </c>
      <c r="AE348" s="244">
        <v>0</v>
      </c>
      <c r="AF348" s="87" t="s">
        <v>1650</v>
      </c>
      <c r="AG348" s="87" t="s">
        <v>1648</v>
      </c>
      <c r="AH348" s="87" t="s">
        <v>1648</v>
      </c>
      <c r="AI348" s="87" t="s">
        <v>1649</v>
      </c>
      <c r="AJ348" s="87" t="s">
        <v>1648</v>
      </c>
    </row>
    <row r="349" spans="1:36" ht="13.5" thickBot="1" x14ac:dyDescent="0.25">
      <c r="A349" s="48" t="s">
        <v>78</v>
      </c>
      <c r="B349" s="347" t="s">
        <v>77</v>
      </c>
      <c r="C349" s="48" t="s">
        <v>3055</v>
      </c>
      <c r="D349" s="48" t="s">
        <v>54</v>
      </c>
      <c r="E349" s="48" t="s">
        <v>894</v>
      </c>
      <c r="F349" s="87" t="s">
        <v>1648</v>
      </c>
      <c r="G349" s="87" t="s">
        <v>1648</v>
      </c>
      <c r="H349" s="244">
        <v>0</v>
      </c>
      <c r="I349" s="87" t="s">
        <v>1649</v>
      </c>
      <c r="J349" s="244">
        <v>0</v>
      </c>
      <c r="K349" s="87" t="s">
        <v>1649</v>
      </c>
      <c r="L349" s="87" t="s">
        <v>1649</v>
      </c>
      <c r="M349" s="244">
        <v>0</v>
      </c>
      <c r="N349" s="87" t="s">
        <v>1648</v>
      </c>
      <c r="O349" s="87" t="s">
        <v>1648</v>
      </c>
      <c r="P349" s="87" t="s">
        <v>1648</v>
      </c>
      <c r="Q349" s="244">
        <v>36</v>
      </c>
      <c r="R349" s="244">
        <v>397</v>
      </c>
      <c r="S349" s="244">
        <v>5</v>
      </c>
      <c r="T349" s="244">
        <v>16</v>
      </c>
      <c r="U349" s="244">
        <v>3</v>
      </c>
      <c r="V349" s="244">
        <v>60</v>
      </c>
      <c r="W349" s="244">
        <v>139</v>
      </c>
      <c r="X349" s="244">
        <v>1140</v>
      </c>
      <c r="Y349" s="244">
        <v>67</v>
      </c>
      <c r="Z349" s="244">
        <v>3656</v>
      </c>
      <c r="AA349" s="87" t="s">
        <v>1649</v>
      </c>
      <c r="AB349" s="87" t="s">
        <v>1648</v>
      </c>
      <c r="AC349" s="244">
        <v>0</v>
      </c>
      <c r="AD349" s="87" t="s">
        <v>1648</v>
      </c>
      <c r="AE349" s="244">
        <v>60458</v>
      </c>
      <c r="AF349" s="87" t="s">
        <v>1650</v>
      </c>
      <c r="AG349" s="87" t="s">
        <v>1649</v>
      </c>
      <c r="AH349" s="87" t="s">
        <v>1648</v>
      </c>
      <c r="AI349" s="87" t="s">
        <v>1648</v>
      </c>
      <c r="AJ349" s="87" t="s">
        <v>1648</v>
      </c>
    </row>
    <row r="350" spans="1:36" ht="13.5" thickBot="1" x14ac:dyDescent="0.25">
      <c r="A350" s="48" t="s">
        <v>140</v>
      </c>
      <c r="B350" s="347" t="s">
        <v>139</v>
      </c>
      <c r="C350" s="48" t="s">
        <v>3098</v>
      </c>
      <c r="D350" s="48" t="s">
        <v>54</v>
      </c>
      <c r="E350" s="48" t="s">
        <v>1919</v>
      </c>
      <c r="F350" s="87" t="s">
        <v>1648</v>
      </c>
      <c r="G350" s="87" t="s">
        <v>1648</v>
      </c>
      <c r="H350" s="244">
        <v>0</v>
      </c>
      <c r="I350" s="87" t="s">
        <v>1649</v>
      </c>
      <c r="J350" s="244">
        <v>0</v>
      </c>
      <c r="K350" s="87" t="s">
        <v>1649</v>
      </c>
      <c r="L350" s="87" t="s">
        <v>1649</v>
      </c>
      <c r="M350" s="244">
        <v>0</v>
      </c>
      <c r="N350" s="87" t="s">
        <v>1648</v>
      </c>
      <c r="O350" s="87" t="s">
        <v>1648</v>
      </c>
      <c r="P350" s="87" t="s">
        <v>1648</v>
      </c>
      <c r="Q350" s="244">
        <v>21</v>
      </c>
      <c r="R350" s="244">
        <v>789</v>
      </c>
      <c r="S350" s="244">
        <v>1</v>
      </c>
      <c r="T350" s="244">
        <v>62</v>
      </c>
      <c r="U350" s="244">
        <v>31</v>
      </c>
      <c r="V350" s="244">
        <v>401</v>
      </c>
      <c r="W350" s="244">
        <v>0</v>
      </c>
      <c r="X350" s="244">
        <v>0</v>
      </c>
      <c r="Y350" s="244">
        <v>0</v>
      </c>
      <c r="Z350" s="244">
        <v>0</v>
      </c>
      <c r="AA350" s="87" t="s">
        <v>1649</v>
      </c>
      <c r="AB350" s="87" t="s">
        <v>1649</v>
      </c>
      <c r="AC350" s="244">
        <v>0</v>
      </c>
      <c r="AD350" s="87" t="s">
        <v>1648</v>
      </c>
      <c r="AE350" s="244">
        <v>57974</v>
      </c>
      <c r="AF350" s="87" t="s">
        <v>1651</v>
      </c>
      <c r="AG350" s="87" t="s">
        <v>1649</v>
      </c>
      <c r="AH350" s="87" t="s">
        <v>1648</v>
      </c>
      <c r="AI350" s="87" t="s">
        <v>1648</v>
      </c>
      <c r="AJ350" s="87" t="s">
        <v>1648</v>
      </c>
    </row>
    <row r="351" spans="1:36" ht="13.5" thickBot="1" x14ac:dyDescent="0.25">
      <c r="A351" s="48" t="s">
        <v>142</v>
      </c>
      <c r="B351" s="347" t="s">
        <v>141</v>
      </c>
      <c r="C351" s="48" t="s">
        <v>3055</v>
      </c>
      <c r="D351" s="48" t="s">
        <v>54</v>
      </c>
      <c r="E351" s="48" t="s">
        <v>1949</v>
      </c>
      <c r="F351" s="87" t="s">
        <v>1648</v>
      </c>
      <c r="G351" s="87" t="s">
        <v>1648</v>
      </c>
      <c r="H351" s="244">
        <v>23394</v>
      </c>
      <c r="I351" s="87" t="s">
        <v>1649</v>
      </c>
      <c r="J351" s="244">
        <v>0</v>
      </c>
      <c r="K351" s="87" t="s">
        <v>1649</v>
      </c>
      <c r="L351" s="87" t="s">
        <v>1649</v>
      </c>
      <c r="M351" s="244">
        <v>0</v>
      </c>
      <c r="N351" s="87" t="s">
        <v>1648</v>
      </c>
      <c r="O351" s="87" t="s">
        <v>1648</v>
      </c>
      <c r="P351" s="87" t="s">
        <v>1648</v>
      </c>
      <c r="Q351" s="244">
        <v>0</v>
      </c>
      <c r="R351" s="244">
        <v>0</v>
      </c>
      <c r="S351" s="244">
        <v>0</v>
      </c>
      <c r="T351" s="244">
        <v>0</v>
      </c>
      <c r="U351" s="244">
        <v>0</v>
      </c>
      <c r="V351" s="244">
        <v>0</v>
      </c>
      <c r="W351" s="244">
        <v>2069</v>
      </c>
      <c r="X351" s="244">
        <v>150951</v>
      </c>
      <c r="Y351" s="244">
        <v>29</v>
      </c>
      <c r="Z351" s="244">
        <v>17984</v>
      </c>
      <c r="AA351" s="87" t="s">
        <v>1648</v>
      </c>
      <c r="AB351" s="87" t="s">
        <v>1648</v>
      </c>
      <c r="AC351" s="244">
        <v>207</v>
      </c>
      <c r="AD351" s="87" t="s">
        <v>1648</v>
      </c>
      <c r="AE351" s="244">
        <v>125000</v>
      </c>
      <c r="AF351" s="87" t="s">
        <v>1650</v>
      </c>
      <c r="AG351" s="87" t="s">
        <v>1648</v>
      </c>
      <c r="AH351" s="87" t="s">
        <v>1648</v>
      </c>
      <c r="AI351" s="87" t="s">
        <v>1648</v>
      </c>
      <c r="AJ351" s="87" t="s">
        <v>1648</v>
      </c>
    </row>
    <row r="352" spans="1:36" ht="13.5" thickBot="1" x14ac:dyDescent="0.25">
      <c r="A352" s="48" t="s">
        <v>172</v>
      </c>
      <c r="B352" s="347" t="s">
        <v>171</v>
      </c>
      <c r="C352" s="48" t="s">
        <v>3055</v>
      </c>
      <c r="D352" s="48" t="s">
        <v>54</v>
      </c>
      <c r="E352" s="48" t="s">
        <v>1949</v>
      </c>
      <c r="F352" s="87" t="s">
        <v>1648</v>
      </c>
      <c r="G352" s="87" t="s">
        <v>1648</v>
      </c>
      <c r="H352" s="244">
        <v>45</v>
      </c>
      <c r="I352" s="87" t="s">
        <v>1649</v>
      </c>
      <c r="J352" s="244">
        <v>0</v>
      </c>
      <c r="K352" s="87" t="s">
        <v>1649</v>
      </c>
      <c r="L352" s="87" t="s">
        <v>1649</v>
      </c>
      <c r="M352" s="244">
        <v>0</v>
      </c>
      <c r="N352" s="87" t="s">
        <v>1648</v>
      </c>
      <c r="O352" s="87" t="s">
        <v>1648</v>
      </c>
      <c r="P352" s="87" t="s">
        <v>1648</v>
      </c>
      <c r="Q352" s="244">
        <v>14</v>
      </c>
      <c r="R352" s="244">
        <v>122</v>
      </c>
      <c r="S352" s="244">
        <v>8</v>
      </c>
      <c r="T352" s="244">
        <v>70</v>
      </c>
      <c r="U352" s="244">
        <v>1</v>
      </c>
      <c r="V352" s="244">
        <v>18</v>
      </c>
      <c r="W352" s="244">
        <v>0</v>
      </c>
      <c r="X352" s="244">
        <v>0</v>
      </c>
      <c r="Y352" s="244">
        <v>11</v>
      </c>
      <c r="Z352" s="244">
        <v>317</v>
      </c>
      <c r="AA352" s="87" t="s">
        <v>1648</v>
      </c>
      <c r="AB352" s="87" t="s">
        <v>1648</v>
      </c>
      <c r="AC352" s="244">
        <v>4</v>
      </c>
      <c r="AD352" s="87" t="s">
        <v>1648</v>
      </c>
      <c r="AE352" s="244">
        <v>74713</v>
      </c>
      <c r="AF352" s="87" t="s">
        <v>1650</v>
      </c>
      <c r="AG352" s="87" t="s">
        <v>1648</v>
      </c>
      <c r="AH352" s="87" t="s">
        <v>1648</v>
      </c>
      <c r="AI352" s="87" t="s">
        <v>1649</v>
      </c>
      <c r="AJ352" s="87" t="s">
        <v>1648</v>
      </c>
    </row>
    <row r="353" spans="1:36" ht="13.5" thickBot="1" x14ac:dyDescent="0.25">
      <c r="A353" s="48" t="s">
        <v>178</v>
      </c>
      <c r="B353" s="347" t="s">
        <v>177</v>
      </c>
      <c r="C353" s="48" t="s">
        <v>3144</v>
      </c>
      <c r="D353" s="48" t="s">
        <v>54</v>
      </c>
      <c r="E353" s="48" t="s">
        <v>1949</v>
      </c>
      <c r="F353" s="87" t="s">
        <v>1648</v>
      </c>
      <c r="G353" s="87" t="s">
        <v>1648</v>
      </c>
      <c r="H353" s="244">
        <v>770</v>
      </c>
      <c r="I353" s="87" t="s">
        <v>1649</v>
      </c>
      <c r="J353" s="244">
        <v>0</v>
      </c>
      <c r="K353" s="87" t="s">
        <v>1649</v>
      </c>
      <c r="L353" s="87" t="s">
        <v>1649</v>
      </c>
      <c r="M353" s="244">
        <v>0</v>
      </c>
      <c r="N353" s="87" t="s">
        <v>1648</v>
      </c>
      <c r="O353" s="87" t="s">
        <v>1648</v>
      </c>
      <c r="P353" s="87" t="s">
        <v>1648</v>
      </c>
      <c r="Q353" s="244">
        <v>52</v>
      </c>
      <c r="R353" s="244">
        <v>594</v>
      </c>
      <c r="S353" s="244">
        <v>100</v>
      </c>
      <c r="T353" s="244">
        <v>758</v>
      </c>
      <c r="U353" s="244">
        <v>120</v>
      </c>
      <c r="V353" s="244">
        <v>1221</v>
      </c>
      <c r="W353" s="244">
        <v>0</v>
      </c>
      <c r="X353" s="244">
        <v>0</v>
      </c>
      <c r="Y353" s="244">
        <v>64</v>
      </c>
      <c r="Z353" s="244">
        <v>27119</v>
      </c>
      <c r="AA353" s="87" t="s">
        <v>1648</v>
      </c>
      <c r="AB353" s="87" t="s">
        <v>1648</v>
      </c>
      <c r="AC353" s="244">
        <v>358</v>
      </c>
      <c r="AD353" s="87" t="s">
        <v>1648</v>
      </c>
      <c r="AE353" s="244">
        <v>0</v>
      </c>
      <c r="AF353" s="87" t="s">
        <v>1650</v>
      </c>
      <c r="AG353" s="87" t="s">
        <v>1648</v>
      </c>
      <c r="AH353" s="87" t="s">
        <v>1648</v>
      </c>
      <c r="AI353" s="87" t="s">
        <v>1649</v>
      </c>
      <c r="AJ353" s="87" t="s">
        <v>1648</v>
      </c>
    </row>
    <row r="354" spans="1:36" ht="13.5" thickBot="1" x14ac:dyDescent="0.25">
      <c r="A354" s="48" t="s">
        <v>212</v>
      </c>
      <c r="B354" s="347" t="s">
        <v>211</v>
      </c>
      <c r="C354" s="48" t="s">
        <v>3098</v>
      </c>
      <c r="D354" s="48" t="s">
        <v>54</v>
      </c>
      <c r="E354" s="48" t="s">
        <v>890</v>
      </c>
      <c r="F354" s="87" t="s">
        <v>1648</v>
      </c>
      <c r="G354" s="87" t="s">
        <v>1648</v>
      </c>
      <c r="H354" s="244">
        <v>910</v>
      </c>
      <c r="I354" s="87" t="s">
        <v>1649</v>
      </c>
      <c r="J354" s="244">
        <v>0</v>
      </c>
      <c r="K354" s="87" t="s">
        <v>1648</v>
      </c>
      <c r="L354" s="87" t="s">
        <v>1649</v>
      </c>
      <c r="M354" s="244">
        <v>0</v>
      </c>
      <c r="N354" s="87" t="s">
        <v>1648</v>
      </c>
      <c r="O354" s="87" t="s">
        <v>1648</v>
      </c>
      <c r="P354" s="87" t="s">
        <v>1648</v>
      </c>
      <c r="Q354" s="244">
        <v>27</v>
      </c>
      <c r="R354" s="244">
        <v>105</v>
      </c>
      <c r="S354" s="244">
        <v>12</v>
      </c>
      <c r="T354" s="244">
        <v>62</v>
      </c>
      <c r="U354" s="244">
        <v>50</v>
      </c>
      <c r="V354" s="244">
        <v>251</v>
      </c>
      <c r="W354" s="244">
        <v>0</v>
      </c>
      <c r="X354" s="244">
        <v>0</v>
      </c>
      <c r="Y354" s="244">
        <v>515</v>
      </c>
      <c r="Z354" s="244">
        <v>34501</v>
      </c>
      <c r="AA354" s="87" t="s">
        <v>1648</v>
      </c>
      <c r="AB354" s="87" t="s">
        <v>1648</v>
      </c>
      <c r="AC354" s="244">
        <v>45</v>
      </c>
      <c r="AD354" s="87" t="s">
        <v>1648</v>
      </c>
      <c r="AE354" s="244">
        <v>12621</v>
      </c>
      <c r="AF354" s="87" t="s">
        <v>1650</v>
      </c>
      <c r="AG354" s="87" t="s">
        <v>1648</v>
      </c>
      <c r="AH354" s="87" t="s">
        <v>1648</v>
      </c>
      <c r="AI354" s="87" t="s">
        <v>1649</v>
      </c>
      <c r="AJ354" s="87" t="s">
        <v>1648</v>
      </c>
    </row>
    <row r="355" spans="1:36" ht="13.5" thickBot="1" x14ac:dyDescent="0.25">
      <c r="A355" s="48" t="s">
        <v>214</v>
      </c>
      <c r="B355" s="347" t="s">
        <v>213</v>
      </c>
      <c r="C355" s="48" t="s">
        <v>3098</v>
      </c>
      <c r="D355" s="48" t="s">
        <v>54</v>
      </c>
      <c r="E355" s="48" t="s">
        <v>890</v>
      </c>
      <c r="F355" s="87" t="s">
        <v>1648</v>
      </c>
      <c r="G355" s="87" t="s">
        <v>1648</v>
      </c>
      <c r="H355" s="244">
        <v>256</v>
      </c>
      <c r="I355" s="87" t="s">
        <v>1648</v>
      </c>
      <c r="J355" s="244">
        <v>128</v>
      </c>
      <c r="K355" s="87" t="s">
        <v>1649</v>
      </c>
      <c r="L355" s="87" t="s">
        <v>1649</v>
      </c>
      <c r="M355" s="244">
        <v>0</v>
      </c>
      <c r="N355" s="87" t="s">
        <v>1648</v>
      </c>
      <c r="O355" s="87" t="s">
        <v>1648</v>
      </c>
      <c r="P355" s="87" t="s">
        <v>1648</v>
      </c>
      <c r="Q355" s="244">
        <v>54</v>
      </c>
      <c r="R355" s="244">
        <v>521</v>
      </c>
      <c r="S355" s="244">
        <v>1</v>
      </c>
      <c r="T355" s="244">
        <v>0</v>
      </c>
      <c r="U355" s="244">
        <v>10</v>
      </c>
      <c r="V355" s="244">
        <v>92</v>
      </c>
      <c r="W355" s="244">
        <v>0</v>
      </c>
      <c r="X355" s="244">
        <v>0</v>
      </c>
      <c r="Y355" s="244">
        <v>2</v>
      </c>
      <c r="Z355" s="244">
        <v>13417</v>
      </c>
      <c r="AA355" s="87" t="s">
        <v>1648</v>
      </c>
      <c r="AB355" s="87" t="s">
        <v>1648</v>
      </c>
      <c r="AC355" s="244">
        <v>72</v>
      </c>
      <c r="AD355" s="87" t="s">
        <v>1648</v>
      </c>
      <c r="AE355" s="244">
        <v>30000</v>
      </c>
      <c r="AF355" s="87" t="s">
        <v>1650</v>
      </c>
      <c r="AG355" s="87" t="s">
        <v>1648</v>
      </c>
      <c r="AH355" s="87" t="s">
        <v>1648</v>
      </c>
      <c r="AI355" s="87" t="s">
        <v>1649</v>
      </c>
      <c r="AJ355" s="87" t="s">
        <v>1649</v>
      </c>
    </row>
    <row r="356" spans="1:36" ht="13.5" thickBot="1" x14ac:dyDescent="0.25">
      <c r="A356" s="48" t="s">
        <v>222</v>
      </c>
      <c r="B356" s="347" t="s">
        <v>221</v>
      </c>
      <c r="C356" s="48" t="s">
        <v>3183</v>
      </c>
      <c r="D356" s="48" t="s">
        <v>54</v>
      </c>
      <c r="E356" s="48" t="s">
        <v>890</v>
      </c>
      <c r="F356" s="87" t="s">
        <v>1648</v>
      </c>
      <c r="G356" s="87" t="s">
        <v>1649</v>
      </c>
      <c r="H356" s="244">
        <v>0</v>
      </c>
      <c r="I356" s="87" t="s">
        <v>1648</v>
      </c>
      <c r="J356" s="244">
        <v>61600</v>
      </c>
      <c r="K356" s="87" t="s">
        <v>1649</v>
      </c>
      <c r="L356" s="87" t="s">
        <v>1648</v>
      </c>
      <c r="M356" s="244">
        <v>3000000</v>
      </c>
      <c r="N356" s="87" t="s">
        <v>1648</v>
      </c>
      <c r="O356" s="87" t="s">
        <v>1648</v>
      </c>
      <c r="P356" s="87" t="s">
        <v>1648</v>
      </c>
      <c r="Q356" s="244">
        <v>18</v>
      </c>
      <c r="R356" s="244">
        <v>529</v>
      </c>
      <c r="S356" s="244">
        <v>8</v>
      </c>
      <c r="T356" s="244">
        <v>227</v>
      </c>
      <c r="U356" s="244">
        <v>29</v>
      </c>
      <c r="V356" s="244">
        <v>700</v>
      </c>
      <c r="W356" s="244">
        <v>3</v>
      </c>
      <c r="X356" s="244">
        <v>73</v>
      </c>
      <c r="Y356" s="244">
        <v>215</v>
      </c>
      <c r="Z356" s="244">
        <v>0</v>
      </c>
      <c r="AA356" s="87" t="s">
        <v>1648</v>
      </c>
      <c r="AB356" s="87" t="s">
        <v>1648</v>
      </c>
      <c r="AC356" s="244">
        <v>178</v>
      </c>
      <c r="AD356" s="87" t="s">
        <v>1648</v>
      </c>
      <c r="AE356" s="244">
        <v>379138</v>
      </c>
      <c r="AF356" s="87" t="s">
        <v>1651</v>
      </c>
      <c r="AG356" s="87" t="s">
        <v>1648</v>
      </c>
      <c r="AH356" s="87" t="s">
        <v>1648</v>
      </c>
      <c r="AI356" s="87" t="s">
        <v>1648</v>
      </c>
      <c r="AJ356" s="87" t="s">
        <v>1648</v>
      </c>
    </row>
    <row r="357" spans="1:36" ht="13.5" thickBot="1" x14ac:dyDescent="0.25">
      <c r="A357" s="48" t="s">
        <v>266</v>
      </c>
      <c r="B357" s="347" t="s">
        <v>265</v>
      </c>
      <c r="C357" s="48" t="s">
        <v>3098</v>
      </c>
      <c r="D357" s="48" t="s">
        <v>54</v>
      </c>
      <c r="E357" s="48" t="s">
        <v>1949</v>
      </c>
      <c r="F357" s="87" t="s">
        <v>1648</v>
      </c>
      <c r="G357" s="87" t="s">
        <v>1648</v>
      </c>
      <c r="H357" s="244">
        <v>1322</v>
      </c>
      <c r="I357" s="87" t="s">
        <v>1648</v>
      </c>
      <c r="J357" s="244">
        <v>942</v>
      </c>
      <c r="K357" s="87" t="s">
        <v>1649</v>
      </c>
      <c r="L357" s="87" t="s">
        <v>1648</v>
      </c>
      <c r="M357" s="244">
        <v>335067</v>
      </c>
      <c r="N357" s="87" t="s">
        <v>1648</v>
      </c>
      <c r="O357" s="87" t="s">
        <v>1648</v>
      </c>
      <c r="P357" s="87" t="s">
        <v>1648</v>
      </c>
      <c r="Q357" s="244">
        <v>65</v>
      </c>
      <c r="R357" s="244">
        <v>950</v>
      </c>
      <c r="S357" s="244">
        <v>30</v>
      </c>
      <c r="T357" s="244">
        <v>480</v>
      </c>
      <c r="U357" s="244">
        <v>106</v>
      </c>
      <c r="V357" s="244">
        <v>950</v>
      </c>
      <c r="W357" s="244">
        <v>11</v>
      </c>
      <c r="X357" s="244">
        <v>988</v>
      </c>
      <c r="Y357" s="244">
        <v>59</v>
      </c>
      <c r="Z357" s="244">
        <v>4476</v>
      </c>
      <c r="AA357" s="87" t="s">
        <v>1648</v>
      </c>
      <c r="AB357" s="87" t="s">
        <v>1648</v>
      </c>
      <c r="AC357" s="244">
        <v>314</v>
      </c>
      <c r="AD357" s="87" t="s">
        <v>1648</v>
      </c>
      <c r="AE357" s="244">
        <v>127247</v>
      </c>
      <c r="AF357" s="87" t="s">
        <v>1651</v>
      </c>
      <c r="AG357" s="87" t="s">
        <v>1649</v>
      </c>
      <c r="AH357" s="87" t="s">
        <v>1648</v>
      </c>
      <c r="AI357" s="87" t="s">
        <v>1649</v>
      </c>
      <c r="AJ357" s="87" t="s">
        <v>1648</v>
      </c>
    </row>
    <row r="358" spans="1:36" ht="13.5" thickBot="1" x14ac:dyDescent="0.25">
      <c r="A358" s="48" t="s">
        <v>278</v>
      </c>
      <c r="B358" s="347" t="s">
        <v>277</v>
      </c>
      <c r="C358" s="48" t="s">
        <v>3055</v>
      </c>
      <c r="D358" s="48" t="s">
        <v>54</v>
      </c>
      <c r="E358" s="48" t="s">
        <v>1949</v>
      </c>
      <c r="F358" s="87" t="s">
        <v>1648</v>
      </c>
      <c r="G358" s="87" t="s">
        <v>1648</v>
      </c>
      <c r="H358" s="244">
        <v>405</v>
      </c>
      <c r="I358" s="87" t="s">
        <v>1649</v>
      </c>
      <c r="J358" s="244">
        <v>0</v>
      </c>
      <c r="K358" s="87" t="s">
        <v>1649</v>
      </c>
      <c r="L358" s="87" t="s">
        <v>1649</v>
      </c>
      <c r="M358" s="244">
        <v>0</v>
      </c>
      <c r="N358" s="87" t="s">
        <v>1648</v>
      </c>
      <c r="O358" s="87" t="s">
        <v>1648</v>
      </c>
      <c r="P358" s="87" t="s">
        <v>1648</v>
      </c>
      <c r="Q358" s="244">
        <v>20</v>
      </c>
      <c r="R358" s="244">
        <v>120</v>
      </c>
      <c r="S358" s="244">
        <v>6</v>
      </c>
      <c r="T358" s="244">
        <v>31</v>
      </c>
      <c r="U358" s="244">
        <v>5</v>
      </c>
      <c r="V358" s="244">
        <v>304</v>
      </c>
      <c r="W358" s="244">
        <v>0</v>
      </c>
      <c r="X358" s="244">
        <v>0</v>
      </c>
      <c r="Y358" s="244">
        <v>59</v>
      </c>
      <c r="Z358" s="244">
        <v>563</v>
      </c>
      <c r="AA358" s="87" t="s">
        <v>1649</v>
      </c>
      <c r="AB358" s="87" t="s">
        <v>1649</v>
      </c>
      <c r="AC358" s="244">
        <v>0</v>
      </c>
      <c r="AD358" s="87" t="s">
        <v>1648</v>
      </c>
      <c r="AE358" s="244">
        <v>18675</v>
      </c>
      <c r="AF358" s="87" t="s">
        <v>1650</v>
      </c>
      <c r="AG358" s="87" t="s">
        <v>1648</v>
      </c>
      <c r="AH358" s="87" t="s">
        <v>1649</v>
      </c>
      <c r="AI358" s="87" t="s">
        <v>1648</v>
      </c>
      <c r="AJ358" s="87" t="s">
        <v>1648</v>
      </c>
    </row>
    <row r="359" spans="1:36" ht="13.5" thickBot="1" x14ac:dyDescent="0.25">
      <c r="A359" s="48" t="s">
        <v>304</v>
      </c>
      <c r="B359" s="347" t="s">
        <v>303</v>
      </c>
      <c r="C359" s="48" t="s">
        <v>3055</v>
      </c>
      <c r="D359" s="48" t="s">
        <v>54</v>
      </c>
      <c r="E359" s="48" t="s">
        <v>1949</v>
      </c>
      <c r="F359" s="87" t="s">
        <v>1648</v>
      </c>
      <c r="G359" s="87" t="s">
        <v>1649</v>
      </c>
      <c r="H359" s="244">
        <v>0</v>
      </c>
      <c r="I359" s="87" t="s">
        <v>1649</v>
      </c>
      <c r="J359" s="244">
        <v>0</v>
      </c>
      <c r="K359" s="87" t="s">
        <v>1649</v>
      </c>
      <c r="L359" s="87" t="s">
        <v>1649</v>
      </c>
      <c r="M359" s="244">
        <v>0</v>
      </c>
      <c r="N359" s="87" t="s">
        <v>1649</v>
      </c>
      <c r="O359" s="87" t="s">
        <v>1648</v>
      </c>
      <c r="P359" s="87" t="s">
        <v>1648</v>
      </c>
      <c r="Q359" s="244">
        <v>15</v>
      </c>
      <c r="R359" s="244">
        <v>1129</v>
      </c>
      <c r="S359" s="244">
        <v>3</v>
      </c>
      <c r="T359" s="244">
        <v>666</v>
      </c>
      <c r="U359" s="244">
        <v>13</v>
      </c>
      <c r="V359" s="244">
        <v>1849</v>
      </c>
      <c r="W359" s="244">
        <v>1</v>
      </c>
      <c r="X359" s="244">
        <v>375</v>
      </c>
      <c r="Y359" s="244">
        <v>19</v>
      </c>
      <c r="Z359" s="244">
        <v>6563</v>
      </c>
      <c r="AA359" s="87" t="s">
        <v>1649</v>
      </c>
      <c r="AB359" s="87" t="s">
        <v>1649</v>
      </c>
      <c r="AC359" s="244">
        <v>0</v>
      </c>
      <c r="AD359" s="87" t="s">
        <v>1649</v>
      </c>
      <c r="AE359" s="244">
        <v>321535</v>
      </c>
      <c r="AF359" s="87" t="s">
        <v>1650</v>
      </c>
      <c r="AG359" s="87" t="s">
        <v>1648</v>
      </c>
      <c r="AH359" s="87" t="s">
        <v>1648</v>
      </c>
      <c r="AI359" s="87" t="s">
        <v>1649</v>
      </c>
      <c r="AJ359" s="87" t="s">
        <v>1648</v>
      </c>
    </row>
    <row r="360" spans="1:36" ht="13.5" thickBot="1" x14ac:dyDescent="0.25">
      <c r="A360" s="48" t="s">
        <v>318</v>
      </c>
      <c r="B360" s="347" t="s">
        <v>317</v>
      </c>
      <c r="C360" s="48" t="s">
        <v>3055</v>
      </c>
      <c r="D360" s="48" t="s">
        <v>54</v>
      </c>
      <c r="E360" s="48" t="s">
        <v>890</v>
      </c>
      <c r="F360" s="87" t="s">
        <v>1648</v>
      </c>
      <c r="G360" s="87" t="s">
        <v>1648</v>
      </c>
      <c r="H360" s="244">
        <v>794</v>
      </c>
      <c r="I360" s="87" t="s">
        <v>1648</v>
      </c>
      <c r="J360" s="244">
        <v>0</v>
      </c>
      <c r="K360" s="87" t="s">
        <v>1649</v>
      </c>
      <c r="L360" s="87" t="s">
        <v>1648</v>
      </c>
      <c r="M360" s="244">
        <v>600000</v>
      </c>
      <c r="N360" s="87" t="s">
        <v>1648</v>
      </c>
      <c r="O360" s="87" t="s">
        <v>1649</v>
      </c>
      <c r="P360" s="87" t="s">
        <v>1649</v>
      </c>
      <c r="Q360" s="244">
        <v>0</v>
      </c>
      <c r="R360" s="244">
        <v>0</v>
      </c>
      <c r="S360" s="244">
        <v>0</v>
      </c>
      <c r="T360" s="244">
        <v>0</v>
      </c>
      <c r="U360" s="244">
        <v>0</v>
      </c>
      <c r="V360" s="244">
        <v>0</v>
      </c>
      <c r="W360" s="244">
        <v>0</v>
      </c>
      <c r="X360" s="244">
        <v>0</v>
      </c>
      <c r="Y360" s="244">
        <v>0</v>
      </c>
      <c r="Z360" s="244">
        <v>0</v>
      </c>
      <c r="AA360" s="87" t="s">
        <v>1648</v>
      </c>
      <c r="AB360" s="87" t="s">
        <v>1649</v>
      </c>
      <c r="AC360" s="244">
        <v>0</v>
      </c>
      <c r="AD360" s="87" t="s">
        <v>1648</v>
      </c>
      <c r="AE360" s="244">
        <v>34385</v>
      </c>
      <c r="AF360" s="87" t="s">
        <v>1651</v>
      </c>
      <c r="AG360" s="87" t="s">
        <v>1648</v>
      </c>
      <c r="AH360" s="87" t="s">
        <v>1649</v>
      </c>
      <c r="AI360" s="87" t="s">
        <v>1649</v>
      </c>
      <c r="AJ360" s="87" t="s">
        <v>1648</v>
      </c>
    </row>
    <row r="361" spans="1:36" ht="13.5" thickBot="1" x14ac:dyDescent="0.25">
      <c r="A361" s="48" t="s">
        <v>322</v>
      </c>
      <c r="B361" s="347" t="s">
        <v>321</v>
      </c>
      <c r="C361" s="48" t="s">
        <v>3074</v>
      </c>
      <c r="D361" s="48" t="s">
        <v>54</v>
      </c>
      <c r="E361" s="48" t="s">
        <v>890</v>
      </c>
      <c r="F361" s="87" t="s">
        <v>1648</v>
      </c>
      <c r="G361" s="87" t="s">
        <v>1648</v>
      </c>
      <c r="H361" s="244">
        <v>600</v>
      </c>
      <c r="I361" s="87" t="s">
        <v>1649</v>
      </c>
      <c r="J361" s="244">
        <v>0</v>
      </c>
      <c r="K361" s="87" t="s">
        <v>1649</v>
      </c>
      <c r="L361" s="87" t="s">
        <v>1649</v>
      </c>
      <c r="M361" s="244">
        <v>0</v>
      </c>
      <c r="N361" s="87" t="s">
        <v>1648</v>
      </c>
      <c r="O361" s="87" t="s">
        <v>1648</v>
      </c>
      <c r="P361" s="87" t="s">
        <v>1648</v>
      </c>
      <c r="Q361" s="244">
        <v>0</v>
      </c>
      <c r="R361" s="244">
        <v>0</v>
      </c>
      <c r="S361" s="244">
        <v>4</v>
      </c>
      <c r="T361" s="244">
        <v>1450</v>
      </c>
      <c r="U361" s="244">
        <v>1</v>
      </c>
      <c r="V361" s="244">
        <v>27</v>
      </c>
      <c r="W361" s="244">
        <v>0</v>
      </c>
      <c r="X361" s="244">
        <v>0</v>
      </c>
      <c r="Y361" s="244">
        <v>37</v>
      </c>
      <c r="Z361" s="244">
        <v>15101</v>
      </c>
      <c r="AA361" s="87" t="s">
        <v>1648</v>
      </c>
      <c r="AB361" s="87" t="s">
        <v>1649</v>
      </c>
      <c r="AC361" s="244">
        <v>0</v>
      </c>
      <c r="AD361" s="87" t="s">
        <v>1648</v>
      </c>
      <c r="AE361" s="244">
        <v>74776</v>
      </c>
      <c r="AF361" s="87" t="s">
        <v>1650</v>
      </c>
      <c r="AG361" s="87" t="s">
        <v>1648</v>
      </c>
      <c r="AH361" s="87" t="s">
        <v>1648</v>
      </c>
      <c r="AI361" s="87" t="s">
        <v>1649</v>
      </c>
      <c r="AJ361" s="87" t="s">
        <v>1648</v>
      </c>
    </row>
    <row r="362" spans="1:36" ht="13.5" thickBot="1" x14ac:dyDescent="0.25">
      <c r="A362" s="48" t="s">
        <v>326</v>
      </c>
      <c r="B362" s="347" t="s">
        <v>325</v>
      </c>
      <c r="C362" s="48" t="s">
        <v>3098</v>
      </c>
      <c r="D362" s="48" t="s">
        <v>54</v>
      </c>
      <c r="E362" s="48" t="s">
        <v>1949</v>
      </c>
      <c r="F362" s="87" t="s">
        <v>1648</v>
      </c>
      <c r="G362" s="87" t="s">
        <v>1648</v>
      </c>
      <c r="H362" s="244">
        <v>720</v>
      </c>
      <c r="I362" s="87" t="s">
        <v>1649</v>
      </c>
      <c r="J362" s="244">
        <v>0</v>
      </c>
      <c r="K362" s="87" t="s">
        <v>1649</v>
      </c>
      <c r="L362" s="87" t="s">
        <v>1649</v>
      </c>
      <c r="M362" s="244">
        <v>0</v>
      </c>
      <c r="N362" s="87" t="s">
        <v>1648</v>
      </c>
      <c r="O362" s="87" t="s">
        <v>1648</v>
      </c>
      <c r="P362" s="87" t="s">
        <v>1648</v>
      </c>
      <c r="Q362" s="244">
        <v>78</v>
      </c>
      <c r="R362" s="244">
        <v>3745</v>
      </c>
      <c r="S362" s="244">
        <v>2</v>
      </c>
      <c r="T362" s="244">
        <v>10</v>
      </c>
      <c r="U362" s="244">
        <v>47</v>
      </c>
      <c r="V362" s="244">
        <v>1109</v>
      </c>
      <c r="W362" s="244">
        <v>10</v>
      </c>
      <c r="X362" s="244">
        <v>167</v>
      </c>
      <c r="Y362" s="244">
        <v>5</v>
      </c>
      <c r="Z362" s="244">
        <v>711</v>
      </c>
      <c r="AA362" s="87" t="s">
        <v>1648</v>
      </c>
      <c r="AB362" s="87" t="s">
        <v>1648</v>
      </c>
      <c r="AC362" s="244">
        <v>49</v>
      </c>
      <c r="AD362" s="87" t="s">
        <v>1648</v>
      </c>
      <c r="AE362" s="244">
        <v>45077</v>
      </c>
      <c r="AF362" s="87" t="s">
        <v>1651</v>
      </c>
      <c r="AG362" s="87" t="s">
        <v>1648</v>
      </c>
      <c r="AH362" s="87" t="s">
        <v>1648</v>
      </c>
      <c r="AI362" s="87" t="s">
        <v>1648</v>
      </c>
      <c r="AJ362" s="87" t="s">
        <v>1648</v>
      </c>
    </row>
    <row r="363" spans="1:36" ht="13.5" thickBot="1" x14ac:dyDescent="0.25">
      <c r="A363" s="48" t="s">
        <v>352</v>
      </c>
      <c r="B363" s="347" t="s">
        <v>351</v>
      </c>
      <c r="C363" s="48" t="s">
        <v>3074</v>
      </c>
      <c r="D363" s="48" t="s">
        <v>54</v>
      </c>
      <c r="E363" s="48" t="s">
        <v>1949</v>
      </c>
      <c r="F363" s="87" t="s">
        <v>1648</v>
      </c>
      <c r="G363" s="87" t="s">
        <v>1648</v>
      </c>
      <c r="H363" s="244">
        <v>9517</v>
      </c>
      <c r="I363" s="87" t="s">
        <v>1649</v>
      </c>
      <c r="J363" s="244">
        <v>0</v>
      </c>
      <c r="K363" s="87" t="s">
        <v>1649</v>
      </c>
      <c r="L363" s="87" t="s">
        <v>1649</v>
      </c>
      <c r="M363" s="244">
        <v>0</v>
      </c>
      <c r="N363" s="87" t="s">
        <v>1648</v>
      </c>
      <c r="O363" s="87" t="s">
        <v>1648</v>
      </c>
      <c r="P363" s="87" t="s">
        <v>1648</v>
      </c>
      <c r="Q363" s="244">
        <v>15</v>
      </c>
      <c r="R363" s="244">
        <v>241</v>
      </c>
      <c r="S363" s="244">
        <v>6</v>
      </c>
      <c r="T363" s="244">
        <v>9</v>
      </c>
      <c r="U363" s="244">
        <v>5</v>
      </c>
      <c r="V363" s="244">
        <v>143</v>
      </c>
      <c r="W363" s="244">
        <v>0</v>
      </c>
      <c r="X363" s="244">
        <v>0</v>
      </c>
      <c r="Y363" s="244">
        <v>19</v>
      </c>
      <c r="Z363" s="244">
        <v>1823</v>
      </c>
      <c r="AA363" s="87" t="s">
        <v>1648</v>
      </c>
      <c r="AB363" s="87" t="s">
        <v>1648</v>
      </c>
      <c r="AC363" s="244">
        <v>957</v>
      </c>
      <c r="AD363" s="87" t="s">
        <v>1648</v>
      </c>
      <c r="AE363" s="244">
        <v>139672</v>
      </c>
      <c r="AF363" s="87" t="s">
        <v>1650</v>
      </c>
      <c r="AG363" s="87" t="s">
        <v>1648</v>
      </c>
      <c r="AH363" s="87" t="s">
        <v>1648</v>
      </c>
      <c r="AI363" s="87" t="s">
        <v>1649</v>
      </c>
      <c r="AJ363" s="87" t="s">
        <v>1648</v>
      </c>
    </row>
    <row r="364" spans="1:36" ht="13.5" thickBot="1" x14ac:dyDescent="0.25">
      <c r="A364" s="48" t="s">
        <v>374</v>
      </c>
      <c r="B364" s="347" t="s">
        <v>373</v>
      </c>
      <c r="C364" s="48" t="s">
        <v>3098</v>
      </c>
      <c r="D364" s="48" t="s">
        <v>54</v>
      </c>
      <c r="E364" s="48" t="s">
        <v>1949</v>
      </c>
      <c r="F364" s="87" t="s">
        <v>1648</v>
      </c>
      <c r="G364" s="87" t="s">
        <v>1648</v>
      </c>
      <c r="H364" s="244">
        <v>72</v>
      </c>
      <c r="I364" s="87" t="s">
        <v>1649</v>
      </c>
      <c r="J364" s="244">
        <v>0</v>
      </c>
      <c r="K364" s="87" t="s">
        <v>1649</v>
      </c>
      <c r="L364" s="87" t="s">
        <v>1649</v>
      </c>
      <c r="M364" s="244">
        <v>0</v>
      </c>
      <c r="N364" s="87" t="s">
        <v>1648</v>
      </c>
      <c r="O364" s="87" t="s">
        <v>1648</v>
      </c>
      <c r="P364" s="87" t="s">
        <v>1648</v>
      </c>
      <c r="Q364" s="244">
        <v>14</v>
      </c>
      <c r="R364" s="244">
        <v>251</v>
      </c>
      <c r="S364" s="244">
        <v>4</v>
      </c>
      <c r="T364" s="244">
        <v>14</v>
      </c>
      <c r="U364" s="244">
        <v>7</v>
      </c>
      <c r="V364" s="244">
        <v>73</v>
      </c>
      <c r="W364" s="244">
        <v>0</v>
      </c>
      <c r="X364" s="244">
        <v>0</v>
      </c>
      <c r="Y364" s="244">
        <v>44</v>
      </c>
      <c r="Z364" s="244">
        <v>652</v>
      </c>
      <c r="AA364" s="87" t="s">
        <v>1648</v>
      </c>
      <c r="AB364" s="87" t="s">
        <v>1648</v>
      </c>
      <c r="AC364" s="244">
        <v>160</v>
      </c>
      <c r="AD364" s="87" t="s">
        <v>1648</v>
      </c>
      <c r="AE364" s="244">
        <v>39890</v>
      </c>
      <c r="AF364" s="87" t="s">
        <v>1650</v>
      </c>
      <c r="AG364" s="87" t="s">
        <v>1648</v>
      </c>
      <c r="AH364" s="87" t="s">
        <v>1648</v>
      </c>
      <c r="AI364" s="87" t="s">
        <v>1648</v>
      </c>
      <c r="AJ364" s="87" t="s">
        <v>1648</v>
      </c>
    </row>
    <row r="365" spans="1:36" ht="13.5" thickBot="1" x14ac:dyDescent="0.25">
      <c r="A365" s="48" t="s">
        <v>394</v>
      </c>
      <c r="B365" s="347" t="s">
        <v>393</v>
      </c>
      <c r="C365" s="48" t="s">
        <v>3061</v>
      </c>
      <c r="D365" s="48" t="s">
        <v>54</v>
      </c>
      <c r="E365" s="48" t="s">
        <v>1949</v>
      </c>
      <c r="F365" s="87" t="s">
        <v>1648</v>
      </c>
      <c r="G365" s="87" t="s">
        <v>1648</v>
      </c>
      <c r="H365" s="244">
        <v>13373</v>
      </c>
      <c r="I365" s="87" t="s">
        <v>1649</v>
      </c>
      <c r="J365" s="244">
        <v>0</v>
      </c>
      <c r="K365" s="87" t="s">
        <v>1649</v>
      </c>
      <c r="L365" s="87" t="s">
        <v>1649</v>
      </c>
      <c r="M365" s="244">
        <v>0</v>
      </c>
      <c r="N365" s="87" t="s">
        <v>1648</v>
      </c>
      <c r="O365" s="87" t="s">
        <v>1648</v>
      </c>
      <c r="P365" s="87" t="s">
        <v>1648</v>
      </c>
      <c r="Q365" s="244">
        <v>28</v>
      </c>
      <c r="R365" s="244">
        <v>7103</v>
      </c>
      <c r="S365" s="244">
        <v>4</v>
      </c>
      <c r="T365" s="244">
        <v>897</v>
      </c>
      <c r="U365" s="244">
        <v>29</v>
      </c>
      <c r="V365" s="244">
        <v>1179</v>
      </c>
      <c r="W365" s="244">
        <v>12</v>
      </c>
      <c r="X365" s="244">
        <v>1987</v>
      </c>
      <c r="Y365" s="244">
        <v>73</v>
      </c>
      <c r="Z365" s="244">
        <v>11166</v>
      </c>
      <c r="AA365" s="87" t="s">
        <v>1648</v>
      </c>
      <c r="AB365" s="87" t="s">
        <v>1648</v>
      </c>
      <c r="AC365" s="244">
        <v>250</v>
      </c>
      <c r="AD365" s="87" t="s">
        <v>1648</v>
      </c>
      <c r="AE365" s="244">
        <v>77467</v>
      </c>
      <c r="AF365" s="87" t="s">
        <v>1650</v>
      </c>
      <c r="AG365" s="87" t="s">
        <v>1648</v>
      </c>
      <c r="AH365" s="87" t="s">
        <v>1648</v>
      </c>
      <c r="AI365" s="87" t="s">
        <v>1649</v>
      </c>
      <c r="AJ365" s="87" t="s">
        <v>1648</v>
      </c>
    </row>
    <row r="366" spans="1:36" ht="13.5" thickBot="1" x14ac:dyDescent="0.25">
      <c r="A366" s="48" t="s">
        <v>402</v>
      </c>
      <c r="B366" s="347" t="s">
        <v>401</v>
      </c>
      <c r="C366" s="48" t="s">
        <v>3072</v>
      </c>
      <c r="D366" s="48" t="s">
        <v>54</v>
      </c>
      <c r="E366" s="48" t="s">
        <v>1949</v>
      </c>
      <c r="F366" s="87" t="s">
        <v>1648</v>
      </c>
      <c r="G366" s="87" t="s">
        <v>1648</v>
      </c>
      <c r="H366" s="244">
        <v>1320</v>
      </c>
      <c r="I366" s="87" t="s">
        <v>1649</v>
      </c>
      <c r="J366" s="244">
        <v>24</v>
      </c>
      <c r="K366" s="87" t="s">
        <v>1649</v>
      </c>
      <c r="L366" s="87" t="s">
        <v>1648</v>
      </c>
      <c r="M366" s="244">
        <v>77422</v>
      </c>
      <c r="N366" s="87" t="s">
        <v>1648</v>
      </c>
      <c r="O366" s="87" t="s">
        <v>1648</v>
      </c>
      <c r="P366" s="87" t="s">
        <v>1648</v>
      </c>
      <c r="Q366" s="244">
        <v>9</v>
      </c>
      <c r="R366" s="244">
        <v>265</v>
      </c>
      <c r="S366" s="244">
        <v>20</v>
      </c>
      <c r="T366" s="244">
        <v>440</v>
      </c>
      <c r="U366" s="244">
        <v>84</v>
      </c>
      <c r="V366" s="244">
        <v>2127</v>
      </c>
      <c r="W366" s="244">
        <v>0</v>
      </c>
      <c r="X366" s="244">
        <v>0</v>
      </c>
      <c r="Y366" s="244">
        <v>118</v>
      </c>
      <c r="Z366" s="244">
        <v>23971</v>
      </c>
      <c r="AA366" s="87" t="s">
        <v>1649</v>
      </c>
      <c r="AB366" s="87" t="s">
        <v>1648</v>
      </c>
      <c r="AC366" s="244">
        <v>711</v>
      </c>
      <c r="AD366" s="87" t="s">
        <v>1648</v>
      </c>
      <c r="AE366" s="244">
        <v>153342</v>
      </c>
      <c r="AF366" s="87" t="s">
        <v>1651</v>
      </c>
      <c r="AG366" s="87" t="s">
        <v>1648</v>
      </c>
      <c r="AH366" s="87" t="s">
        <v>1649</v>
      </c>
      <c r="AI366" s="87" t="s">
        <v>1649</v>
      </c>
      <c r="AJ366" s="87" t="s">
        <v>1648</v>
      </c>
    </row>
    <row r="367" spans="1:36" ht="13.5" thickBot="1" x14ac:dyDescent="0.25">
      <c r="A367" s="48" t="s">
        <v>406</v>
      </c>
      <c r="B367" s="347" t="s">
        <v>405</v>
      </c>
      <c r="C367" s="48" t="s">
        <v>3074</v>
      </c>
      <c r="D367" s="48" t="s">
        <v>54</v>
      </c>
      <c r="E367" s="48" t="s">
        <v>1949</v>
      </c>
      <c r="F367" s="87" t="s">
        <v>1648</v>
      </c>
      <c r="G367" s="87" t="s">
        <v>1648</v>
      </c>
      <c r="H367" s="244">
        <v>10154</v>
      </c>
      <c r="I367" s="87" t="s">
        <v>1649</v>
      </c>
      <c r="J367" s="244">
        <v>0</v>
      </c>
      <c r="K367" s="87" t="s">
        <v>1649</v>
      </c>
      <c r="L367" s="87" t="s">
        <v>1649</v>
      </c>
      <c r="M367" s="244">
        <v>0</v>
      </c>
      <c r="N367" s="87" t="s">
        <v>1648</v>
      </c>
      <c r="O367" s="87" t="s">
        <v>1648</v>
      </c>
      <c r="P367" s="87" t="s">
        <v>1648</v>
      </c>
      <c r="Q367" s="244">
        <v>202</v>
      </c>
      <c r="R367" s="244">
        <v>21337</v>
      </c>
      <c r="S367" s="244">
        <v>53</v>
      </c>
      <c r="T367" s="244">
        <v>4118</v>
      </c>
      <c r="U367" s="244">
        <v>126</v>
      </c>
      <c r="V367" s="244">
        <v>12276</v>
      </c>
      <c r="W367" s="244">
        <v>616</v>
      </c>
      <c r="X367" s="244">
        <v>139842</v>
      </c>
      <c r="Y367" s="244">
        <v>0</v>
      </c>
      <c r="Z367" s="244">
        <v>296944</v>
      </c>
      <c r="AA367" s="87" t="s">
        <v>1648</v>
      </c>
      <c r="AB367" s="87" t="s">
        <v>1648</v>
      </c>
      <c r="AC367" s="244">
        <v>1300</v>
      </c>
      <c r="AD367" s="87" t="s">
        <v>1648</v>
      </c>
      <c r="AE367" s="244">
        <v>447372</v>
      </c>
      <c r="AF367" s="87" t="s">
        <v>1650</v>
      </c>
      <c r="AG367" s="87" t="s">
        <v>1648</v>
      </c>
      <c r="AH367" s="87" t="s">
        <v>1648</v>
      </c>
      <c r="AI367" s="87" t="s">
        <v>1648</v>
      </c>
      <c r="AJ367" s="87" t="s">
        <v>1648</v>
      </c>
    </row>
    <row r="368" spans="1:36" ht="13.5" thickBot="1" x14ac:dyDescent="0.25">
      <c r="A368" s="48" t="s">
        <v>417</v>
      </c>
      <c r="B368" s="347" t="s">
        <v>416</v>
      </c>
      <c r="C368" s="48" t="s">
        <v>3055</v>
      </c>
      <c r="D368" s="48" t="s">
        <v>54</v>
      </c>
      <c r="E368" s="48" t="s">
        <v>1949</v>
      </c>
      <c r="F368" s="87" t="s">
        <v>1648</v>
      </c>
      <c r="G368" s="87" t="s">
        <v>1648</v>
      </c>
      <c r="H368" s="244">
        <v>820</v>
      </c>
      <c r="I368" s="87" t="s">
        <v>1648</v>
      </c>
      <c r="J368" s="244">
        <v>1260</v>
      </c>
      <c r="K368" s="87" t="s">
        <v>1649</v>
      </c>
      <c r="L368" s="87" t="s">
        <v>1649</v>
      </c>
      <c r="M368" s="244">
        <v>0</v>
      </c>
      <c r="N368" s="87" t="s">
        <v>1648</v>
      </c>
      <c r="O368" s="87" t="s">
        <v>1648</v>
      </c>
      <c r="P368" s="87" t="s">
        <v>1648</v>
      </c>
      <c r="Q368" s="244">
        <v>1</v>
      </c>
      <c r="R368" s="244">
        <v>8</v>
      </c>
      <c r="S368" s="244">
        <v>3</v>
      </c>
      <c r="T368" s="244">
        <v>5</v>
      </c>
      <c r="U368" s="244">
        <v>0</v>
      </c>
      <c r="V368" s="244">
        <v>0</v>
      </c>
      <c r="W368" s="244">
        <v>0</v>
      </c>
      <c r="X368" s="244">
        <v>0</v>
      </c>
      <c r="Y368" s="244">
        <v>78</v>
      </c>
      <c r="Z368" s="244">
        <v>193</v>
      </c>
      <c r="AA368" s="87" t="s">
        <v>1648</v>
      </c>
      <c r="AB368" s="87" t="s">
        <v>1649</v>
      </c>
      <c r="AC368" s="244">
        <v>0</v>
      </c>
      <c r="AD368" s="87" t="s">
        <v>1649</v>
      </c>
      <c r="AE368" s="244">
        <v>8487</v>
      </c>
      <c r="AF368" s="87" t="s">
        <v>1651</v>
      </c>
      <c r="AG368" s="87" t="s">
        <v>1648</v>
      </c>
      <c r="AH368" s="87" t="s">
        <v>1648</v>
      </c>
      <c r="AI368" s="87" t="s">
        <v>1649</v>
      </c>
      <c r="AJ368" s="87" t="s">
        <v>1648</v>
      </c>
    </row>
    <row r="369" spans="1:36" ht="13.5" thickBot="1" x14ac:dyDescent="0.25">
      <c r="A369" s="48" t="s">
        <v>443</v>
      </c>
      <c r="B369" s="347" t="s">
        <v>442</v>
      </c>
      <c r="C369" s="48" t="s">
        <v>3098</v>
      </c>
      <c r="D369" s="48" t="s">
        <v>54</v>
      </c>
      <c r="E369" s="48" t="s">
        <v>890</v>
      </c>
      <c r="F369" s="87" t="s">
        <v>1648</v>
      </c>
      <c r="G369" s="87" t="s">
        <v>1648</v>
      </c>
      <c r="H369" s="244">
        <v>1248</v>
      </c>
      <c r="I369" s="87" t="s">
        <v>1648</v>
      </c>
      <c r="J369" s="244">
        <v>6624</v>
      </c>
      <c r="K369" s="87" t="s">
        <v>1649</v>
      </c>
      <c r="L369" s="87" t="s">
        <v>1649</v>
      </c>
      <c r="M369" s="244">
        <v>0</v>
      </c>
      <c r="N369" s="87" t="s">
        <v>1648</v>
      </c>
      <c r="O369" s="87" t="s">
        <v>1648</v>
      </c>
      <c r="P369" s="87" t="s">
        <v>1648</v>
      </c>
      <c r="Q369" s="244">
        <v>18</v>
      </c>
      <c r="R369" s="244">
        <v>519</v>
      </c>
      <c r="S369" s="244">
        <v>2</v>
      </c>
      <c r="T369" s="244">
        <v>16</v>
      </c>
      <c r="U369" s="244">
        <v>15</v>
      </c>
      <c r="V369" s="244">
        <v>221</v>
      </c>
      <c r="W369" s="244">
        <v>0</v>
      </c>
      <c r="X369" s="244">
        <v>0</v>
      </c>
      <c r="Y369" s="244">
        <v>37</v>
      </c>
      <c r="Z369" s="244">
        <v>3670</v>
      </c>
      <c r="AA369" s="87" t="s">
        <v>1648</v>
      </c>
      <c r="AB369" s="87" t="s">
        <v>1649</v>
      </c>
      <c r="AC369" s="244">
        <v>0</v>
      </c>
      <c r="AD369" s="87" t="s">
        <v>1648</v>
      </c>
      <c r="AE369" s="244">
        <v>144275</v>
      </c>
      <c r="AF369" s="87" t="s">
        <v>1650</v>
      </c>
      <c r="AG369" s="87" t="s">
        <v>1648</v>
      </c>
      <c r="AH369" s="87" t="s">
        <v>1648</v>
      </c>
      <c r="AI369" s="87" t="s">
        <v>1649</v>
      </c>
      <c r="AJ369" s="87" t="s">
        <v>1648</v>
      </c>
    </row>
    <row r="370" spans="1:36" ht="13.5" thickBot="1" x14ac:dyDescent="0.25">
      <c r="A370" s="48" t="s">
        <v>508</v>
      </c>
      <c r="B370" s="347" t="s">
        <v>507</v>
      </c>
      <c r="C370" s="48" t="s">
        <v>3061</v>
      </c>
      <c r="D370" s="48" t="s">
        <v>54</v>
      </c>
      <c r="E370" s="48" t="s">
        <v>894</v>
      </c>
      <c r="F370" s="87" t="s">
        <v>1648</v>
      </c>
      <c r="G370" s="87" t="s">
        <v>1648</v>
      </c>
      <c r="H370" s="244">
        <v>7278</v>
      </c>
      <c r="I370" s="87" t="s">
        <v>1648</v>
      </c>
      <c r="J370" s="244">
        <v>5800</v>
      </c>
      <c r="K370" s="87" t="s">
        <v>1648</v>
      </c>
      <c r="L370" s="87" t="s">
        <v>1648</v>
      </c>
      <c r="M370" s="244">
        <v>330500</v>
      </c>
      <c r="N370" s="87" t="s">
        <v>1648</v>
      </c>
      <c r="O370" s="87" t="s">
        <v>1648</v>
      </c>
      <c r="P370" s="87" t="s">
        <v>1648</v>
      </c>
      <c r="Q370" s="244">
        <v>48</v>
      </c>
      <c r="R370" s="244">
        <v>11330</v>
      </c>
      <c r="S370" s="244">
        <v>16</v>
      </c>
      <c r="T370" s="244">
        <v>1853</v>
      </c>
      <c r="U370" s="244">
        <v>51</v>
      </c>
      <c r="V370" s="244">
        <v>377</v>
      </c>
      <c r="W370" s="244">
        <v>55</v>
      </c>
      <c r="X370" s="244">
        <v>2956</v>
      </c>
      <c r="Y370" s="244">
        <v>170</v>
      </c>
      <c r="Z370" s="244">
        <v>16516</v>
      </c>
      <c r="AA370" s="87" t="s">
        <v>1648</v>
      </c>
      <c r="AB370" s="87" t="s">
        <v>1649</v>
      </c>
      <c r="AC370" s="244">
        <v>0</v>
      </c>
      <c r="AD370" s="87" t="s">
        <v>1648</v>
      </c>
      <c r="AE370" s="244">
        <v>21814</v>
      </c>
      <c r="AF370" s="87" t="s">
        <v>1651</v>
      </c>
      <c r="AG370" s="87" t="s">
        <v>1649</v>
      </c>
      <c r="AH370" s="87" t="s">
        <v>1648</v>
      </c>
      <c r="AI370" s="87" t="s">
        <v>1649</v>
      </c>
      <c r="AJ370" s="87" t="s">
        <v>1648</v>
      </c>
    </row>
    <row r="371" spans="1:36" ht="13.5" thickBot="1" x14ac:dyDescent="0.25">
      <c r="A371" s="48" t="s">
        <v>522</v>
      </c>
      <c r="B371" s="347" t="s">
        <v>521</v>
      </c>
      <c r="C371" s="48" t="s">
        <v>3074</v>
      </c>
      <c r="D371" s="48" t="s">
        <v>54</v>
      </c>
      <c r="E371" s="48" t="s">
        <v>1949</v>
      </c>
      <c r="F371" s="87" t="s">
        <v>1648</v>
      </c>
      <c r="G371" s="87" t="s">
        <v>1648</v>
      </c>
      <c r="H371" s="244">
        <v>1504</v>
      </c>
      <c r="I371" s="87" t="s">
        <v>1649</v>
      </c>
      <c r="J371" s="244">
        <v>0</v>
      </c>
      <c r="K371" s="87" t="s">
        <v>1649</v>
      </c>
      <c r="L371" s="87" t="s">
        <v>1649</v>
      </c>
      <c r="M371" s="244">
        <v>0</v>
      </c>
      <c r="N371" s="87" t="s">
        <v>1648</v>
      </c>
      <c r="O371" s="87" t="s">
        <v>1648</v>
      </c>
      <c r="P371" s="87" t="s">
        <v>1648</v>
      </c>
      <c r="Q371" s="244">
        <v>5</v>
      </c>
      <c r="R371" s="244">
        <v>131</v>
      </c>
      <c r="S371" s="244">
        <v>7</v>
      </c>
      <c r="T371" s="244">
        <v>33</v>
      </c>
      <c r="U371" s="244">
        <v>7</v>
      </c>
      <c r="V371" s="244">
        <v>759</v>
      </c>
      <c r="W371" s="244">
        <v>19</v>
      </c>
      <c r="X371" s="244">
        <v>759</v>
      </c>
      <c r="Y371" s="244">
        <v>59</v>
      </c>
      <c r="Z371" s="244">
        <v>6899</v>
      </c>
      <c r="AA371" s="87" t="s">
        <v>1648</v>
      </c>
      <c r="AB371" s="87" t="s">
        <v>1648</v>
      </c>
      <c r="AC371" s="244">
        <v>39</v>
      </c>
      <c r="AD371" s="87" t="s">
        <v>1648</v>
      </c>
      <c r="AE371" s="244">
        <v>66946</v>
      </c>
      <c r="AF371" s="87" t="s">
        <v>1651</v>
      </c>
      <c r="AG371" s="87" t="s">
        <v>1648</v>
      </c>
      <c r="AH371" s="87" t="s">
        <v>1648</v>
      </c>
      <c r="AI371" s="87" t="s">
        <v>1648</v>
      </c>
      <c r="AJ371" s="87" t="s">
        <v>1648</v>
      </c>
    </row>
    <row r="372" spans="1:36" ht="13.5" thickBot="1" x14ac:dyDescent="0.25">
      <c r="A372" s="48" t="s">
        <v>542</v>
      </c>
      <c r="B372" s="347" t="s">
        <v>541</v>
      </c>
      <c r="C372" s="48" t="s">
        <v>3098</v>
      </c>
      <c r="D372" s="48" t="s">
        <v>54</v>
      </c>
      <c r="E372" s="48" t="s">
        <v>890</v>
      </c>
      <c r="F372" s="87" t="s">
        <v>1648</v>
      </c>
      <c r="G372" s="87" t="s">
        <v>1648</v>
      </c>
      <c r="H372" s="244">
        <v>119</v>
      </c>
      <c r="I372" s="87" t="s">
        <v>1649</v>
      </c>
      <c r="J372" s="244">
        <v>0</v>
      </c>
      <c r="K372" s="87" t="s">
        <v>1649</v>
      </c>
      <c r="L372" s="87" t="s">
        <v>1649</v>
      </c>
      <c r="M372" s="244">
        <v>0</v>
      </c>
      <c r="N372" s="87" t="s">
        <v>1648</v>
      </c>
      <c r="O372" s="87" t="s">
        <v>1648</v>
      </c>
      <c r="P372" s="87" t="s">
        <v>1648</v>
      </c>
      <c r="Q372" s="244">
        <v>20</v>
      </c>
      <c r="R372" s="244">
        <v>453</v>
      </c>
      <c r="S372" s="244">
        <v>9</v>
      </c>
      <c r="T372" s="244">
        <v>133</v>
      </c>
      <c r="U372" s="244">
        <v>7</v>
      </c>
      <c r="V372" s="244">
        <v>44</v>
      </c>
      <c r="W372" s="244">
        <v>55</v>
      </c>
      <c r="X372" s="244">
        <v>2192</v>
      </c>
      <c r="Y372" s="244">
        <v>121</v>
      </c>
      <c r="Z372" s="244">
        <v>22296</v>
      </c>
      <c r="AA372" s="87" t="s">
        <v>1649</v>
      </c>
      <c r="AB372" s="87" t="s">
        <v>1648</v>
      </c>
      <c r="AC372" s="244">
        <v>0</v>
      </c>
      <c r="AD372" s="87" t="s">
        <v>1649</v>
      </c>
      <c r="AE372" s="244">
        <v>88345</v>
      </c>
      <c r="AF372" s="87" t="s">
        <v>1650</v>
      </c>
      <c r="AG372" s="87" t="s">
        <v>1648</v>
      </c>
      <c r="AH372" s="87" t="s">
        <v>1649</v>
      </c>
      <c r="AI372" s="87" t="s">
        <v>1649</v>
      </c>
      <c r="AJ372" s="87" t="s">
        <v>1648</v>
      </c>
    </row>
    <row r="373" spans="1:36" ht="13.5" thickBot="1" x14ac:dyDescent="0.25">
      <c r="A373" s="48" t="s">
        <v>590</v>
      </c>
      <c r="B373" s="347" t="s">
        <v>589</v>
      </c>
      <c r="C373" s="48" t="s">
        <v>3098</v>
      </c>
      <c r="D373" s="48" t="s">
        <v>54</v>
      </c>
      <c r="E373" s="48" t="s">
        <v>890</v>
      </c>
      <c r="F373" s="87" t="s">
        <v>1648</v>
      </c>
      <c r="G373" s="87" t="s">
        <v>1648</v>
      </c>
      <c r="H373" s="244">
        <v>9</v>
      </c>
      <c r="I373" s="87" t="s">
        <v>1649</v>
      </c>
      <c r="J373" s="244">
        <v>0</v>
      </c>
      <c r="K373" s="87" t="s">
        <v>1648</v>
      </c>
      <c r="L373" s="87" t="s">
        <v>1649</v>
      </c>
      <c r="M373" s="244">
        <v>0</v>
      </c>
      <c r="N373" s="87" t="s">
        <v>1648</v>
      </c>
      <c r="O373" s="87" t="s">
        <v>1648</v>
      </c>
      <c r="P373" s="87" t="s">
        <v>1648</v>
      </c>
      <c r="Q373" s="244">
        <v>368</v>
      </c>
      <c r="R373" s="244">
        <v>1741</v>
      </c>
      <c r="S373" s="244">
        <v>33</v>
      </c>
      <c r="T373" s="244">
        <v>150</v>
      </c>
      <c r="U373" s="244">
        <v>3</v>
      </c>
      <c r="V373" s="244">
        <v>111</v>
      </c>
      <c r="W373" s="244">
        <v>0</v>
      </c>
      <c r="X373" s="244">
        <v>0</v>
      </c>
      <c r="Y373" s="244">
        <v>402</v>
      </c>
      <c r="Z373" s="244">
        <v>4929</v>
      </c>
      <c r="AA373" s="87" t="s">
        <v>1648</v>
      </c>
      <c r="AB373" s="87" t="s">
        <v>1648</v>
      </c>
      <c r="AC373" s="244">
        <v>14</v>
      </c>
      <c r="AD373" s="87" t="s">
        <v>1648</v>
      </c>
      <c r="AE373" s="244">
        <v>14414</v>
      </c>
      <c r="AF373" s="87" t="s">
        <v>1651</v>
      </c>
      <c r="AG373" s="87" t="s">
        <v>1648</v>
      </c>
      <c r="AH373" s="87" t="s">
        <v>1648</v>
      </c>
      <c r="AI373" s="87" t="s">
        <v>1649</v>
      </c>
      <c r="AJ373" s="87" t="s">
        <v>1648</v>
      </c>
    </row>
    <row r="374" spans="1:36" ht="13.5" thickBot="1" x14ac:dyDescent="0.25">
      <c r="A374" s="48" t="s">
        <v>594</v>
      </c>
      <c r="B374" s="347" t="s">
        <v>593</v>
      </c>
      <c r="C374" s="48" t="s">
        <v>3072</v>
      </c>
      <c r="D374" s="48" t="s">
        <v>54</v>
      </c>
      <c r="E374" s="48" t="s">
        <v>1949</v>
      </c>
      <c r="F374" s="87" t="s">
        <v>1648</v>
      </c>
      <c r="G374" s="87" t="s">
        <v>1648</v>
      </c>
      <c r="H374" s="244">
        <v>415</v>
      </c>
      <c r="I374" s="87" t="s">
        <v>1649</v>
      </c>
      <c r="J374" s="244">
        <v>0</v>
      </c>
      <c r="K374" s="87" t="s">
        <v>1649</v>
      </c>
      <c r="L374" s="87" t="s">
        <v>1649</v>
      </c>
      <c r="M374" s="244">
        <v>0</v>
      </c>
      <c r="N374" s="87" t="s">
        <v>1648</v>
      </c>
      <c r="O374" s="87" t="s">
        <v>1648</v>
      </c>
      <c r="P374" s="87" t="s">
        <v>1648</v>
      </c>
      <c r="Q374" s="244">
        <v>30</v>
      </c>
      <c r="R374" s="244">
        <v>240</v>
      </c>
      <c r="S374" s="244">
        <v>15</v>
      </c>
      <c r="T374" s="244">
        <v>46</v>
      </c>
      <c r="U374" s="244">
        <v>41</v>
      </c>
      <c r="V374" s="244">
        <v>497</v>
      </c>
      <c r="W374" s="244">
        <v>0</v>
      </c>
      <c r="X374" s="244">
        <v>0</v>
      </c>
      <c r="Y374" s="244">
        <v>150</v>
      </c>
      <c r="Z374" s="244">
        <v>40268</v>
      </c>
      <c r="AA374" s="87" t="s">
        <v>1648</v>
      </c>
      <c r="AB374" s="87" t="s">
        <v>1648</v>
      </c>
      <c r="AC374" s="244">
        <v>295</v>
      </c>
      <c r="AD374" s="87" t="s">
        <v>1648</v>
      </c>
      <c r="AE374" s="244">
        <v>99617</v>
      </c>
      <c r="AF374" s="87" t="s">
        <v>1651</v>
      </c>
      <c r="AG374" s="87" t="s">
        <v>1649</v>
      </c>
      <c r="AH374" s="87" t="s">
        <v>1648</v>
      </c>
      <c r="AI374" s="87" t="s">
        <v>1649</v>
      </c>
      <c r="AJ374" s="87" t="s">
        <v>1648</v>
      </c>
    </row>
    <row r="375" spans="1:36" ht="13.5" thickBot="1" x14ac:dyDescent="0.25">
      <c r="A375" s="48" t="s">
        <v>604</v>
      </c>
      <c r="B375" s="347" t="s">
        <v>603</v>
      </c>
      <c r="C375" s="48" t="s">
        <v>3055</v>
      </c>
      <c r="D375" s="48" t="s">
        <v>54</v>
      </c>
      <c r="E375" s="48" t="s">
        <v>1949</v>
      </c>
      <c r="F375" s="87" t="s">
        <v>1648</v>
      </c>
      <c r="G375" s="87" t="s">
        <v>1648</v>
      </c>
      <c r="H375" s="244">
        <v>0</v>
      </c>
      <c r="I375" s="87" t="s">
        <v>1648</v>
      </c>
      <c r="J375" s="244">
        <v>10</v>
      </c>
      <c r="K375" s="87" t="s">
        <v>1649</v>
      </c>
      <c r="L375" s="87" t="s">
        <v>1649</v>
      </c>
      <c r="M375" s="244">
        <v>0</v>
      </c>
      <c r="N375" s="87" t="s">
        <v>1648</v>
      </c>
      <c r="O375" s="87" t="s">
        <v>1648</v>
      </c>
      <c r="P375" s="87" t="s">
        <v>1648</v>
      </c>
      <c r="Q375" s="244">
        <v>0</v>
      </c>
      <c r="R375" s="244">
        <v>0</v>
      </c>
      <c r="S375" s="244">
        <v>0</v>
      </c>
      <c r="T375" s="244">
        <v>0</v>
      </c>
      <c r="U375" s="244">
        <v>0</v>
      </c>
      <c r="V375" s="244">
        <v>0</v>
      </c>
      <c r="W375" s="244">
        <v>0</v>
      </c>
      <c r="X375" s="244">
        <v>0</v>
      </c>
      <c r="Y375" s="244">
        <v>25</v>
      </c>
      <c r="Z375" s="244">
        <v>378</v>
      </c>
      <c r="AA375" s="87" t="s">
        <v>1649</v>
      </c>
      <c r="AB375" s="87" t="s">
        <v>1649</v>
      </c>
      <c r="AC375" s="244">
        <v>0</v>
      </c>
      <c r="AD375" s="87" t="s">
        <v>1648</v>
      </c>
      <c r="AE375" s="244">
        <v>103227</v>
      </c>
      <c r="AF375" s="87" t="s">
        <v>1650</v>
      </c>
      <c r="AG375" s="87" t="s">
        <v>1648</v>
      </c>
      <c r="AH375" s="87" t="s">
        <v>1648</v>
      </c>
      <c r="AI375" s="87" t="s">
        <v>1649</v>
      </c>
      <c r="AJ375" s="87" t="s">
        <v>1648</v>
      </c>
    </row>
    <row r="376" spans="1:36" ht="13.5" thickBot="1" x14ac:dyDescent="0.25">
      <c r="A376" s="48" t="s">
        <v>638</v>
      </c>
      <c r="B376" s="347" t="s">
        <v>637</v>
      </c>
      <c r="C376" s="48" t="s">
        <v>3098</v>
      </c>
      <c r="D376" s="48" t="s">
        <v>54</v>
      </c>
      <c r="E376" s="48" t="s">
        <v>890</v>
      </c>
      <c r="F376" s="87" t="s">
        <v>1648</v>
      </c>
      <c r="G376" s="87" t="s">
        <v>1648</v>
      </c>
      <c r="H376" s="244">
        <v>400</v>
      </c>
      <c r="I376" s="87" t="s">
        <v>1648</v>
      </c>
      <c r="J376" s="244">
        <v>245</v>
      </c>
      <c r="K376" s="87" t="s">
        <v>1649</v>
      </c>
      <c r="L376" s="87" t="s">
        <v>1648</v>
      </c>
      <c r="M376" s="244">
        <v>65000</v>
      </c>
      <c r="N376" s="87" t="s">
        <v>1648</v>
      </c>
      <c r="O376" s="87" t="s">
        <v>1648</v>
      </c>
      <c r="P376" s="87" t="s">
        <v>1648</v>
      </c>
      <c r="Q376" s="244">
        <v>0</v>
      </c>
      <c r="R376" s="244">
        <v>0</v>
      </c>
      <c r="S376" s="244">
        <v>0</v>
      </c>
      <c r="T376" s="244">
        <v>0</v>
      </c>
      <c r="U376" s="244">
        <v>0</v>
      </c>
      <c r="V376" s="244">
        <v>0</v>
      </c>
      <c r="W376" s="244">
        <v>32</v>
      </c>
      <c r="X376" s="244">
        <v>415</v>
      </c>
      <c r="Y376" s="244">
        <v>42</v>
      </c>
      <c r="Z376" s="244">
        <v>3672</v>
      </c>
      <c r="AA376" s="87" t="s">
        <v>1648</v>
      </c>
      <c r="AB376" s="87" t="s">
        <v>1648</v>
      </c>
      <c r="AC376" s="244">
        <v>71</v>
      </c>
      <c r="AD376" s="87" t="s">
        <v>1648</v>
      </c>
      <c r="AE376" s="244">
        <v>0</v>
      </c>
      <c r="AF376" s="87" t="s">
        <v>1650</v>
      </c>
      <c r="AG376" s="87" t="s">
        <v>1648</v>
      </c>
      <c r="AH376" s="87" t="s">
        <v>1648</v>
      </c>
      <c r="AI376" s="87" t="s">
        <v>1648</v>
      </c>
      <c r="AJ376" s="87" t="s">
        <v>1648</v>
      </c>
    </row>
    <row r="377" spans="1:36" ht="13.5" thickBot="1" x14ac:dyDescent="0.25">
      <c r="A377" s="48" t="s">
        <v>648</v>
      </c>
      <c r="B377" s="347" t="s">
        <v>647</v>
      </c>
      <c r="C377" s="48" t="s">
        <v>3098</v>
      </c>
      <c r="D377" s="48" t="s">
        <v>54</v>
      </c>
      <c r="E377" s="48" t="s">
        <v>890</v>
      </c>
      <c r="F377" s="87" t="s">
        <v>1648</v>
      </c>
      <c r="G377" s="87" t="s">
        <v>1648</v>
      </c>
      <c r="H377" s="244">
        <v>1024</v>
      </c>
      <c r="I377" s="87" t="s">
        <v>1649</v>
      </c>
      <c r="J377" s="244">
        <v>0</v>
      </c>
      <c r="K377" s="87" t="s">
        <v>1649</v>
      </c>
      <c r="L377" s="87" t="s">
        <v>1649</v>
      </c>
      <c r="M377" s="244">
        <v>0</v>
      </c>
      <c r="N377" s="87" t="s">
        <v>1648</v>
      </c>
      <c r="O377" s="87" t="s">
        <v>1648</v>
      </c>
      <c r="P377" s="87" t="s">
        <v>1648</v>
      </c>
      <c r="Q377" s="244">
        <v>74</v>
      </c>
      <c r="R377" s="244">
        <v>1953</v>
      </c>
      <c r="S377" s="244">
        <v>4</v>
      </c>
      <c r="T377" s="244">
        <v>51</v>
      </c>
      <c r="U377" s="244">
        <v>28</v>
      </c>
      <c r="V377" s="244">
        <v>501</v>
      </c>
      <c r="W377" s="244">
        <v>0</v>
      </c>
      <c r="X377" s="244">
        <v>0</v>
      </c>
      <c r="Y377" s="244">
        <v>35</v>
      </c>
      <c r="Z377" s="244">
        <v>17877</v>
      </c>
      <c r="AA377" s="87" t="s">
        <v>1648</v>
      </c>
      <c r="AB377" s="87" t="s">
        <v>1648</v>
      </c>
      <c r="AC377" s="244">
        <v>106</v>
      </c>
      <c r="AD377" s="87" t="s">
        <v>1648</v>
      </c>
      <c r="AE377" s="244">
        <v>15952</v>
      </c>
      <c r="AF377" s="87" t="s">
        <v>1651</v>
      </c>
      <c r="AG377" s="87" t="s">
        <v>1649</v>
      </c>
      <c r="AH377" s="87" t="s">
        <v>1649</v>
      </c>
      <c r="AI377" s="87" t="s">
        <v>1649</v>
      </c>
      <c r="AJ377" s="87" t="s">
        <v>1648</v>
      </c>
    </row>
    <row r="378" spans="1:36" ht="13.5" thickBot="1" x14ac:dyDescent="0.25">
      <c r="A378" s="48" t="s">
        <v>654</v>
      </c>
      <c r="B378" s="347" t="s">
        <v>653</v>
      </c>
      <c r="C378" s="48" t="s">
        <v>3098</v>
      </c>
      <c r="D378" s="48" t="s">
        <v>54</v>
      </c>
      <c r="E378" s="48" t="s">
        <v>894</v>
      </c>
      <c r="F378" s="87" t="s">
        <v>1648</v>
      </c>
      <c r="G378" s="87" t="s">
        <v>1648</v>
      </c>
      <c r="H378" s="244">
        <v>14568</v>
      </c>
      <c r="I378" s="87" t="s">
        <v>1648</v>
      </c>
      <c r="J378" s="244">
        <v>20250</v>
      </c>
      <c r="K378" s="87" t="s">
        <v>1649</v>
      </c>
      <c r="L378" s="87" t="s">
        <v>1648</v>
      </c>
      <c r="M378" s="244">
        <v>150000</v>
      </c>
      <c r="N378" s="87" t="s">
        <v>1648</v>
      </c>
      <c r="O378" s="87" t="s">
        <v>1648</v>
      </c>
      <c r="P378" s="87" t="s">
        <v>1648</v>
      </c>
      <c r="Q378" s="244">
        <v>37</v>
      </c>
      <c r="R378" s="244">
        <v>3949</v>
      </c>
      <c r="S378" s="244">
        <v>3</v>
      </c>
      <c r="T378" s="244">
        <v>0</v>
      </c>
      <c r="U378" s="244">
        <v>2</v>
      </c>
      <c r="V378" s="244">
        <v>93</v>
      </c>
      <c r="W378" s="244">
        <v>3</v>
      </c>
      <c r="X378" s="244">
        <v>217</v>
      </c>
      <c r="Y378" s="244">
        <v>8</v>
      </c>
      <c r="Z378" s="244">
        <v>278</v>
      </c>
      <c r="AA378" s="87" t="s">
        <v>1648</v>
      </c>
      <c r="AB378" s="87" t="s">
        <v>1649</v>
      </c>
      <c r="AC378" s="244">
        <v>0</v>
      </c>
      <c r="AD378" s="87" t="s">
        <v>1648</v>
      </c>
      <c r="AE378" s="244">
        <v>4874</v>
      </c>
      <c r="AF378" s="87" t="s">
        <v>1650</v>
      </c>
      <c r="AG378" s="87" t="s">
        <v>1648</v>
      </c>
      <c r="AH378" s="87" t="s">
        <v>1648</v>
      </c>
      <c r="AI378" s="87" t="s">
        <v>1649</v>
      </c>
      <c r="AJ378" s="87" t="s">
        <v>1649</v>
      </c>
    </row>
    <row r="379" spans="1:36" ht="13.5" thickBot="1" x14ac:dyDescent="0.25">
      <c r="A379" s="48" t="s">
        <v>656</v>
      </c>
      <c r="B379" s="347" t="s">
        <v>655</v>
      </c>
      <c r="C379" s="48" t="s">
        <v>3144</v>
      </c>
      <c r="D379" s="48" t="s">
        <v>54</v>
      </c>
      <c r="E379" s="48" t="s">
        <v>890</v>
      </c>
      <c r="F379" s="87" t="s">
        <v>1648</v>
      </c>
      <c r="G379" s="87" t="s">
        <v>1648</v>
      </c>
      <c r="H379" s="244">
        <v>120</v>
      </c>
      <c r="I379" s="87" t="s">
        <v>1649</v>
      </c>
      <c r="J379" s="244">
        <v>0</v>
      </c>
      <c r="K379" s="87" t="s">
        <v>1649</v>
      </c>
      <c r="L379" s="87" t="s">
        <v>1649</v>
      </c>
      <c r="M379" s="244">
        <v>0</v>
      </c>
      <c r="N379" s="87" t="s">
        <v>1648</v>
      </c>
      <c r="O379" s="87" t="s">
        <v>1649</v>
      </c>
      <c r="P379" s="87" t="s">
        <v>1649</v>
      </c>
      <c r="Q379" s="244">
        <v>0</v>
      </c>
      <c r="R379" s="244">
        <v>0</v>
      </c>
      <c r="S379" s="244">
        <v>0</v>
      </c>
      <c r="T379" s="244">
        <v>0</v>
      </c>
      <c r="U379" s="244">
        <v>0</v>
      </c>
      <c r="V379" s="244">
        <v>0</v>
      </c>
      <c r="W379" s="244">
        <v>0</v>
      </c>
      <c r="X379" s="244">
        <v>0</v>
      </c>
      <c r="Y379" s="244">
        <v>245</v>
      </c>
      <c r="Z379" s="244">
        <v>0</v>
      </c>
      <c r="AA379" s="87" t="s">
        <v>1648</v>
      </c>
      <c r="AB379" s="87" t="s">
        <v>1648</v>
      </c>
      <c r="AC379" s="244">
        <v>18</v>
      </c>
      <c r="AD379" s="87" t="s">
        <v>1648</v>
      </c>
      <c r="AE379" s="244">
        <v>10626</v>
      </c>
      <c r="AF379" s="87" t="s">
        <v>1651</v>
      </c>
      <c r="AG379" s="87" t="s">
        <v>1648</v>
      </c>
      <c r="AH379" s="87" t="s">
        <v>1648</v>
      </c>
      <c r="AI379" s="87" t="s">
        <v>1649</v>
      </c>
      <c r="AJ379" s="87" t="s">
        <v>1648</v>
      </c>
    </row>
    <row r="380" spans="1:36" ht="13.5" thickBot="1" x14ac:dyDescent="0.25">
      <c r="A380" s="48" t="s">
        <v>684</v>
      </c>
      <c r="B380" s="347" t="s">
        <v>683</v>
      </c>
      <c r="C380" s="48" t="s">
        <v>3144</v>
      </c>
      <c r="D380" s="48" t="s">
        <v>54</v>
      </c>
      <c r="E380" s="48" t="s">
        <v>1919</v>
      </c>
      <c r="F380" s="257" t="s">
        <v>1648</v>
      </c>
      <c r="G380" s="87" t="s">
        <v>1649</v>
      </c>
      <c r="H380" s="244">
        <v>0</v>
      </c>
      <c r="I380" s="87" t="s">
        <v>1649</v>
      </c>
      <c r="J380" s="244">
        <v>0</v>
      </c>
      <c r="K380" s="87" t="s">
        <v>1649</v>
      </c>
      <c r="L380" s="87" t="s">
        <v>1649</v>
      </c>
      <c r="M380" s="244">
        <v>0</v>
      </c>
      <c r="N380" s="87" t="s">
        <v>1649</v>
      </c>
      <c r="O380" s="87" t="s">
        <v>1649</v>
      </c>
      <c r="P380" s="87" t="s">
        <v>1649</v>
      </c>
      <c r="Q380" s="244">
        <v>0</v>
      </c>
      <c r="R380" s="244">
        <v>0</v>
      </c>
      <c r="S380" s="244">
        <v>0</v>
      </c>
      <c r="T380" s="244">
        <v>0</v>
      </c>
      <c r="U380" s="244">
        <v>0</v>
      </c>
      <c r="V380" s="244">
        <v>0</v>
      </c>
      <c r="W380" s="244">
        <v>0</v>
      </c>
      <c r="X380" s="244">
        <v>0</v>
      </c>
      <c r="Y380" s="244">
        <v>0</v>
      </c>
      <c r="Z380" s="244">
        <v>0</v>
      </c>
      <c r="AA380" s="87" t="s">
        <v>1649</v>
      </c>
      <c r="AB380" s="87" t="s">
        <v>1649</v>
      </c>
      <c r="AC380" s="244">
        <v>0</v>
      </c>
      <c r="AD380" s="87" t="s">
        <v>1649</v>
      </c>
      <c r="AE380" s="244">
        <v>27488</v>
      </c>
      <c r="AF380" s="87" t="s">
        <v>1651</v>
      </c>
      <c r="AG380" s="87" t="s">
        <v>1648</v>
      </c>
      <c r="AH380" s="87" t="s">
        <v>1649</v>
      </c>
      <c r="AI380" s="87" t="s">
        <v>1649</v>
      </c>
      <c r="AJ380" s="87" t="s">
        <v>1648</v>
      </c>
    </row>
    <row r="381" spans="1:36" ht="13.5" thickBot="1" x14ac:dyDescent="0.25">
      <c r="A381" s="48" t="s">
        <v>696</v>
      </c>
      <c r="B381" s="347" t="s">
        <v>695</v>
      </c>
      <c r="C381" s="48" t="s">
        <v>3098</v>
      </c>
      <c r="D381" s="48" t="s">
        <v>54</v>
      </c>
      <c r="E381" s="48" t="s">
        <v>890</v>
      </c>
      <c r="F381" s="87" t="s">
        <v>1648</v>
      </c>
      <c r="G381" s="87" t="s">
        <v>1649</v>
      </c>
      <c r="H381" s="244">
        <v>0</v>
      </c>
      <c r="I381" s="87" t="s">
        <v>1648</v>
      </c>
      <c r="J381" s="244">
        <v>0</v>
      </c>
      <c r="K381" s="87" t="s">
        <v>1649</v>
      </c>
      <c r="L381" s="87" t="s">
        <v>1649</v>
      </c>
      <c r="M381" s="244">
        <v>0</v>
      </c>
      <c r="N381" s="87" t="s">
        <v>1649</v>
      </c>
      <c r="O381" s="87" t="s">
        <v>1648</v>
      </c>
      <c r="P381" s="87" t="s">
        <v>1648</v>
      </c>
      <c r="Q381" s="244">
        <v>-1</v>
      </c>
      <c r="R381" s="244">
        <v>-1</v>
      </c>
      <c r="S381" s="244">
        <v>-1</v>
      </c>
      <c r="T381" s="244">
        <v>-1</v>
      </c>
      <c r="U381" s="244">
        <v>-1</v>
      </c>
      <c r="V381" s="244">
        <v>-1</v>
      </c>
      <c r="W381" s="244">
        <v>-1</v>
      </c>
      <c r="X381" s="244">
        <v>-1</v>
      </c>
      <c r="Y381" s="244">
        <v>-1</v>
      </c>
      <c r="Z381" s="244">
        <v>-1</v>
      </c>
      <c r="AA381" s="87" t="s">
        <v>1649</v>
      </c>
      <c r="AB381" s="87" t="s">
        <v>1649</v>
      </c>
      <c r="AC381" s="87" t="s">
        <v>1660</v>
      </c>
      <c r="AD381" s="87" t="s">
        <v>1648</v>
      </c>
      <c r="AE381" s="244">
        <v>58711</v>
      </c>
      <c r="AF381" s="87" t="s">
        <v>1651</v>
      </c>
      <c r="AG381" s="87" t="s">
        <v>1649</v>
      </c>
      <c r="AH381" s="87" t="s">
        <v>1649</v>
      </c>
      <c r="AI381" s="87" t="s">
        <v>1649</v>
      </c>
      <c r="AJ381" s="87" t="s">
        <v>1648</v>
      </c>
    </row>
    <row r="382" spans="1:36" ht="13.5" thickBot="1" x14ac:dyDescent="0.25">
      <c r="A382" s="48" t="s">
        <v>710</v>
      </c>
      <c r="B382" s="347" t="s">
        <v>709</v>
      </c>
      <c r="C382" s="48" t="s">
        <v>3144</v>
      </c>
      <c r="D382" s="48" t="s">
        <v>54</v>
      </c>
      <c r="E382" s="48" t="s">
        <v>890</v>
      </c>
      <c r="F382" s="87" t="s">
        <v>1648</v>
      </c>
      <c r="G382" s="87" t="s">
        <v>1648</v>
      </c>
      <c r="H382" s="244">
        <v>156</v>
      </c>
      <c r="I382" s="87" t="s">
        <v>1649</v>
      </c>
      <c r="J382" s="244">
        <v>0</v>
      </c>
      <c r="K382" s="87" t="s">
        <v>1649</v>
      </c>
      <c r="L382" s="87" t="s">
        <v>1649</v>
      </c>
      <c r="M382" s="244">
        <v>0</v>
      </c>
      <c r="N382" s="87" t="s">
        <v>1648</v>
      </c>
      <c r="O382" s="87" t="s">
        <v>1648</v>
      </c>
      <c r="P382" s="87" t="s">
        <v>1648</v>
      </c>
      <c r="Q382" s="244">
        <v>9</v>
      </c>
      <c r="R382" s="244">
        <v>98</v>
      </c>
      <c r="S382" s="244">
        <v>3</v>
      </c>
      <c r="T382" s="244">
        <v>13</v>
      </c>
      <c r="U382" s="244">
        <v>7</v>
      </c>
      <c r="V382" s="244">
        <v>38</v>
      </c>
      <c r="W382" s="244">
        <v>0</v>
      </c>
      <c r="X382" s="244">
        <v>0</v>
      </c>
      <c r="Y382" s="244">
        <v>76</v>
      </c>
      <c r="Z382" s="244">
        <v>43084</v>
      </c>
      <c r="AA382" s="87" t="s">
        <v>1648</v>
      </c>
      <c r="AB382" s="87" t="s">
        <v>1648</v>
      </c>
      <c r="AC382" s="87" t="s">
        <v>1660</v>
      </c>
      <c r="AD382" s="87" t="s">
        <v>1649</v>
      </c>
      <c r="AE382" s="244">
        <v>42828</v>
      </c>
      <c r="AF382" s="87" t="s">
        <v>1651</v>
      </c>
      <c r="AG382" s="87" t="s">
        <v>1648</v>
      </c>
      <c r="AH382" s="87" t="s">
        <v>1648</v>
      </c>
      <c r="AI382" s="87" t="s">
        <v>1649</v>
      </c>
      <c r="AJ382" s="87" t="s">
        <v>1648</v>
      </c>
    </row>
    <row r="383" spans="1:36" ht="13.5" thickBot="1" x14ac:dyDescent="0.25">
      <c r="A383" s="48" t="s">
        <v>726</v>
      </c>
      <c r="B383" s="347" t="s">
        <v>725</v>
      </c>
      <c r="C383" s="48" t="s">
        <v>3098</v>
      </c>
      <c r="D383" s="48" t="s">
        <v>54</v>
      </c>
      <c r="E383" s="48" t="s">
        <v>890</v>
      </c>
      <c r="F383" s="87" t="s">
        <v>1648</v>
      </c>
      <c r="G383" s="87" t="s">
        <v>1648</v>
      </c>
      <c r="H383" s="244">
        <v>652</v>
      </c>
      <c r="I383" s="87" t="s">
        <v>1649</v>
      </c>
      <c r="J383" s="244">
        <v>0</v>
      </c>
      <c r="K383" s="87" t="s">
        <v>1649</v>
      </c>
      <c r="L383" s="87" t="s">
        <v>1649</v>
      </c>
      <c r="M383" s="244">
        <v>0</v>
      </c>
      <c r="N383" s="87" t="s">
        <v>1648</v>
      </c>
      <c r="O383" s="87" t="s">
        <v>1648</v>
      </c>
      <c r="P383" s="87" t="s">
        <v>1648</v>
      </c>
      <c r="Q383" s="244">
        <v>24</v>
      </c>
      <c r="R383" s="244">
        <v>594</v>
      </c>
      <c r="S383" s="244">
        <v>0</v>
      </c>
      <c r="T383" s="244">
        <v>0</v>
      </c>
      <c r="U383" s="244">
        <v>11</v>
      </c>
      <c r="V383" s="244">
        <v>60</v>
      </c>
      <c r="W383" s="244">
        <v>7</v>
      </c>
      <c r="X383" s="244">
        <v>65</v>
      </c>
      <c r="Y383" s="244">
        <v>1</v>
      </c>
      <c r="Z383" s="244">
        <v>22</v>
      </c>
      <c r="AA383" s="87" t="s">
        <v>1648</v>
      </c>
      <c r="AB383" s="87" t="s">
        <v>1649</v>
      </c>
      <c r="AC383" s="87" t="s">
        <v>1660</v>
      </c>
      <c r="AD383" s="87" t="s">
        <v>1648</v>
      </c>
      <c r="AE383" s="244">
        <v>14041</v>
      </c>
      <c r="AF383" s="87" t="s">
        <v>1651</v>
      </c>
      <c r="AG383" s="87" t="s">
        <v>1648</v>
      </c>
      <c r="AH383" s="87" t="s">
        <v>1648</v>
      </c>
      <c r="AI383" s="87" t="s">
        <v>1649</v>
      </c>
      <c r="AJ383" s="87" t="s">
        <v>1648</v>
      </c>
    </row>
    <row r="384" spans="1:36" ht="13.5" thickBot="1" x14ac:dyDescent="0.25">
      <c r="A384" s="48" t="s">
        <v>752</v>
      </c>
      <c r="B384" s="347" t="s">
        <v>751</v>
      </c>
      <c r="C384" s="48" t="s">
        <v>3077</v>
      </c>
      <c r="D384" s="48" t="s">
        <v>54</v>
      </c>
      <c r="E384" s="48" t="s">
        <v>1949</v>
      </c>
      <c r="F384" s="87" t="s">
        <v>1648</v>
      </c>
      <c r="G384" s="87" t="s">
        <v>1648</v>
      </c>
      <c r="H384" s="244">
        <v>53</v>
      </c>
      <c r="I384" s="87" t="s">
        <v>1649</v>
      </c>
      <c r="J384" s="244">
        <v>2256</v>
      </c>
      <c r="K384" s="87" t="s">
        <v>1649</v>
      </c>
      <c r="L384" s="87" t="s">
        <v>1648</v>
      </c>
      <c r="M384" s="244">
        <v>85000</v>
      </c>
      <c r="N384" s="87" t="s">
        <v>1648</v>
      </c>
      <c r="O384" s="87" t="s">
        <v>1648</v>
      </c>
      <c r="P384" s="87" t="s">
        <v>1648</v>
      </c>
      <c r="Q384" s="244">
        <v>128</v>
      </c>
      <c r="R384" s="244">
        <v>1976</v>
      </c>
      <c r="S384" s="244">
        <v>15</v>
      </c>
      <c r="T384" s="244">
        <v>44</v>
      </c>
      <c r="U384" s="244">
        <v>39</v>
      </c>
      <c r="V384" s="244">
        <v>317</v>
      </c>
      <c r="W384" s="244">
        <v>0</v>
      </c>
      <c r="X384" s="244">
        <v>0</v>
      </c>
      <c r="Y384" s="244">
        <v>45</v>
      </c>
      <c r="Z384" s="244">
        <v>2151</v>
      </c>
      <c r="AA384" s="87" t="s">
        <v>1648</v>
      </c>
      <c r="AB384" s="87" t="s">
        <v>1648</v>
      </c>
      <c r="AC384" s="244">
        <v>8</v>
      </c>
      <c r="AD384" s="87" t="s">
        <v>1648</v>
      </c>
      <c r="AE384" s="244">
        <v>64825</v>
      </c>
      <c r="AF384" s="87" t="s">
        <v>1651</v>
      </c>
      <c r="AG384" s="87" t="s">
        <v>1648</v>
      </c>
      <c r="AH384" s="87" t="s">
        <v>1649</v>
      </c>
      <c r="AI384" s="87" t="s">
        <v>1649</v>
      </c>
      <c r="AJ384" s="87" t="s">
        <v>1648</v>
      </c>
    </row>
    <row r="385" spans="1:36" ht="13.5" thickBot="1" x14ac:dyDescent="0.25">
      <c r="A385" s="48" t="s">
        <v>754</v>
      </c>
      <c r="B385" s="347" t="s">
        <v>753</v>
      </c>
      <c r="C385" s="48" t="s">
        <v>3098</v>
      </c>
      <c r="D385" s="48" t="s">
        <v>54</v>
      </c>
      <c r="E385" s="48" t="s">
        <v>890</v>
      </c>
      <c r="F385" s="87" t="s">
        <v>1648</v>
      </c>
      <c r="G385" s="87" t="s">
        <v>1648</v>
      </c>
      <c r="H385" s="244">
        <v>240</v>
      </c>
      <c r="I385" s="87" t="s">
        <v>1648</v>
      </c>
      <c r="J385" s="244">
        <v>2232</v>
      </c>
      <c r="K385" s="87" t="s">
        <v>1649</v>
      </c>
      <c r="L385" s="87" t="s">
        <v>1649</v>
      </c>
      <c r="M385" s="244">
        <v>0</v>
      </c>
      <c r="N385" s="87" t="s">
        <v>1648</v>
      </c>
      <c r="O385" s="87" t="s">
        <v>1648</v>
      </c>
      <c r="P385" s="87" t="s">
        <v>1648</v>
      </c>
      <c r="Q385" s="244">
        <v>17</v>
      </c>
      <c r="R385" s="244">
        <v>2892</v>
      </c>
      <c r="S385" s="244">
        <v>0</v>
      </c>
      <c r="T385" s="244">
        <v>0</v>
      </c>
      <c r="U385" s="244">
        <v>4</v>
      </c>
      <c r="V385" s="244">
        <v>225</v>
      </c>
      <c r="W385" s="244">
        <v>0</v>
      </c>
      <c r="X385" s="244">
        <v>0</v>
      </c>
      <c r="Y385" s="244">
        <v>0</v>
      </c>
      <c r="Z385" s="244">
        <v>0</v>
      </c>
      <c r="AA385" s="87" t="s">
        <v>1649</v>
      </c>
      <c r="AB385" s="87" t="s">
        <v>1649</v>
      </c>
      <c r="AC385" s="244">
        <v>0</v>
      </c>
      <c r="AD385" s="87" t="s">
        <v>1648</v>
      </c>
      <c r="AE385" s="244">
        <v>17804</v>
      </c>
      <c r="AF385" s="87" t="s">
        <v>1650</v>
      </c>
      <c r="AG385" s="87" t="s">
        <v>1649</v>
      </c>
      <c r="AH385" s="87" t="s">
        <v>1648</v>
      </c>
      <c r="AI385" s="87" t="s">
        <v>1649</v>
      </c>
      <c r="AJ385" s="87" t="s">
        <v>1648</v>
      </c>
    </row>
    <row r="386" spans="1:36" ht="13.5" thickBot="1" x14ac:dyDescent="0.25">
      <c r="A386" s="48" t="s">
        <v>756</v>
      </c>
      <c r="B386" s="347" t="s">
        <v>755</v>
      </c>
      <c r="C386" s="48" t="s">
        <v>3144</v>
      </c>
      <c r="D386" s="48" t="s">
        <v>54</v>
      </c>
      <c r="E386" s="48" t="s">
        <v>890</v>
      </c>
      <c r="F386" s="87" t="s">
        <v>1648</v>
      </c>
      <c r="G386" s="87" t="s">
        <v>1648</v>
      </c>
      <c r="H386" s="244">
        <v>392</v>
      </c>
      <c r="I386" s="87" t="s">
        <v>1649</v>
      </c>
      <c r="J386" s="244">
        <v>0</v>
      </c>
      <c r="K386" s="87" t="s">
        <v>1649</v>
      </c>
      <c r="L386" s="87" t="s">
        <v>1649</v>
      </c>
      <c r="M386" s="244">
        <v>0</v>
      </c>
      <c r="N386" s="87" t="s">
        <v>1648</v>
      </c>
      <c r="O386" s="87" t="s">
        <v>1648</v>
      </c>
      <c r="P386" s="87" t="s">
        <v>1649</v>
      </c>
      <c r="Q386" s="244">
        <v>163</v>
      </c>
      <c r="R386" s="244">
        <v>5497</v>
      </c>
      <c r="S386" s="244">
        <v>35</v>
      </c>
      <c r="T386" s="244">
        <v>532</v>
      </c>
      <c r="U386" s="244">
        <v>25</v>
      </c>
      <c r="V386" s="244">
        <v>729</v>
      </c>
      <c r="W386" s="244">
        <v>1</v>
      </c>
      <c r="X386" s="244">
        <v>5</v>
      </c>
      <c r="Y386" s="244">
        <v>0</v>
      </c>
      <c r="Z386" s="244">
        <v>0</v>
      </c>
      <c r="AA386" s="87" t="s">
        <v>1648</v>
      </c>
      <c r="AB386" s="87" t="s">
        <v>1649</v>
      </c>
      <c r="AC386" s="244">
        <v>0</v>
      </c>
      <c r="AD386" s="87" t="s">
        <v>1648</v>
      </c>
      <c r="AE386" s="244">
        <v>43000</v>
      </c>
      <c r="AF386" s="87" t="s">
        <v>1650</v>
      </c>
      <c r="AG386" s="87" t="s">
        <v>1648</v>
      </c>
      <c r="AH386" s="87" t="s">
        <v>1648</v>
      </c>
      <c r="AI386" s="87" t="s">
        <v>1649</v>
      </c>
      <c r="AJ386" s="87" t="s">
        <v>1648</v>
      </c>
    </row>
    <row r="387" spans="1:36" ht="13.5" thickBot="1" x14ac:dyDescent="0.25">
      <c r="A387" s="48" t="s">
        <v>778</v>
      </c>
      <c r="B387" s="347" t="s">
        <v>777</v>
      </c>
      <c r="C387" s="48" t="s">
        <v>3144</v>
      </c>
      <c r="D387" s="48" t="s">
        <v>54</v>
      </c>
      <c r="E387" s="48" t="s">
        <v>890</v>
      </c>
      <c r="F387" s="87" t="s">
        <v>1648</v>
      </c>
      <c r="G387" s="87" t="s">
        <v>1648</v>
      </c>
      <c r="H387" s="244">
        <v>368</v>
      </c>
      <c r="I387" s="87" t="s">
        <v>1648</v>
      </c>
      <c r="J387" s="244">
        <v>6850</v>
      </c>
      <c r="K387" s="87" t="s">
        <v>1649</v>
      </c>
      <c r="L387" s="87" t="s">
        <v>1649</v>
      </c>
      <c r="M387" s="244">
        <v>0</v>
      </c>
      <c r="N387" s="87" t="s">
        <v>1648</v>
      </c>
      <c r="O387" s="87" t="s">
        <v>1649</v>
      </c>
      <c r="P387" s="87" t="s">
        <v>1648</v>
      </c>
      <c r="Q387" s="244">
        <v>0</v>
      </c>
      <c r="R387" s="244">
        <v>0</v>
      </c>
      <c r="S387" s="244">
        <v>0</v>
      </c>
      <c r="T387" s="244">
        <v>0</v>
      </c>
      <c r="U387" s="244">
        <v>0</v>
      </c>
      <c r="V387" s="244">
        <v>0</v>
      </c>
      <c r="W387" s="244">
        <v>0</v>
      </c>
      <c r="X387" s="244">
        <v>0</v>
      </c>
      <c r="Y387" s="244">
        <v>92</v>
      </c>
      <c r="Z387" s="244">
        <v>4122</v>
      </c>
      <c r="AA387" s="87" t="s">
        <v>1649</v>
      </c>
      <c r="AB387" s="87" t="s">
        <v>1649</v>
      </c>
      <c r="AC387" s="244">
        <v>0</v>
      </c>
      <c r="AD387" s="87" t="s">
        <v>1648</v>
      </c>
      <c r="AE387" s="244">
        <v>34589</v>
      </c>
      <c r="AF387" s="87" t="s">
        <v>1651</v>
      </c>
      <c r="AG387" s="87" t="s">
        <v>1648</v>
      </c>
      <c r="AH387" s="87" t="s">
        <v>1648</v>
      </c>
      <c r="AI387" s="87" t="s">
        <v>1649</v>
      </c>
      <c r="AJ387" s="87" t="s">
        <v>1648</v>
      </c>
    </row>
    <row r="388" spans="1:36" ht="13.5" thickBot="1" x14ac:dyDescent="0.25">
      <c r="A388" s="48" t="s">
        <v>780</v>
      </c>
      <c r="B388" s="347" t="s">
        <v>779</v>
      </c>
      <c r="C388" s="48" t="s">
        <v>3098</v>
      </c>
      <c r="D388" s="48" t="s">
        <v>54</v>
      </c>
      <c r="E388" s="48" t="s">
        <v>1919</v>
      </c>
      <c r="F388" s="87" t="s">
        <v>1648</v>
      </c>
      <c r="G388" s="87" t="s">
        <v>1648</v>
      </c>
      <c r="H388" s="244">
        <v>714</v>
      </c>
      <c r="I388" s="87" t="s">
        <v>1648</v>
      </c>
      <c r="J388" s="244">
        <v>3248</v>
      </c>
      <c r="K388" s="87" t="s">
        <v>1649</v>
      </c>
      <c r="L388" s="87" t="s">
        <v>1648</v>
      </c>
      <c r="M388" s="244">
        <v>45000</v>
      </c>
      <c r="N388" s="87" t="s">
        <v>1648</v>
      </c>
      <c r="O388" s="87" t="s">
        <v>1648</v>
      </c>
      <c r="P388" s="87" t="s">
        <v>1648</v>
      </c>
      <c r="Q388" s="244">
        <v>1</v>
      </c>
      <c r="R388" s="244">
        <v>268</v>
      </c>
      <c r="S388" s="244">
        <v>0</v>
      </c>
      <c r="T388" s="244">
        <v>0</v>
      </c>
      <c r="U388" s="244">
        <v>1</v>
      </c>
      <c r="V388" s="244">
        <v>8</v>
      </c>
      <c r="W388" s="244">
        <v>0</v>
      </c>
      <c r="X388" s="244">
        <v>0</v>
      </c>
      <c r="Y388" s="244">
        <v>14</v>
      </c>
      <c r="Z388" s="244">
        <v>448</v>
      </c>
      <c r="AA388" s="87" t="s">
        <v>1648</v>
      </c>
      <c r="AB388" s="87" t="s">
        <v>1649</v>
      </c>
      <c r="AC388" s="244">
        <v>0</v>
      </c>
      <c r="AD388" s="87" t="s">
        <v>1648</v>
      </c>
      <c r="AE388" s="244">
        <v>22301</v>
      </c>
      <c r="AF388" s="87" t="s">
        <v>1650</v>
      </c>
      <c r="AG388" s="87" t="s">
        <v>1648</v>
      </c>
      <c r="AH388" s="87" t="s">
        <v>1648</v>
      </c>
      <c r="AI388" s="87" t="s">
        <v>1649</v>
      </c>
      <c r="AJ388" s="87" t="s">
        <v>1648</v>
      </c>
    </row>
    <row r="389" spans="1:36" ht="13.5" thickBot="1" x14ac:dyDescent="0.25">
      <c r="A389" s="48" t="s">
        <v>788</v>
      </c>
      <c r="B389" s="347" t="s">
        <v>787</v>
      </c>
      <c r="C389" s="48" t="s">
        <v>3098</v>
      </c>
      <c r="D389" s="48" t="s">
        <v>54</v>
      </c>
      <c r="E389" s="48" t="s">
        <v>1919</v>
      </c>
      <c r="F389" s="87" t="s">
        <v>1648</v>
      </c>
      <c r="G389" s="87" t="s">
        <v>1648</v>
      </c>
      <c r="H389" s="244">
        <v>1300</v>
      </c>
      <c r="I389" s="87" t="s">
        <v>1649</v>
      </c>
      <c r="J389" s="244">
        <v>0</v>
      </c>
      <c r="K389" s="87" t="s">
        <v>1649</v>
      </c>
      <c r="L389" s="87" t="s">
        <v>1649</v>
      </c>
      <c r="M389" s="244">
        <v>0</v>
      </c>
      <c r="N389" s="87" t="s">
        <v>1648</v>
      </c>
      <c r="O389" s="87" t="s">
        <v>1648</v>
      </c>
      <c r="P389" s="87" t="s">
        <v>1648</v>
      </c>
      <c r="Q389" s="244">
        <v>100</v>
      </c>
      <c r="R389" s="244">
        <v>2997</v>
      </c>
      <c r="S389" s="244">
        <v>2</v>
      </c>
      <c r="T389" s="244">
        <v>17</v>
      </c>
      <c r="U389" s="244">
        <v>17</v>
      </c>
      <c r="V389" s="244">
        <v>247</v>
      </c>
      <c r="W389" s="244">
        <v>0</v>
      </c>
      <c r="X389" s="244">
        <v>0</v>
      </c>
      <c r="Y389" s="244">
        <v>164</v>
      </c>
      <c r="Z389" s="244">
        <v>2543</v>
      </c>
      <c r="AA389" s="87" t="s">
        <v>1648</v>
      </c>
      <c r="AB389" s="87" t="s">
        <v>1649</v>
      </c>
      <c r="AC389" s="244">
        <v>0</v>
      </c>
      <c r="AD389" s="87" t="s">
        <v>1648</v>
      </c>
      <c r="AE389" s="244">
        <v>311130</v>
      </c>
      <c r="AF389" s="87" t="s">
        <v>1651</v>
      </c>
      <c r="AG389" s="87" t="s">
        <v>1649</v>
      </c>
      <c r="AH389" s="87" t="s">
        <v>1649</v>
      </c>
      <c r="AI389" s="87" t="s">
        <v>1649</v>
      </c>
      <c r="AJ389" s="87" t="s">
        <v>1648</v>
      </c>
    </row>
    <row r="390" spans="1:36" ht="13.5" thickBot="1" x14ac:dyDescent="0.25">
      <c r="A390" s="48" t="s">
        <v>808</v>
      </c>
      <c r="B390" s="347" t="s">
        <v>807</v>
      </c>
      <c r="C390" s="48" t="s">
        <v>3072</v>
      </c>
      <c r="D390" s="48" t="s">
        <v>54</v>
      </c>
      <c r="E390" s="48" t="s">
        <v>1949</v>
      </c>
      <c r="F390" s="87" t="s">
        <v>1648</v>
      </c>
      <c r="G390" s="87" t="s">
        <v>1648</v>
      </c>
      <c r="H390" s="244">
        <v>575</v>
      </c>
      <c r="I390" s="87" t="s">
        <v>1648</v>
      </c>
      <c r="J390" s="244">
        <v>7836</v>
      </c>
      <c r="K390" s="87" t="s">
        <v>1649</v>
      </c>
      <c r="L390" s="87" t="s">
        <v>1648</v>
      </c>
      <c r="M390" s="244">
        <v>59951</v>
      </c>
      <c r="N390" s="87" t="s">
        <v>1648</v>
      </c>
      <c r="O390" s="87" t="s">
        <v>1648</v>
      </c>
      <c r="P390" s="87" t="s">
        <v>1648</v>
      </c>
      <c r="Q390" s="244">
        <v>119</v>
      </c>
      <c r="R390" s="244">
        <v>2201</v>
      </c>
      <c r="S390" s="244">
        <v>3</v>
      </c>
      <c r="T390" s="244">
        <v>5</v>
      </c>
      <c r="U390" s="244">
        <v>94</v>
      </c>
      <c r="V390" s="244">
        <v>1686</v>
      </c>
      <c r="W390" s="244">
        <v>0</v>
      </c>
      <c r="X390" s="244">
        <v>0</v>
      </c>
      <c r="Y390" s="244">
        <v>20</v>
      </c>
      <c r="Z390" s="244">
        <v>2850</v>
      </c>
      <c r="AA390" s="87" t="s">
        <v>1648</v>
      </c>
      <c r="AB390" s="87" t="s">
        <v>1649</v>
      </c>
      <c r="AC390" s="244">
        <v>0</v>
      </c>
      <c r="AD390" s="87" t="s">
        <v>1648</v>
      </c>
      <c r="AE390" s="244">
        <v>19433</v>
      </c>
      <c r="AF390" s="87" t="s">
        <v>1650</v>
      </c>
      <c r="AG390" s="87" t="s">
        <v>1648</v>
      </c>
      <c r="AH390" s="87" t="s">
        <v>1648</v>
      </c>
      <c r="AI390" s="87" t="s">
        <v>1649</v>
      </c>
      <c r="AJ390" s="87" t="s">
        <v>1648</v>
      </c>
    </row>
    <row r="391" spans="1:36" ht="13.5" thickBot="1" x14ac:dyDescent="0.25">
      <c r="A391" s="48" t="s">
        <v>810</v>
      </c>
      <c r="B391" s="347" t="s">
        <v>809</v>
      </c>
      <c r="C391" s="48" t="s">
        <v>3098</v>
      </c>
      <c r="D391" s="48" t="s">
        <v>54</v>
      </c>
      <c r="E391" s="48" t="s">
        <v>890</v>
      </c>
      <c r="F391" s="87" t="s">
        <v>1648</v>
      </c>
      <c r="G391" s="87" t="s">
        <v>1649</v>
      </c>
      <c r="H391" s="244">
        <v>0</v>
      </c>
      <c r="I391" s="87" t="s">
        <v>1648</v>
      </c>
      <c r="J391" s="244">
        <v>9932</v>
      </c>
      <c r="K391" s="87" t="s">
        <v>1649</v>
      </c>
      <c r="L391" s="87" t="s">
        <v>1649</v>
      </c>
      <c r="M391" s="244">
        <v>0</v>
      </c>
      <c r="N391" s="87" t="s">
        <v>1648</v>
      </c>
      <c r="O391" s="87" t="s">
        <v>1648</v>
      </c>
      <c r="P391" s="87" t="s">
        <v>1648</v>
      </c>
      <c r="Q391" s="244">
        <v>6</v>
      </c>
      <c r="R391" s="244">
        <v>101</v>
      </c>
      <c r="S391" s="244">
        <v>9</v>
      </c>
      <c r="T391" s="244">
        <v>22</v>
      </c>
      <c r="U391" s="244">
        <v>0</v>
      </c>
      <c r="V391" s="244">
        <v>0</v>
      </c>
      <c r="W391" s="244">
        <v>0</v>
      </c>
      <c r="X391" s="244">
        <v>0</v>
      </c>
      <c r="Y391" s="244">
        <v>64</v>
      </c>
      <c r="Z391" s="244">
        <v>25199</v>
      </c>
      <c r="AA391" s="87" t="s">
        <v>1649</v>
      </c>
      <c r="AB391" s="87" t="s">
        <v>1648</v>
      </c>
      <c r="AC391" s="244">
        <v>157</v>
      </c>
      <c r="AD391" s="87" t="s">
        <v>1648</v>
      </c>
      <c r="AE391" s="244">
        <v>31241</v>
      </c>
      <c r="AF391" s="87" t="s">
        <v>1651</v>
      </c>
      <c r="AG391" s="87" t="s">
        <v>1649</v>
      </c>
      <c r="AH391" s="87" t="s">
        <v>1649</v>
      </c>
      <c r="AI391" s="87" t="s">
        <v>1649</v>
      </c>
      <c r="AJ391" s="87" t="s">
        <v>1648</v>
      </c>
    </row>
    <row r="392" spans="1:36" ht="13.5" thickBot="1" x14ac:dyDescent="0.25">
      <c r="A392" s="48" t="s">
        <v>816</v>
      </c>
      <c r="B392" s="347" t="s">
        <v>815</v>
      </c>
      <c r="C392" s="48" t="s">
        <v>3098</v>
      </c>
      <c r="D392" s="48" t="s">
        <v>54</v>
      </c>
      <c r="E392" s="48" t="s">
        <v>1949</v>
      </c>
      <c r="F392" s="87" t="s">
        <v>1648</v>
      </c>
      <c r="G392" s="87" t="s">
        <v>1648</v>
      </c>
      <c r="H392" s="244">
        <v>1516</v>
      </c>
      <c r="I392" s="87" t="s">
        <v>1649</v>
      </c>
      <c r="J392" s="244">
        <v>0</v>
      </c>
      <c r="K392" s="87" t="s">
        <v>1649</v>
      </c>
      <c r="L392" s="87" t="s">
        <v>1649</v>
      </c>
      <c r="M392" s="244">
        <v>0</v>
      </c>
      <c r="N392" s="87" t="s">
        <v>1648</v>
      </c>
      <c r="O392" s="87" t="s">
        <v>1648</v>
      </c>
      <c r="P392" s="87" t="s">
        <v>1648</v>
      </c>
      <c r="Q392" s="244">
        <v>140</v>
      </c>
      <c r="R392" s="244">
        <v>1247</v>
      </c>
      <c r="S392" s="244">
        <v>21</v>
      </c>
      <c r="T392" s="244">
        <v>90</v>
      </c>
      <c r="U392" s="244">
        <v>227</v>
      </c>
      <c r="V392" s="244">
        <v>2061</v>
      </c>
      <c r="W392" s="244">
        <v>0</v>
      </c>
      <c r="X392" s="244">
        <v>0</v>
      </c>
      <c r="Y392" s="244">
        <v>151</v>
      </c>
      <c r="Z392" s="244">
        <v>4037</v>
      </c>
      <c r="AA392" s="87" t="s">
        <v>1648</v>
      </c>
      <c r="AB392" s="87" t="s">
        <v>1648</v>
      </c>
      <c r="AC392" s="244">
        <v>17</v>
      </c>
      <c r="AD392" s="87" t="s">
        <v>1648</v>
      </c>
      <c r="AE392" s="244">
        <v>25498</v>
      </c>
      <c r="AF392" s="87" t="s">
        <v>1651</v>
      </c>
      <c r="AG392" s="87" t="s">
        <v>1649</v>
      </c>
      <c r="AH392" s="87" t="s">
        <v>1648</v>
      </c>
      <c r="AI392" s="87" t="s">
        <v>1649</v>
      </c>
      <c r="AJ392" s="87" t="s">
        <v>1648</v>
      </c>
    </row>
    <row r="393" spans="1:36" x14ac:dyDescent="0.2">
      <c r="A393" s="60"/>
      <c r="B393" s="231"/>
      <c r="E393" s="60"/>
      <c r="F393" s="60"/>
      <c r="G393" s="60"/>
      <c r="H393" s="232"/>
      <c r="I393" s="60"/>
      <c r="J393" s="232"/>
      <c r="K393" s="60"/>
      <c r="L393" s="60"/>
      <c r="M393" s="232"/>
      <c r="N393" s="60"/>
      <c r="O393" s="60"/>
      <c r="P393" s="60"/>
      <c r="Q393" s="232"/>
      <c r="R393" s="232"/>
      <c r="S393" s="232"/>
      <c r="T393" s="232"/>
      <c r="U393" s="232"/>
      <c r="V393" s="232"/>
      <c r="W393" s="232"/>
      <c r="X393" s="232"/>
      <c r="Y393" s="232"/>
      <c r="Z393" s="232"/>
      <c r="AA393" s="60"/>
      <c r="AB393" s="60"/>
      <c r="AC393" s="232"/>
      <c r="AD393" s="60"/>
      <c r="AE393" s="232"/>
      <c r="AF393" s="60"/>
      <c r="AG393" s="60"/>
      <c r="AH393" s="60"/>
      <c r="AI393" s="60"/>
      <c r="AJ393" s="60"/>
    </row>
    <row r="394" spans="1:36" ht="13.5" thickBot="1" x14ac:dyDescent="0.25"/>
    <row r="395" spans="1:36" ht="19.5" thickTop="1" thickBot="1" x14ac:dyDescent="0.3">
      <c r="B395" s="348" t="s">
        <v>1599</v>
      </c>
      <c r="C395" s="349">
        <f>SUBTOTAL(103,Table14[[ Library Class]])</f>
        <v>389</v>
      </c>
    </row>
    <row r="396" spans="1:36" ht="13.5" thickBot="1" x14ac:dyDescent="0.25"/>
    <row r="397" spans="1:36" ht="103.5" thickBot="1" x14ac:dyDescent="0.3">
      <c r="B397" s="270" t="s">
        <v>3723</v>
      </c>
      <c r="C397" s="286" t="s">
        <v>3700</v>
      </c>
      <c r="D397" s="286" t="s">
        <v>3701</v>
      </c>
      <c r="E397" s="286" t="s">
        <v>3509</v>
      </c>
      <c r="F397" s="286" t="s">
        <v>3703</v>
      </c>
      <c r="G397" s="286" t="s">
        <v>3022</v>
      </c>
      <c r="H397" s="286" t="s">
        <v>3704</v>
      </c>
      <c r="I397" s="286" t="s">
        <v>3705</v>
      </c>
      <c r="J397" s="286" t="s">
        <v>3706</v>
      </c>
      <c r="K397" s="286" t="s">
        <v>1643</v>
      </c>
      <c r="L397" s="286" t="s">
        <v>1644</v>
      </c>
      <c r="M397" s="286" t="s">
        <v>1646</v>
      </c>
      <c r="N397" s="286" t="s">
        <v>3724</v>
      </c>
      <c r="O397" s="286" t="s">
        <v>3725</v>
      </c>
      <c r="P397" s="286" t="s">
        <v>3717</v>
      </c>
      <c r="Q397" s="286" t="s">
        <v>3718</v>
      </c>
      <c r="R397" s="286" t="s">
        <v>3719</v>
      </c>
      <c r="S397" s="286" t="s">
        <v>3720</v>
      </c>
    </row>
    <row r="398" spans="1:36" ht="15.75" x14ac:dyDescent="0.25">
      <c r="B398" s="350" t="s">
        <v>1705</v>
      </c>
      <c r="C398" s="177">
        <f>COUNTIFS(F4:F69,"Yes")/66</f>
        <v>1</v>
      </c>
      <c r="D398" s="178">
        <f t="shared" ref="D398" si="0">COUNTIFS(G4:G69,"Yes")/66</f>
        <v>0.69696969696969702</v>
      </c>
      <c r="E398" s="178">
        <f>COUNTIFS(I4:I69,"Yes")/66</f>
        <v>0.48484848484848486</v>
      </c>
      <c r="F398" s="178">
        <f>COUNTIFS(K4:K69,"Yes")/66</f>
        <v>1.5151515151515152E-2</v>
      </c>
      <c r="G398" s="178">
        <f>COUNTIFS(L4:L69,"Yes")/66</f>
        <v>0.13636363636363635</v>
      </c>
      <c r="H398" s="178">
        <f>COUNTIFS(N4:N69,"Yes")/66</f>
        <v>0.33333333333333331</v>
      </c>
      <c r="I398" s="178">
        <f>COUNTIFS(O4:O69,"Yes")/66</f>
        <v>0.2878787878787879</v>
      </c>
      <c r="J398" s="178">
        <f>COUNTIFS(P4:P69,"Yes")/66</f>
        <v>0.33333333333333331</v>
      </c>
      <c r="K398" s="178">
        <f>COUNTIFS(AA4:AA69,"Yes")/66</f>
        <v>0.56060606060606055</v>
      </c>
      <c r="L398" s="178">
        <f>COUNTIFS(AB4:AB69,"Yes")/66</f>
        <v>0.21212121212121213</v>
      </c>
      <c r="M398" s="178">
        <f>COUNTIFS(AD4:AD69,"Yes")/66</f>
        <v>0.68181818181818177</v>
      </c>
      <c r="N398" s="355">
        <f>COUNTIFS(AF4:AF69,"Counted")/66</f>
        <v>0.34848484848484851</v>
      </c>
      <c r="O398" s="355">
        <f>COUNTIFS(AF4:AF69,"Estimated")/66</f>
        <v>0.65151515151515149</v>
      </c>
      <c r="P398" s="178">
        <f>COUNTIFS(AG4:AG69,"Yes")/66</f>
        <v>0.86363636363636365</v>
      </c>
      <c r="Q398" s="178">
        <f>COUNTIFS(AH4:AH69,"Yes")/66</f>
        <v>0.74242424242424243</v>
      </c>
      <c r="R398" s="178">
        <f>COUNTIFS(AI4:AI69,"Yes")/66</f>
        <v>3.0303030303030304E-2</v>
      </c>
      <c r="S398" s="179">
        <f>COUNTIFS(AJ4:AJ69,"Yes")/66</f>
        <v>0.2878787878787879</v>
      </c>
    </row>
    <row r="399" spans="1:36" ht="15.75" x14ac:dyDescent="0.25">
      <c r="B399" s="351" t="s">
        <v>1711</v>
      </c>
      <c r="C399" s="182">
        <f>COUNTIFS(F70:F147,"Yes")/78</f>
        <v>1</v>
      </c>
      <c r="D399" s="175">
        <f t="shared" ref="D399" si="1">COUNTIFS(G70:G147,"Yes")/78</f>
        <v>0.74358974358974361</v>
      </c>
      <c r="E399" s="175">
        <f>COUNTIFS(I70:I147,"Yes")/78</f>
        <v>0.44871794871794873</v>
      </c>
      <c r="F399" s="175">
        <f>COUNTIFS(K70:K147,"Yes")/78</f>
        <v>0</v>
      </c>
      <c r="G399" s="175">
        <f>COUNTIFS(L70:L147,"Yes")/78</f>
        <v>0.33333333333333331</v>
      </c>
      <c r="H399" s="175">
        <f>COUNTIFS(N70:N147,"Yes")/78</f>
        <v>0.55128205128205132</v>
      </c>
      <c r="I399" s="175">
        <f>COUNTIFS(O70:O147,"Yes")/78</f>
        <v>0.53846153846153844</v>
      </c>
      <c r="J399" s="175">
        <f>COUNTIFS(P70:P147,"Yes")/78</f>
        <v>0.35897435897435898</v>
      </c>
      <c r="K399" s="175">
        <f>COUNTIFS(AA70:AA147,"Yes")/78</f>
        <v>0.80769230769230771</v>
      </c>
      <c r="L399" s="175">
        <f>COUNTIFS(AB70:AB147,"Yes")/78</f>
        <v>0.21794871794871795</v>
      </c>
      <c r="M399" s="175">
        <f>COUNTIFS(AD70:AD147,"Yes")/78</f>
        <v>0.80769230769230771</v>
      </c>
      <c r="N399" s="354">
        <f>COUNTIFS(AF70:AF147,"Counted")/78</f>
        <v>0.24358974358974358</v>
      </c>
      <c r="O399" s="354">
        <f>COUNTIFS(AF70:AF147,"Estimated")/78</f>
        <v>0.74358974358974361</v>
      </c>
      <c r="P399" s="175">
        <f>COUNTIFS(AG70:AG147,"Yes")/78</f>
        <v>0.9358974358974359</v>
      </c>
      <c r="Q399" s="175">
        <f>COUNTIFS(AH70:AH147,"Yes")/78</f>
        <v>0.78205128205128205</v>
      </c>
      <c r="R399" s="175">
        <f>COUNTIFS(AI70:AI147,"Yes")/78</f>
        <v>8.9743589743589744E-2</v>
      </c>
      <c r="S399" s="183">
        <f>COUNTIFS(AJ70:AJ147,"Yes")/78</f>
        <v>0.42307692307692307</v>
      </c>
    </row>
    <row r="400" spans="1:36" ht="15.75" x14ac:dyDescent="0.25">
      <c r="B400" s="352" t="s">
        <v>1707</v>
      </c>
      <c r="C400" s="182">
        <f>COUNTIFS(F148:F225,"Yes")/78</f>
        <v>1</v>
      </c>
      <c r="D400" s="175">
        <f t="shared" ref="D400" si="2">COUNTIFS(G148:G225,"Yes")/78</f>
        <v>0.79487179487179482</v>
      </c>
      <c r="E400" s="175">
        <f>COUNTIFS(I148:I225,"Yes")/78</f>
        <v>0.5</v>
      </c>
      <c r="F400" s="175">
        <f>COUNTIFS(K148:K225,"Yes")/78</f>
        <v>1.282051282051282E-2</v>
      </c>
      <c r="G400" s="175">
        <f>COUNTIFS(L148:L225,"Yes")/78</f>
        <v>0.30769230769230771</v>
      </c>
      <c r="H400" s="175">
        <f>COUNTIFS(N148:N225,"Yes")/78</f>
        <v>0.64102564102564108</v>
      </c>
      <c r="I400" s="175">
        <f>COUNTIFS(O148:O225,"Yes")/78</f>
        <v>0.51282051282051277</v>
      </c>
      <c r="J400" s="175">
        <f>COUNTIFS(P148:P225,"Yes")/78</f>
        <v>0.57692307692307687</v>
      </c>
      <c r="K400" s="175">
        <f>COUNTIFS(AA148:AA225,"Yes")/78</f>
        <v>0.79487179487179482</v>
      </c>
      <c r="L400" s="175">
        <f>COUNTIFS(AB148:AB225,"Yes")/78</f>
        <v>0.35897435897435898</v>
      </c>
      <c r="M400" s="175">
        <f>COUNTIFS(AD148:AD225,"Yes")/78</f>
        <v>0.78205128205128205</v>
      </c>
      <c r="N400" s="354">
        <f>COUNTIFS(AF148:AF225,"Counted")/78</f>
        <v>0.15384615384615385</v>
      </c>
      <c r="O400" s="354">
        <f>COUNTIFS(AF148:AF225,"Estimated")/78</f>
        <v>0.84615384615384615</v>
      </c>
      <c r="P400" s="175">
        <f>COUNTIFS(AG148:AG225,"Yes")/78</f>
        <v>0.89743589743589747</v>
      </c>
      <c r="Q400" s="175">
        <f>COUNTIFS(AH148:AH225,"Yes")/78</f>
        <v>0.83333333333333337</v>
      </c>
      <c r="R400" s="175">
        <f>COUNTIFS(AI148:AI225,"Yes")/78</f>
        <v>5.128205128205128E-2</v>
      </c>
      <c r="S400" s="183">
        <f>COUNTIFS(AJ148:AJ225,"Yes")/78</f>
        <v>0.61538461538461542</v>
      </c>
    </row>
    <row r="401" spans="1:19" ht="15.75" x14ac:dyDescent="0.25">
      <c r="B401" s="351" t="s">
        <v>1708</v>
      </c>
      <c r="C401" s="182">
        <f>COUNTIFS(F226:F304,"Yes")/79</f>
        <v>1</v>
      </c>
      <c r="D401" s="175">
        <f t="shared" ref="D401" si="3">COUNTIFS(G226:G304,"Yes")/79</f>
        <v>0.92405063291139244</v>
      </c>
      <c r="E401" s="175">
        <f>COUNTIFS(I226:I304,"Yes")/79</f>
        <v>0.29113924050632911</v>
      </c>
      <c r="F401" s="175">
        <f>COUNTIFS(K226:K304,"Yes")/79</f>
        <v>0</v>
      </c>
      <c r="G401" s="175">
        <f>COUNTIFS(L226:L304,"Yes")/79</f>
        <v>0.17721518987341772</v>
      </c>
      <c r="H401" s="175">
        <f>COUNTIFS(N226:N304,"Yes")/79</f>
        <v>0.759493670886076</v>
      </c>
      <c r="I401" s="175">
        <f>COUNTIFS(O226:O304,"Yes")/79</f>
        <v>0.759493670886076</v>
      </c>
      <c r="J401" s="175">
        <f>COUNTIFS(P226:P304,"Yes")/79</f>
        <v>0.74683544303797467</v>
      </c>
      <c r="K401" s="175">
        <f>COUNTIFS(AA226:AA304,"Yes")/79</f>
        <v>0.86075949367088611</v>
      </c>
      <c r="L401" s="175">
        <f>COUNTIFS(AB226:AB304,"Yes")/79</f>
        <v>0.4050632911392405</v>
      </c>
      <c r="M401" s="175">
        <f>COUNTIFS(AD226:AD304,"Yes")/79</f>
        <v>0.93670886075949367</v>
      </c>
      <c r="N401" s="354">
        <f>COUNTIFS(AF226:AF304,"Counted")/79</f>
        <v>0.55696202531645567</v>
      </c>
      <c r="O401" s="354">
        <f>COUNTIFS(AF226:AF304,"Estimated")/79</f>
        <v>0.43037974683544306</v>
      </c>
      <c r="P401" s="175">
        <f>COUNTIFS(AG226:AG304,"Yes")/79</f>
        <v>0.87341772151898733</v>
      </c>
      <c r="Q401" s="175">
        <f>COUNTIFS(AH226:AH304,"Yes")/79</f>
        <v>0.810126582278481</v>
      </c>
      <c r="R401" s="175">
        <f>COUNTIFS(AI226:AI304,"Yes")/79</f>
        <v>0.10126582278481013</v>
      </c>
      <c r="S401" s="183">
        <f>COUNTIFS(AJ226:AJ304,"Yes")/79</f>
        <v>0.74683544303797467</v>
      </c>
    </row>
    <row r="402" spans="1:19" ht="15.75" x14ac:dyDescent="0.25">
      <c r="B402" s="352" t="s">
        <v>1709</v>
      </c>
      <c r="C402" s="182">
        <f>COUNTIFS(F305:F347,"Yes")/43</f>
        <v>1</v>
      </c>
      <c r="D402" s="175">
        <f t="shared" ref="D402" si="4">COUNTIFS(G305:G347,"Yes")/43</f>
        <v>0.88372093023255816</v>
      </c>
      <c r="E402" s="175">
        <f>COUNTIFS(I305:I347,"Yes")/43</f>
        <v>0.34883720930232559</v>
      </c>
      <c r="F402" s="175">
        <f>COUNTIFS(K305:K347,"Yes")/43</f>
        <v>0</v>
      </c>
      <c r="G402" s="175">
        <f>COUNTIFS(L305:L347,"Yes")/43</f>
        <v>0.11627906976744186</v>
      </c>
      <c r="H402" s="175">
        <f>COUNTIFS(N305:N347,"Yes")/43</f>
        <v>0.86046511627906974</v>
      </c>
      <c r="I402" s="175">
        <f>COUNTIFS(O305:O347,"Yes")/43</f>
        <v>0.83720930232558144</v>
      </c>
      <c r="J402" s="175">
        <f>COUNTIFS(P305:P347,"Yes")/43</f>
        <v>0.86046511627906974</v>
      </c>
      <c r="K402" s="175">
        <f>COUNTIFS(AA305:AA347,"Yes")/43</f>
        <v>0.83720930232558144</v>
      </c>
      <c r="L402" s="175">
        <f>COUNTIFS(AB305:AB347,"Yes")/43</f>
        <v>0.44186046511627908</v>
      </c>
      <c r="M402" s="175">
        <f>COUNTIFS(AD305:AD347,"Yes")/43</f>
        <v>0.86046511627906974</v>
      </c>
      <c r="N402" s="354">
        <f>COUNTIFS(AF305:AF347,"Counted")/43</f>
        <v>0.51162790697674421</v>
      </c>
      <c r="O402" s="354">
        <f>COUNTIFS(AF305:AF347,"Estimated")/43</f>
        <v>0.48837209302325579</v>
      </c>
      <c r="P402" s="175">
        <f>COUNTIFS(AG305:AG347,"Yes")/43</f>
        <v>0.88372093023255816</v>
      </c>
      <c r="Q402" s="175">
        <f>COUNTIFS(AH305:AH347,"Yes")/43</f>
        <v>0.81395348837209303</v>
      </c>
      <c r="R402" s="175">
        <f>COUNTIFS(AI305:AI347,"Yes")/43</f>
        <v>0.23255813953488372</v>
      </c>
      <c r="S402" s="183">
        <f>COUNTIFS(AJ305:AJ347,"Yes")/43</f>
        <v>0.83720930232558144</v>
      </c>
    </row>
    <row r="403" spans="1:19" ht="16.5" thickBot="1" x14ac:dyDescent="0.3">
      <c r="B403" s="353" t="s">
        <v>1710</v>
      </c>
      <c r="C403" s="356">
        <f>COUNTIFS(F348:F392,"Yes")/45</f>
        <v>1</v>
      </c>
      <c r="D403" s="357">
        <f t="shared" ref="D403" si="5">COUNTIFS(G348:G392,"Yes")/45</f>
        <v>0.88888888888888884</v>
      </c>
      <c r="E403" s="357">
        <f>COUNTIFS(I348:I392,"Yes")/45</f>
        <v>0.35555555555555557</v>
      </c>
      <c r="F403" s="357">
        <f>COUNTIFS(K348:K392,"Yes")/45</f>
        <v>6.6666666666666666E-2</v>
      </c>
      <c r="G403" s="357">
        <f>COUNTIFS(L348:L392,"Yes")/45</f>
        <v>0.22222222222222221</v>
      </c>
      <c r="H403" s="357">
        <f>COUNTIFS(N348:N392,"Yes")/45</f>
        <v>0.93333333333333335</v>
      </c>
      <c r="I403" s="357">
        <f>COUNTIFS(O348:O392,"Yes")/45</f>
        <v>0.91111111111111109</v>
      </c>
      <c r="J403" s="357">
        <f>COUNTIFS(P348:P392,"Yes")/45</f>
        <v>0.91111111111111109</v>
      </c>
      <c r="K403" s="357">
        <f>COUNTIFS(AA348:AA392,"Yes")/45</f>
        <v>0.71111111111111114</v>
      </c>
      <c r="L403" s="357">
        <f>COUNTIFS(AB348:AB392,"Yes")/45</f>
        <v>0.55555555555555558</v>
      </c>
      <c r="M403" s="357">
        <f>COUNTIFS(AD348:AD392,"Yes")/45</f>
        <v>0.88888888888888884</v>
      </c>
      <c r="N403" s="358">
        <f>COUNTIFS(AF348:AF392,"Counted")/45</f>
        <v>0.48888888888888887</v>
      </c>
      <c r="O403" s="358">
        <f>COUNTIFS(AF348:AF392,"Estimated")/45</f>
        <v>0.51111111111111107</v>
      </c>
      <c r="P403" s="357">
        <f>COUNTIFS(AG348:AG392,"Yes")/45</f>
        <v>0.75555555555555554</v>
      </c>
      <c r="Q403" s="357">
        <f>COUNTIFS(AH348:AH392,"Yes")/45</f>
        <v>0.77777777777777779</v>
      </c>
      <c r="R403" s="357">
        <f>COUNTIFS(AI348:AI392,"Yes")/45</f>
        <v>0.22222222222222221</v>
      </c>
      <c r="S403" s="359">
        <f>COUNTIFS(AJ348:AJ392,"Yes")/45</f>
        <v>0.9555555555555556</v>
      </c>
    </row>
    <row r="407" spans="1:19" x14ac:dyDescent="0.2">
      <c r="B407" s="31" t="s">
        <v>3726</v>
      </c>
    </row>
    <row r="408" spans="1:19" ht="15" x14ac:dyDescent="0.25">
      <c r="A408" s="369" t="s">
        <v>3736</v>
      </c>
    </row>
  </sheetData>
  <hyperlinks>
    <hyperlink ref="F1" location="'Table Of Contents'!A1" display="Return to Table of Contents" xr:uid="{EBCE9197-1A54-4064-B899-91487D1BC748}"/>
  </hyperlinks>
  <pageMargins left="0.7" right="0.7" top="0.75" bottom="0.75" header="0.3" footer="0.3"/>
  <pageSetup orientation="portrait" horizontalDpi="1200" verticalDpi="12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CC6D4"/>
  </sheetPr>
  <dimension ref="A1:M396"/>
  <sheetViews>
    <sheetView workbookViewId="0">
      <pane ySplit="3" topLeftCell="A4" activePane="bottomLeft" state="frozen"/>
      <selection pane="bottomLeft" activeCell="C1" sqref="C1"/>
    </sheetView>
  </sheetViews>
  <sheetFormatPr defaultRowHeight="12.75" x14ac:dyDescent="0.2"/>
  <cols>
    <col min="1" max="1" width="15.28515625" customWidth="1"/>
    <col min="2" max="2" width="49" bestFit="1" customWidth="1"/>
    <col min="3" max="3" width="26.5703125" customWidth="1"/>
    <col min="4" max="4" width="22.5703125" customWidth="1"/>
    <col min="5" max="5" width="19.7109375" customWidth="1"/>
    <col min="6" max="6" width="12.28515625" customWidth="1"/>
    <col min="7" max="7" width="14.5703125" customWidth="1"/>
    <col min="8" max="8" width="15.28515625" customWidth="1"/>
    <col min="9" max="9" width="13" customWidth="1"/>
    <col min="10" max="10" width="17.42578125" customWidth="1"/>
    <col min="11" max="11" width="13" customWidth="1"/>
    <col min="12" max="12" width="13.85546875" customWidth="1"/>
    <col min="13" max="13" width="18.140625" style="32" customWidth="1"/>
  </cols>
  <sheetData>
    <row r="1" spans="1:13" ht="18.75" x14ac:dyDescent="0.3">
      <c r="A1" s="362" t="s">
        <v>3729</v>
      </c>
      <c r="B1" s="365"/>
      <c r="D1" s="364" t="s">
        <v>3731</v>
      </c>
      <c r="F1" s="360" t="s">
        <v>3727</v>
      </c>
    </row>
    <row r="3" spans="1:13" s="34" customFormat="1" ht="56.25" customHeight="1" thickBot="1" x14ac:dyDescent="0.3">
      <c r="A3" s="70" t="s">
        <v>1</v>
      </c>
      <c r="B3" s="70" t="s">
        <v>0</v>
      </c>
      <c r="C3" s="70" t="s">
        <v>4</v>
      </c>
      <c r="D3" s="70" t="s">
        <v>2</v>
      </c>
      <c r="E3" s="70" t="s">
        <v>3</v>
      </c>
      <c r="F3" s="70" t="s">
        <v>5</v>
      </c>
      <c r="G3" s="70" t="s">
        <v>6</v>
      </c>
      <c r="H3" s="70" t="s">
        <v>7</v>
      </c>
      <c r="I3" s="70" t="s">
        <v>8</v>
      </c>
      <c r="J3" s="70" t="s">
        <v>9</v>
      </c>
      <c r="K3" s="70" t="s">
        <v>10</v>
      </c>
      <c r="L3" s="70" t="s">
        <v>11</v>
      </c>
      <c r="M3" s="70" t="s">
        <v>12</v>
      </c>
    </row>
    <row r="4" spans="1:13" ht="15.75" thickBot="1" x14ac:dyDescent="0.3">
      <c r="A4" s="71" t="s">
        <v>33</v>
      </c>
      <c r="B4" s="72" t="s">
        <v>32</v>
      </c>
      <c r="C4" s="71" t="s">
        <v>34</v>
      </c>
      <c r="D4" s="73" t="s">
        <v>20</v>
      </c>
      <c r="E4" s="73" t="s">
        <v>21</v>
      </c>
      <c r="F4" s="74">
        <v>1</v>
      </c>
      <c r="G4" s="74">
        <v>0</v>
      </c>
      <c r="H4" s="74">
        <v>0</v>
      </c>
      <c r="I4" s="74">
        <v>1</v>
      </c>
      <c r="J4" s="74">
        <v>2520</v>
      </c>
      <c r="K4" s="74">
        <v>0</v>
      </c>
      <c r="L4" s="74">
        <v>2520</v>
      </c>
      <c r="M4" s="77">
        <v>1976</v>
      </c>
    </row>
    <row r="5" spans="1:13" ht="15.75" thickBot="1" x14ac:dyDescent="0.3">
      <c r="A5" s="71" t="s">
        <v>58</v>
      </c>
      <c r="B5" s="72" t="s">
        <v>57</v>
      </c>
      <c r="C5" s="71" t="s">
        <v>34</v>
      </c>
      <c r="D5" s="73" t="s">
        <v>20</v>
      </c>
      <c r="E5" s="73" t="s">
        <v>21</v>
      </c>
      <c r="F5" s="74">
        <v>1</v>
      </c>
      <c r="G5" s="74">
        <v>0</v>
      </c>
      <c r="H5" s="74">
        <v>0</v>
      </c>
      <c r="I5" s="74">
        <v>1</v>
      </c>
      <c r="J5" s="74">
        <v>2723</v>
      </c>
      <c r="K5" s="74">
        <v>0</v>
      </c>
      <c r="L5" s="74">
        <v>2723</v>
      </c>
      <c r="M5" s="75">
        <v>2288</v>
      </c>
    </row>
    <row r="6" spans="1:13" ht="15.75" thickBot="1" x14ac:dyDescent="0.3">
      <c r="A6" s="71" t="s">
        <v>80</v>
      </c>
      <c r="B6" s="72" t="s">
        <v>79</v>
      </c>
      <c r="C6" s="71" t="s">
        <v>34</v>
      </c>
      <c r="D6" s="73" t="s">
        <v>61</v>
      </c>
      <c r="E6" s="73" t="s">
        <v>62</v>
      </c>
      <c r="F6" s="74">
        <v>1</v>
      </c>
      <c r="G6" s="74">
        <v>0</v>
      </c>
      <c r="H6" s="74">
        <v>0</v>
      </c>
      <c r="I6" s="74">
        <v>1</v>
      </c>
      <c r="J6" s="74">
        <v>2995</v>
      </c>
      <c r="K6" s="74">
        <v>0</v>
      </c>
      <c r="L6" s="74">
        <v>2995</v>
      </c>
      <c r="M6" s="75">
        <v>2400</v>
      </c>
    </row>
    <row r="7" spans="1:13" ht="15.75" thickBot="1" x14ac:dyDescent="0.3">
      <c r="A7" s="71" t="s">
        <v>82</v>
      </c>
      <c r="B7" s="72" t="s">
        <v>81</v>
      </c>
      <c r="C7" s="71" t="s">
        <v>34</v>
      </c>
      <c r="D7" s="73" t="s">
        <v>15</v>
      </c>
      <c r="E7" s="73" t="s">
        <v>16</v>
      </c>
      <c r="F7" s="74">
        <v>1</v>
      </c>
      <c r="G7" s="74">
        <v>0</v>
      </c>
      <c r="H7" s="74">
        <v>0</v>
      </c>
      <c r="I7" s="74">
        <v>1</v>
      </c>
      <c r="J7" s="74">
        <v>4000</v>
      </c>
      <c r="K7" s="74">
        <v>0</v>
      </c>
      <c r="L7" s="74">
        <v>4000</v>
      </c>
      <c r="M7" s="75">
        <v>1878</v>
      </c>
    </row>
    <row r="8" spans="1:13" ht="15.75" thickBot="1" x14ac:dyDescent="0.3">
      <c r="A8" s="71" t="s">
        <v>86</v>
      </c>
      <c r="B8" s="72" t="s">
        <v>85</v>
      </c>
      <c r="C8" s="71" t="s">
        <v>34</v>
      </c>
      <c r="D8" s="73" t="s">
        <v>61</v>
      </c>
      <c r="E8" s="73" t="s">
        <v>62</v>
      </c>
      <c r="F8" s="74">
        <v>1</v>
      </c>
      <c r="G8" s="74">
        <v>0</v>
      </c>
      <c r="H8" s="74">
        <v>0</v>
      </c>
      <c r="I8" s="74">
        <v>1</v>
      </c>
      <c r="J8" s="74">
        <v>880</v>
      </c>
      <c r="K8" s="76">
        <v>0</v>
      </c>
      <c r="L8" s="74">
        <v>880</v>
      </c>
      <c r="M8" s="75">
        <v>1212</v>
      </c>
    </row>
    <row r="9" spans="1:13" ht="15.75" thickBot="1" x14ac:dyDescent="0.3">
      <c r="A9" s="71" t="s">
        <v>90</v>
      </c>
      <c r="B9" s="72" t="s">
        <v>89</v>
      </c>
      <c r="C9" s="71" t="s">
        <v>34</v>
      </c>
      <c r="D9" s="73" t="s">
        <v>20</v>
      </c>
      <c r="E9" s="73" t="s">
        <v>21</v>
      </c>
      <c r="F9" s="74">
        <v>1</v>
      </c>
      <c r="G9" s="74">
        <v>0</v>
      </c>
      <c r="H9" s="74">
        <v>0</v>
      </c>
      <c r="I9" s="74">
        <v>1</v>
      </c>
      <c r="J9" s="74">
        <v>4500</v>
      </c>
      <c r="K9" s="74">
        <v>0</v>
      </c>
      <c r="L9" s="74">
        <v>4500</v>
      </c>
      <c r="M9" s="75">
        <v>1669</v>
      </c>
    </row>
    <row r="10" spans="1:13" ht="15.75" thickBot="1" x14ac:dyDescent="0.3">
      <c r="A10" s="71" t="s">
        <v>92</v>
      </c>
      <c r="B10" s="72" t="s">
        <v>91</v>
      </c>
      <c r="C10" s="71" t="s">
        <v>34</v>
      </c>
      <c r="D10" s="73" t="s">
        <v>20</v>
      </c>
      <c r="E10" s="73" t="s">
        <v>21</v>
      </c>
      <c r="F10" s="74">
        <v>1</v>
      </c>
      <c r="G10" s="74">
        <v>0</v>
      </c>
      <c r="H10" s="74">
        <v>0</v>
      </c>
      <c r="I10" s="74">
        <v>1</v>
      </c>
      <c r="J10" s="74">
        <v>3150</v>
      </c>
      <c r="K10" s="74">
        <v>0</v>
      </c>
      <c r="L10" s="74">
        <v>3150</v>
      </c>
      <c r="M10" s="75">
        <v>1584</v>
      </c>
    </row>
    <row r="11" spans="1:13" ht="15.75" thickBot="1" x14ac:dyDescent="0.3">
      <c r="A11" s="71" t="s">
        <v>100</v>
      </c>
      <c r="B11" s="72" t="s">
        <v>99</v>
      </c>
      <c r="C11" s="71" t="s">
        <v>34</v>
      </c>
      <c r="D11" s="73" t="s">
        <v>101</v>
      </c>
      <c r="E11" s="73" t="s">
        <v>102</v>
      </c>
      <c r="F11" s="74">
        <v>1</v>
      </c>
      <c r="G11" s="74">
        <v>0</v>
      </c>
      <c r="H11" s="74">
        <v>0</v>
      </c>
      <c r="I11" s="74">
        <v>1</v>
      </c>
      <c r="J11" s="74">
        <v>1513</v>
      </c>
      <c r="K11" s="74">
        <v>0</v>
      </c>
      <c r="L11" s="74">
        <v>1513</v>
      </c>
      <c r="M11" s="75">
        <v>1380</v>
      </c>
    </row>
    <row r="12" spans="1:13" ht="15.75" thickBot="1" x14ac:dyDescent="0.3">
      <c r="A12" s="71" t="s">
        <v>132</v>
      </c>
      <c r="B12" s="72" t="s">
        <v>131</v>
      </c>
      <c r="C12" s="71" t="s">
        <v>34</v>
      </c>
      <c r="D12" s="73" t="s">
        <v>101</v>
      </c>
      <c r="E12" s="73" t="s">
        <v>102</v>
      </c>
      <c r="F12" s="74">
        <v>1</v>
      </c>
      <c r="G12" s="74">
        <v>0</v>
      </c>
      <c r="H12" s="74">
        <v>0</v>
      </c>
      <c r="I12" s="74">
        <v>1</v>
      </c>
      <c r="J12" s="74">
        <v>3240</v>
      </c>
      <c r="K12" s="74">
        <v>0</v>
      </c>
      <c r="L12" s="74">
        <v>3240</v>
      </c>
      <c r="M12" s="75">
        <v>1456</v>
      </c>
    </row>
    <row r="13" spans="1:13" ht="15.75" thickBot="1" x14ac:dyDescent="0.3">
      <c r="A13" s="71" t="s">
        <v>146</v>
      </c>
      <c r="B13" s="72" t="s">
        <v>145</v>
      </c>
      <c r="C13" s="71" t="s">
        <v>34</v>
      </c>
      <c r="D13" s="73" t="s">
        <v>61</v>
      </c>
      <c r="E13" s="73" t="s">
        <v>62</v>
      </c>
      <c r="F13" s="74">
        <v>1</v>
      </c>
      <c r="G13" s="74">
        <v>0</v>
      </c>
      <c r="H13" s="74">
        <v>0</v>
      </c>
      <c r="I13" s="74">
        <v>1</v>
      </c>
      <c r="J13" s="74">
        <v>2331</v>
      </c>
      <c r="K13" s="74">
        <v>0</v>
      </c>
      <c r="L13" s="74">
        <v>2331</v>
      </c>
      <c r="M13" s="75">
        <v>739</v>
      </c>
    </row>
    <row r="14" spans="1:13" ht="15.75" thickBot="1" x14ac:dyDescent="0.3">
      <c r="A14" s="71" t="s">
        <v>156</v>
      </c>
      <c r="B14" s="72" t="s">
        <v>155</v>
      </c>
      <c r="C14" s="71" t="s">
        <v>34</v>
      </c>
      <c r="D14" s="73" t="s">
        <v>15</v>
      </c>
      <c r="E14" s="73" t="s">
        <v>16</v>
      </c>
      <c r="F14" s="74">
        <v>1</v>
      </c>
      <c r="G14" s="74">
        <v>0</v>
      </c>
      <c r="H14" s="74">
        <v>0</v>
      </c>
      <c r="I14" s="74">
        <v>1</v>
      </c>
      <c r="J14" s="74">
        <v>5300</v>
      </c>
      <c r="K14" s="74">
        <v>0</v>
      </c>
      <c r="L14" s="74">
        <v>5300</v>
      </c>
      <c r="M14" s="75">
        <v>2340</v>
      </c>
    </row>
    <row r="15" spans="1:13" ht="15.75" thickBot="1" x14ac:dyDescent="0.3">
      <c r="A15" s="71" t="s">
        <v>164</v>
      </c>
      <c r="B15" s="72" t="s">
        <v>163</v>
      </c>
      <c r="C15" s="71" t="s">
        <v>34</v>
      </c>
      <c r="D15" s="73" t="s">
        <v>61</v>
      </c>
      <c r="E15" s="73" t="s">
        <v>62</v>
      </c>
      <c r="F15" s="74">
        <v>1</v>
      </c>
      <c r="G15" s="74">
        <v>0</v>
      </c>
      <c r="H15" s="74">
        <v>0</v>
      </c>
      <c r="I15" s="74">
        <v>1</v>
      </c>
      <c r="J15" s="74">
        <v>3248</v>
      </c>
      <c r="K15" s="74">
        <v>0</v>
      </c>
      <c r="L15" s="74">
        <v>3248</v>
      </c>
      <c r="M15" s="75">
        <v>1445</v>
      </c>
    </row>
    <row r="16" spans="1:13" ht="15.75" thickBot="1" x14ac:dyDescent="0.3">
      <c r="A16" s="71" t="s">
        <v>176</v>
      </c>
      <c r="B16" s="72" t="s">
        <v>175</v>
      </c>
      <c r="C16" s="71" t="s">
        <v>34</v>
      </c>
      <c r="D16" s="73" t="s">
        <v>61</v>
      </c>
      <c r="E16" s="73" t="s">
        <v>62</v>
      </c>
      <c r="F16" s="74">
        <v>1</v>
      </c>
      <c r="G16" s="74">
        <v>0</v>
      </c>
      <c r="H16" s="74">
        <v>0</v>
      </c>
      <c r="I16" s="74">
        <v>1</v>
      </c>
      <c r="J16" s="74">
        <v>6900</v>
      </c>
      <c r="K16" s="74">
        <v>0</v>
      </c>
      <c r="L16" s="74">
        <v>6900</v>
      </c>
      <c r="M16" s="75">
        <v>2236</v>
      </c>
    </row>
    <row r="17" spans="1:13" ht="15.75" thickBot="1" x14ac:dyDescent="0.3">
      <c r="A17" s="71" t="s">
        <v>184</v>
      </c>
      <c r="B17" s="72" t="s">
        <v>183</v>
      </c>
      <c r="C17" s="71" t="s">
        <v>34</v>
      </c>
      <c r="D17" s="73" t="s">
        <v>61</v>
      </c>
      <c r="E17" s="73" t="s">
        <v>62</v>
      </c>
      <c r="F17" s="74">
        <v>1</v>
      </c>
      <c r="G17" s="74">
        <v>0</v>
      </c>
      <c r="H17" s="74">
        <v>0</v>
      </c>
      <c r="I17" s="74">
        <v>1</v>
      </c>
      <c r="J17" s="74">
        <v>8312</v>
      </c>
      <c r="K17" s="74">
        <v>0</v>
      </c>
      <c r="L17" s="74">
        <v>8312</v>
      </c>
      <c r="M17" s="75">
        <v>1872</v>
      </c>
    </row>
    <row r="18" spans="1:13" ht="15.75" thickBot="1" x14ac:dyDescent="0.3">
      <c r="A18" s="71" t="s">
        <v>186</v>
      </c>
      <c r="B18" s="72" t="s">
        <v>185</v>
      </c>
      <c r="C18" s="71" t="s">
        <v>34</v>
      </c>
      <c r="D18" s="73" t="s">
        <v>61</v>
      </c>
      <c r="E18" s="73" t="s">
        <v>62</v>
      </c>
      <c r="F18" s="74">
        <v>1</v>
      </c>
      <c r="G18" s="74">
        <v>0</v>
      </c>
      <c r="H18" s="74">
        <v>0</v>
      </c>
      <c r="I18" s="74">
        <v>1</v>
      </c>
      <c r="J18" s="74">
        <v>7810</v>
      </c>
      <c r="K18" s="74">
        <v>0</v>
      </c>
      <c r="L18" s="74">
        <v>7810</v>
      </c>
      <c r="M18" s="75">
        <v>2022</v>
      </c>
    </row>
    <row r="19" spans="1:13" ht="15.75" thickBot="1" x14ac:dyDescent="0.3">
      <c r="A19" s="71" t="s">
        <v>202</v>
      </c>
      <c r="B19" s="72" t="s">
        <v>201</v>
      </c>
      <c r="C19" s="71" t="s">
        <v>34</v>
      </c>
      <c r="D19" s="73" t="s">
        <v>20</v>
      </c>
      <c r="E19" s="73" t="s">
        <v>21</v>
      </c>
      <c r="F19" s="74">
        <v>1</v>
      </c>
      <c r="G19" s="74">
        <v>1</v>
      </c>
      <c r="H19" s="74">
        <v>0</v>
      </c>
      <c r="I19" s="74">
        <v>2</v>
      </c>
      <c r="J19" s="74">
        <v>3000</v>
      </c>
      <c r="K19" s="76">
        <v>2060</v>
      </c>
      <c r="L19" s="74">
        <v>5060</v>
      </c>
      <c r="M19" s="75">
        <v>2529</v>
      </c>
    </row>
    <row r="20" spans="1:13" ht="15.75" thickBot="1" x14ac:dyDescent="0.3">
      <c r="A20" s="71" t="s">
        <v>204</v>
      </c>
      <c r="B20" s="72" t="s">
        <v>203</v>
      </c>
      <c r="C20" s="71" t="s">
        <v>34</v>
      </c>
      <c r="D20" s="73" t="s">
        <v>61</v>
      </c>
      <c r="E20" s="73" t="s">
        <v>62</v>
      </c>
      <c r="F20" s="74">
        <v>1</v>
      </c>
      <c r="G20" s="74">
        <v>0</v>
      </c>
      <c r="H20" s="74">
        <v>0</v>
      </c>
      <c r="I20" s="74">
        <v>1</v>
      </c>
      <c r="J20" s="74">
        <v>4144</v>
      </c>
      <c r="K20" s="74">
        <v>0</v>
      </c>
      <c r="L20" s="74">
        <v>4144</v>
      </c>
      <c r="M20" s="75">
        <v>1304</v>
      </c>
    </row>
    <row r="21" spans="1:13" ht="15.75" thickBot="1" x14ac:dyDescent="0.3">
      <c r="A21" s="71" t="s">
        <v>206</v>
      </c>
      <c r="B21" s="72" t="s">
        <v>205</v>
      </c>
      <c r="C21" s="71" t="s">
        <v>34</v>
      </c>
      <c r="D21" s="73" t="s">
        <v>15</v>
      </c>
      <c r="E21" s="73" t="s">
        <v>16</v>
      </c>
      <c r="F21" s="74">
        <v>1</v>
      </c>
      <c r="G21" s="74">
        <v>0</v>
      </c>
      <c r="H21" s="74">
        <v>0</v>
      </c>
      <c r="I21" s="74">
        <v>1</v>
      </c>
      <c r="J21" s="74">
        <v>4580</v>
      </c>
      <c r="K21" s="74">
        <v>0</v>
      </c>
      <c r="L21" s="74">
        <v>4580</v>
      </c>
      <c r="M21" s="75">
        <v>2518</v>
      </c>
    </row>
    <row r="22" spans="1:13" ht="15.75" thickBot="1" x14ac:dyDescent="0.3">
      <c r="A22" s="71" t="s">
        <v>208</v>
      </c>
      <c r="B22" s="72" t="s">
        <v>207</v>
      </c>
      <c r="C22" s="71" t="s">
        <v>34</v>
      </c>
      <c r="D22" s="73" t="s">
        <v>15</v>
      </c>
      <c r="E22" s="73" t="s">
        <v>16</v>
      </c>
      <c r="F22" s="74">
        <v>1</v>
      </c>
      <c r="G22" s="74">
        <v>0</v>
      </c>
      <c r="H22" s="74">
        <v>0</v>
      </c>
      <c r="I22" s="74">
        <v>1</v>
      </c>
      <c r="J22" s="74">
        <v>3796</v>
      </c>
      <c r="K22" s="74">
        <v>0</v>
      </c>
      <c r="L22" s="74">
        <v>3796</v>
      </c>
      <c r="M22" s="75">
        <v>477</v>
      </c>
    </row>
    <row r="23" spans="1:13" ht="15.75" thickBot="1" x14ac:dyDescent="0.3">
      <c r="A23" s="71" t="s">
        <v>210</v>
      </c>
      <c r="B23" s="72" t="s">
        <v>209</v>
      </c>
      <c r="C23" s="71" t="s">
        <v>34</v>
      </c>
      <c r="D23" s="73" t="s">
        <v>20</v>
      </c>
      <c r="E23" s="73" t="s">
        <v>21</v>
      </c>
      <c r="F23" s="74">
        <v>1</v>
      </c>
      <c r="G23" s="74">
        <v>0</v>
      </c>
      <c r="H23" s="74">
        <v>0</v>
      </c>
      <c r="I23" s="74">
        <v>1</v>
      </c>
      <c r="J23" s="74">
        <v>3000</v>
      </c>
      <c r="K23" s="74">
        <v>0</v>
      </c>
      <c r="L23" s="74">
        <v>3000</v>
      </c>
      <c r="M23" s="75">
        <v>1122</v>
      </c>
    </row>
    <row r="24" spans="1:13" ht="15.75" thickBot="1" x14ac:dyDescent="0.3">
      <c r="A24" s="71" t="s">
        <v>256</v>
      </c>
      <c r="B24" s="72" t="s">
        <v>255</v>
      </c>
      <c r="C24" s="71" t="s">
        <v>34</v>
      </c>
      <c r="D24" s="73" t="s">
        <v>61</v>
      </c>
      <c r="E24" s="73" t="s">
        <v>62</v>
      </c>
      <c r="F24" s="74">
        <v>1</v>
      </c>
      <c r="G24" s="74">
        <v>0</v>
      </c>
      <c r="H24" s="74">
        <v>0</v>
      </c>
      <c r="I24" s="74">
        <v>1</v>
      </c>
      <c r="J24" s="74">
        <v>912</v>
      </c>
      <c r="K24" s="74">
        <v>0</v>
      </c>
      <c r="L24" s="74">
        <v>912</v>
      </c>
      <c r="M24" s="75">
        <v>1820</v>
      </c>
    </row>
    <row r="25" spans="1:13" ht="15.75" thickBot="1" x14ac:dyDescent="0.3">
      <c r="A25" s="71" t="s">
        <v>258</v>
      </c>
      <c r="B25" s="72" t="s">
        <v>257</v>
      </c>
      <c r="C25" s="71" t="s">
        <v>34</v>
      </c>
      <c r="D25" s="73" t="s">
        <v>61</v>
      </c>
      <c r="E25" s="73" t="s">
        <v>62</v>
      </c>
      <c r="F25" s="74">
        <v>1</v>
      </c>
      <c r="G25" s="74">
        <v>0</v>
      </c>
      <c r="H25" s="74">
        <v>0</v>
      </c>
      <c r="I25" s="74">
        <v>1</v>
      </c>
      <c r="J25" s="74">
        <v>3420</v>
      </c>
      <c r="K25" s="74">
        <v>0</v>
      </c>
      <c r="L25" s="74">
        <v>3420</v>
      </c>
      <c r="M25" s="75">
        <v>1006</v>
      </c>
    </row>
    <row r="26" spans="1:13" ht="15.75" thickBot="1" x14ac:dyDescent="0.3">
      <c r="A26" s="71" t="s">
        <v>264</v>
      </c>
      <c r="B26" s="72" t="s">
        <v>263</v>
      </c>
      <c r="C26" s="71" t="s">
        <v>34</v>
      </c>
      <c r="D26" s="73" t="s">
        <v>61</v>
      </c>
      <c r="E26" s="73" t="s">
        <v>62</v>
      </c>
      <c r="F26" s="74">
        <v>1</v>
      </c>
      <c r="G26" s="74">
        <v>0</v>
      </c>
      <c r="H26" s="74">
        <v>0</v>
      </c>
      <c r="I26" s="74">
        <v>1</v>
      </c>
      <c r="J26" s="74">
        <v>4288</v>
      </c>
      <c r="K26" s="74">
        <v>0</v>
      </c>
      <c r="L26" s="74">
        <v>4288</v>
      </c>
      <c r="M26" s="75">
        <v>2600</v>
      </c>
    </row>
    <row r="27" spans="1:13" ht="15.75" thickBot="1" x14ac:dyDescent="0.3">
      <c r="A27" s="71" t="s">
        <v>272</v>
      </c>
      <c r="B27" s="72" t="s">
        <v>271</v>
      </c>
      <c r="C27" s="71" t="s">
        <v>34</v>
      </c>
      <c r="D27" s="73" t="s">
        <v>15</v>
      </c>
      <c r="E27" s="73" t="s">
        <v>16</v>
      </c>
      <c r="F27" s="74">
        <v>1</v>
      </c>
      <c r="G27" s="74">
        <v>0</v>
      </c>
      <c r="H27" s="74">
        <v>0</v>
      </c>
      <c r="I27" s="74">
        <v>1</v>
      </c>
      <c r="J27" s="74">
        <v>4800</v>
      </c>
      <c r="K27" s="74">
        <v>0</v>
      </c>
      <c r="L27" s="74">
        <v>4800</v>
      </c>
      <c r="M27" s="75">
        <v>2080</v>
      </c>
    </row>
    <row r="28" spans="1:13" ht="15.75" thickBot="1" x14ac:dyDescent="0.3">
      <c r="A28" s="71" t="s">
        <v>286</v>
      </c>
      <c r="B28" s="72" t="s">
        <v>285</v>
      </c>
      <c r="C28" s="71" t="s">
        <v>34</v>
      </c>
      <c r="D28" s="73" t="s">
        <v>20</v>
      </c>
      <c r="E28" s="73" t="s">
        <v>21</v>
      </c>
      <c r="F28" s="74">
        <v>1</v>
      </c>
      <c r="G28" s="74">
        <v>0</v>
      </c>
      <c r="H28" s="74">
        <v>0</v>
      </c>
      <c r="I28" s="74">
        <v>1</v>
      </c>
      <c r="J28" s="74">
        <v>1870</v>
      </c>
      <c r="K28" s="74">
        <v>0</v>
      </c>
      <c r="L28" s="74">
        <v>1870</v>
      </c>
      <c r="M28" s="75">
        <v>2200</v>
      </c>
    </row>
    <row r="29" spans="1:13" ht="15.75" thickBot="1" x14ac:dyDescent="0.3">
      <c r="A29" s="71" t="s">
        <v>298</v>
      </c>
      <c r="B29" s="72" t="s">
        <v>297</v>
      </c>
      <c r="C29" s="71" t="s">
        <v>34</v>
      </c>
      <c r="D29" s="73" t="s">
        <v>61</v>
      </c>
      <c r="E29" s="73" t="s">
        <v>62</v>
      </c>
      <c r="F29" s="74">
        <v>1</v>
      </c>
      <c r="G29" s="74">
        <v>0</v>
      </c>
      <c r="H29" s="74">
        <v>0</v>
      </c>
      <c r="I29" s="74">
        <v>1</v>
      </c>
      <c r="J29" s="74">
        <v>4290</v>
      </c>
      <c r="K29" s="74">
        <v>0</v>
      </c>
      <c r="L29" s="74">
        <v>4290</v>
      </c>
      <c r="M29" s="75">
        <v>1985</v>
      </c>
    </row>
    <row r="30" spans="1:13" ht="15.75" thickBot="1" x14ac:dyDescent="0.3">
      <c r="A30" s="71" t="s">
        <v>306</v>
      </c>
      <c r="B30" s="72" t="s">
        <v>305</v>
      </c>
      <c r="C30" s="71" t="s">
        <v>34</v>
      </c>
      <c r="D30" s="73" t="s">
        <v>61</v>
      </c>
      <c r="E30" s="73" t="s">
        <v>62</v>
      </c>
      <c r="F30" s="74">
        <v>1</v>
      </c>
      <c r="G30" s="74">
        <v>0</v>
      </c>
      <c r="H30" s="74">
        <v>0</v>
      </c>
      <c r="I30" s="74">
        <v>1</v>
      </c>
      <c r="J30" s="74">
        <v>1738</v>
      </c>
      <c r="K30" s="74">
        <v>0</v>
      </c>
      <c r="L30" s="74">
        <v>1738</v>
      </c>
      <c r="M30" s="75">
        <v>1040</v>
      </c>
    </row>
    <row r="31" spans="1:13" ht="15.75" thickBot="1" x14ac:dyDescent="0.3">
      <c r="A31" s="71" t="s">
        <v>314</v>
      </c>
      <c r="B31" s="72" t="s">
        <v>313</v>
      </c>
      <c r="C31" s="71" t="s">
        <v>34</v>
      </c>
      <c r="D31" s="73" t="s">
        <v>15</v>
      </c>
      <c r="E31" s="73" t="s">
        <v>16</v>
      </c>
      <c r="F31" s="74">
        <v>1</v>
      </c>
      <c r="G31" s="74">
        <v>0</v>
      </c>
      <c r="H31" s="74">
        <v>0</v>
      </c>
      <c r="I31" s="74">
        <v>1</v>
      </c>
      <c r="J31" s="74">
        <v>3400</v>
      </c>
      <c r="K31" s="74">
        <v>0</v>
      </c>
      <c r="L31" s="74">
        <v>3400</v>
      </c>
      <c r="M31" s="75">
        <v>2300</v>
      </c>
    </row>
    <row r="32" spans="1:13" ht="15.75" thickBot="1" x14ac:dyDescent="0.3">
      <c r="A32" s="71" t="s">
        <v>316</v>
      </c>
      <c r="B32" s="72" t="s">
        <v>315</v>
      </c>
      <c r="C32" s="71" t="s">
        <v>34</v>
      </c>
      <c r="D32" s="73" t="s">
        <v>20</v>
      </c>
      <c r="E32" s="73" t="s">
        <v>21</v>
      </c>
      <c r="F32" s="74">
        <v>1</v>
      </c>
      <c r="G32" s="74">
        <v>0</v>
      </c>
      <c r="H32" s="74">
        <v>0</v>
      </c>
      <c r="I32" s="74">
        <v>1</v>
      </c>
      <c r="J32" s="74">
        <v>2500</v>
      </c>
      <c r="K32" s="74">
        <v>0</v>
      </c>
      <c r="L32" s="74">
        <v>2500</v>
      </c>
      <c r="M32" s="75">
        <v>780</v>
      </c>
    </row>
    <row r="33" spans="1:13" ht="15.75" thickBot="1" x14ac:dyDescent="0.3">
      <c r="A33" s="71" t="s">
        <v>364</v>
      </c>
      <c r="B33" s="72" t="s">
        <v>363</v>
      </c>
      <c r="C33" s="71" t="s">
        <v>34</v>
      </c>
      <c r="D33" s="73" t="s">
        <v>15</v>
      </c>
      <c r="E33" s="73" t="s">
        <v>16</v>
      </c>
      <c r="F33" s="74">
        <v>1</v>
      </c>
      <c r="G33" s="74">
        <v>0</v>
      </c>
      <c r="H33" s="74">
        <v>0</v>
      </c>
      <c r="I33" s="74">
        <v>1</v>
      </c>
      <c r="J33" s="74">
        <v>6400</v>
      </c>
      <c r="K33" s="74">
        <v>0</v>
      </c>
      <c r="L33" s="74">
        <v>6400</v>
      </c>
      <c r="M33" s="75">
        <v>2064</v>
      </c>
    </row>
    <row r="34" spans="1:13" ht="15.75" thickBot="1" x14ac:dyDescent="0.3">
      <c r="A34" s="71" t="s">
        <v>380</v>
      </c>
      <c r="B34" s="72" t="s">
        <v>379</v>
      </c>
      <c r="C34" s="71" t="s">
        <v>34</v>
      </c>
      <c r="D34" s="73" t="s">
        <v>20</v>
      </c>
      <c r="E34" s="73" t="s">
        <v>21</v>
      </c>
      <c r="F34" s="74">
        <v>1</v>
      </c>
      <c r="G34" s="74">
        <v>0</v>
      </c>
      <c r="H34" s="74">
        <v>0</v>
      </c>
      <c r="I34" s="74">
        <v>1</v>
      </c>
      <c r="J34" s="74">
        <v>5000</v>
      </c>
      <c r="K34" s="74">
        <v>0</v>
      </c>
      <c r="L34" s="74">
        <v>5000</v>
      </c>
      <c r="M34" s="75">
        <v>1400</v>
      </c>
    </row>
    <row r="35" spans="1:13" ht="15.75" thickBot="1" x14ac:dyDescent="0.3">
      <c r="A35" s="71" t="s">
        <v>412</v>
      </c>
      <c r="B35" s="72" t="s">
        <v>411</v>
      </c>
      <c r="C35" s="71" t="s">
        <v>34</v>
      </c>
      <c r="D35" s="73" t="s">
        <v>20</v>
      </c>
      <c r="E35" s="73" t="s">
        <v>21</v>
      </c>
      <c r="F35" s="74">
        <v>1</v>
      </c>
      <c r="G35" s="74">
        <v>0</v>
      </c>
      <c r="H35" s="74">
        <v>0</v>
      </c>
      <c r="I35" s="74">
        <v>1</v>
      </c>
      <c r="J35" s="74">
        <v>3100</v>
      </c>
      <c r="K35" s="74">
        <v>0</v>
      </c>
      <c r="L35" s="74">
        <v>3100</v>
      </c>
      <c r="M35" s="75">
        <v>2019</v>
      </c>
    </row>
    <row r="36" spans="1:13" ht="15.75" thickBot="1" x14ac:dyDescent="0.3">
      <c r="A36" s="71" t="s">
        <v>419</v>
      </c>
      <c r="B36" s="72" t="s">
        <v>418</v>
      </c>
      <c r="C36" s="71" t="s">
        <v>34</v>
      </c>
      <c r="D36" s="73" t="s">
        <v>101</v>
      </c>
      <c r="E36" s="73" t="s">
        <v>102</v>
      </c>
      <c r="F36" s="74">
        <v>1</v>
      </c>
      <c r="G36" s="74">
        <v>0</v>
      </c>
      <c r="H36" s="74">
        <v>0</v>
      </c>
      <c r="I36" s="74">
        <v>1</v>
      </c>
      <c r="J36" s="74">
        <v>1715</v>
      </c>
      <c r="K36" s="74">
        <v>0</v>
      </c>
      <c r="L36" s="74">
        <v>1715</v>
      </c>
      <c r="M36" s="75">
        <v>882</v>
      </c>
    </row>
    <row r="37" spans="1:13" ht="15.75" thickBot="1" x14ac:dyDescent="0.3">
      <c r="A37" s="71" t="s">
        <v>421</v>
      </c>
      <c r="B37" s="72" t="s">
        <v>420</v>
      </c>
      <c r="C37" s="71" t="s">
        <v>34</v>
      </c>
      <c r="D37" s="73" t="s">
        <v>253</v>
      </c>
      <c r="E37" s="73" t="s">
        <v>254</v>
      </c>
      <c r="F37" s="74">
        <v>1</v>
      </c>
      <c r="G37" s="74">
        <v>0</v>
      </c>
      <c r="H37" s="74">
        <v>0</v>
      </c>
      <c r="I37" s="74">
        <v>1</v>
      </c>
      <c r="J37" s="74">
        <v>4932</v>
      </c>
      <c r="K37" s="74">
        <v>0</v>
      </c>
      <c r="L37" s="74">
        <v>4932</v>
      </c>
      <c r="M37" s="75">
        <v>1976</v>
      </c>
    </row>
    <row r="38" spans="1:13" ht="15.75" thickBot="1" x14ac:dyDescent="0.3">
      <c r="A38" s="71" t="s">
        <v>425</v>
      </c>
      <c r="B38" s="72" t="s">
        <v>424</v>
      </c>
      <c r="C38" s="71" t="s">
        <v>34</v>
      </c>
      <c r="D38" s="73" t="s">
        <v>61</v>
      </c>
      <c r="E38" s="73" t="s">
        <v>62</v>
      </c>
      <c r="F38" s="74">
        <v>1</v>
      </c>
      <c r="G38" s="74">
        <v>0</v>
      </c>
      <c r="H38" s="74">
        <v>0</v>
      </c>
      <c r="I38" s="74">
        <v>1</v>
      </c>
      <c r="J38" s="74">
        <v>2800</v>
      </c>
      <c r="K38" s="74">
        <v>0</v>
      </c>
      <c r="L38" s="74">
        <v>2800</v>
      </c>
      <c r="M38" s="75">
        <v>1820</v>
      </c>
    </row>
    <row r="39" spans="1:13" ht="15.75" thickBot="1" x14ac:dyDescent="0.3">
      <c r="A39" s="71" t="s">
        <v>435</v>
      </c>
      <c r="B39" s="72" t="s">
        <v>434</v>
      </c>
      <c r="C39" s="71" t="s">
        <v>34</v>
      </c>
      <c r="D39" s="73" t="s">
        <v>20</v>
      </c>
      <c r="E39" s="73" t="s">
        <v>21</v>
      </c>
      <c r="F39" s="74">
        <v>1</v>
      </c>
      <c r="G39" s="74">
        <v>0</v>
      </c>
      <c r="H39" s="74">
        <v>0</v>
      </c>
      <c r="I39" s="74">
        <v>1</v>
      </c>
      <c r="J39" s="74">
        <v>1980</v>
      </c>
      <c r="K39" s="74">
        <v>0</v>
      </c>
      <c r="L39" s="74">
        <v>1980</v>
      </c>
      <c r="M39" s="75">
        <v>1352</v>
      </c>
    </row>
    <row r="40" spans="1:13" ht="15.75" thickBot="1" x14ac:dyDescent="0.3">
      <c r="A40" s="71" t="s">
        <v>441</v>
      </c>
      <c r="B40" s="72" t="s">
        <v>440</v>
      </c>
      <c r="C40" s="71" t="s">
        <v>34</v>
      </c>
      <c r="D40" s="73" t="s">
        <v>61</v>
      </c>
      <c r="E40" s="73" t="s">
        <v>62</v>
      </c>
      <c r="F40" s="74">
        <v>1</v>
      </c>
      <c r="G40" s="74">
        <v>0</v>
      </c>
      <c r="H40" s="74">
        <v>0</v>
      </c>
      <c r="I40" s="74">
        <v>1</v>
      </c>
      <c r="J40" s="74">
        <v>1000</v>
      </c>
      <c r="K40" s="74">
        <v>0</v>
      </c>
      <c r="L40" s="74">
        <v>1000</v>
      </c>
      <c r="M40" s="75">
        <v>1456</v>
      </c>
    </row>
    <row r="41" spans="1:13" ht="15.75" thickBot="1" x14ac:dyDescent="0.3">
      <c r="A41" s="71" t="s">
        <v>454</v>
      </c>
      <c r="B41" s="72" t="s">
        <v>453</v>
      </c>
      <c r="C41" s="71" t="s">
        <v>34</v>
      </c>
      <c r="D41" s="73" t="s">
        <v>253</v>
      </c>
      <c r="E41" s="73" t="s">
        <v>254</v>
      </c>
      <c r="F41" s="74">
        <v>1</v>
      </c>
      <c r="G41" s="74">
        <v>0</v>
      </c>
      <c r="H41" s="74">
        <v>0</v>
      </c>
      <c r="I41" s="74">
        <v>1</v>
      </c>
      <c r="J41" s="74">
        <v>2200</v>
      </c>
      <c r="K41" s="74">
        <v>0</v>
      </c>
      <c r="L41" s="74">
        <v>2200</v>
      </c>
      <c r="M41" s="75">
        <v>1768</v>
      </c>
    </row>
    <row r="42" spans="1:13" ht="15.75" thickBot="1" x14ac:dyDescent="0.3">
      <c r="A42" s="71" t="s">
        <v>460</v>
      </c>
      <c r="B42" s="72" t="s">
        <v>459</v>
      </c>
      <c r="C42" s="71" t="s">
        <v>34</v>
      </c>
      <c r="D42" s="73" t="s">
        <v>61</v>
      </c>
      <c r="E42" s="73" t="s">
        <v>62</v>
      </c>
      <c r="F42" s="74">
        <v>1</v>
      </c>
      <c r="G42" s="74">
        <v>0</v>
      </c>
      <c r="H42" s="74">
        <v>0</v>
      </c>
      <c r="I42" s="74">
        <v>1</v>
      </c>
      <c r="J42" s="74">
        <v>3360</v>
      </c>
      <c r="K42" s="74">
        <v>0</v>
      </c>
      <c r="L42" s="74">
        <v>3360</v>
      </c>
      <c r="M42" s="75">
        <v>1720</v>
      </c>
    </row>
    <row r="43" spans="1:13" ht="15.75" thickBot="1" x14ac:dyDescent="0.3">
      <c r="A43" s="71" t="s">
        <v>476</v>
      </c>
      <c r="B43" s="72" t="s">
        <v>475</v>
      </c>
      <c r="C43" s="71" t="s">
        <v>34</v>
      </c>
      <c r="D43" s="73" t="s">
        <v>15</v>
      </c>
      <c r="E43" s="73" t="s">
        <v>16</v>
      </c>
      <c r="F43" s="74">
        <v>1</v>
      </c>
      <c r="G43" s="74">
        <v>0</v>
      </c>
      <c r="H43" s="74">
        <v>0</v>
      </c>
      <c r="I43" s="74">
        <v>1</v>
      </c>
      <c r="J43" s="74">
        <v>1800</v>
      </c>
      <c r="K43" s="74">
        <v>0</v>
      </c>
      <c r="L43" s="74">
        <v>1800</v>
      </c>
      <c r="M43" s="75">
        <v>1248</v>
      </c>
    </row>
    <row r="44" spans="1:13" ht="15.75" thickBot="1" x14ac:dyDescent="0.3">
      <c r="A44" s="71" t="s">
        <v>498</v>
      </c>
      <c r="B44" s="72" t="s">
        <v>497</v>
      </c>
      <c r="C44" s="71" t="s">
        <v>34</v>
      </c>
      <c r="D44" s="73" t="s">
        <v>15</v>
      </c>
      <c r="E44" s="73" t="s">
        <v>16</v>
      </c>
      <c r="F44" s="74">
        <v>1</v>
      </c>
      <c r="G44" s="74">
        <v>0</v>
      </c>
      <c r="H44" s="74">
        <v>0</v>
      </c>
      <c r="I44" s="74">
        <v>1</v>
      </c>
      <c r="J44" s="74">
        <v>3125</v>
      </c>
      <c r="K44" s="74">
        <v>0</v>
      </c>
      <c r="L44" s="74">
        <v>3125</v>
      </c>
      <c r="M44" s="75">
        <v>1474</v>
      </c>
    </row>
    <row r="45" spans="1:13" ht="15.75" thickBot="1" x14ac:dyDescent="0.3">
      <c r="A45" s="71" t="s">
        <v>518</v>
      </c>
      <c r="B45" s="72" t="s">
        <v>517</v>
      </c>
      <c r="C45" s="71" t="s">
        <v>34</v>
      </c>
      <c r="D45" s="73" t="s">
        <v>61</v>
      </c>
      <c r="E45" s="73" t="s">
        <v>62</v>
      </c>
      <c r="F45" s="74">
        <v>1</v>
      </c>
      <c r="G45" s="74">
        <v>0</v>
      </c>
      <c r="H45" s="74">
        <v>0</v>
      </c>
      <c r="I45" s="74">
        <v>1</v>
      </c>
      <c r="J45" s="74">
        <v>3444</v>
      </c>
      <c r="K45" s="74">
        <v>0</v>
      </c>
      <c r="L45" s="74">
        <v>3444</v>
      </c>
      <c r="M45" s="75">
        <v>980</v>
      </c>
    </row>
    <row r="46" spans="1:13" ht="15.75" thickBot="1" x14ac:dyDescent="0.3">
      <c r="A46" s="71" t="s">
        <v>534</v>
      </c>
      <c r="B46" s="72" t="s">
        <v>533</v>
      </c>
      <c r="C46" s="71" t="s">
        <v>34</v>
      </c>
      <c r="D46" s="73" t="s">
        <v>20</v>
      </c>
      <c r="E46" s="73" t="s">
        <v>21</v>
      </c>
      <c r="F46" s="74">
        <v>1</v>
      </c>
      <c r="G46" s="74">
        <v>0</v>
      </c>
      <c r="H46" s="74">
        <v>0</v>
      </c>
      <c r="I46" s="74">
        <v>1</v>
      </c>
      <c r="J46" s="74">
        <v>6300</v>
      </c>
      <c r="K46" s="74">
        <v>0</v>
      </c>
      <c r="L46" s="74">
        <v>6300</v>
      </c>
      <c r="M46" s="75">
        <v>2236</v>
      </c>
    </row>
    <row r="47" spans="1:13" ht="15.75" thickBot="1" x14ac:dyDescent="0.3">
      <c r="A47" s="71" t="s">
        <v>548</v>
      </c>
      <c r="B47" s="72" t="s">
        <v>547</v>
      </c>
      <c r="C47" s="71" t="s">
        <v>34</v>
      </c>
      <c r="D47" s="73" t="s">
        <v>111</v>
      </c>
      <c r="E47" s="73" t="s">
        <v>112</v>
      </c>
      <c r="F47" s="74">
        <v>1</v>
      </c>
      <c r="G47" s="74">
        <v>1</v>
      </c>
      <c r="H47" s="74">
        <v>0</v>
      </c>
      <c r="I47" s="74">
        <v>2</v>
      </c>
      <c r="J47" s="74">
        <v>3285</v>
      </c>
      <c r="K47" s="76">
        <v>980</v>
      </c>
      <c r="L47" s="74">
        <v>4265</v>
      </c>
      <c r="M47" s="75">
        <v>2096</v>
      </c>
    </row>
    <row r="48" spans="1:13" ht="15.75" thickBot="1" x14ac:dyDescent="0.3">
      <c r="A48" s="71" t="s">
        <v>552</v>
      </c>
      <c r="B48" s="72" t="s">
        <v>551</v>
      </c>
      <c r="C48" s="71" t="s">
        <v>34</v>
      </c>
      <c r="D48" s="73" t="s">
        <v>20</v>
      </c>
      <c r="E48" s="73" t="s">
        <v>21</v>
      </c>
      <c r="F48" s="74">
        <v>1</v>
      </c>
      <c r="G48" s="74">
        <v>0</v>
      </c>
      <c r="H48" s="74">
        <v>0</v>
      </c>
      <c r="I48" s="74">
        <v>1</v>
      </c>
      <c r="J48" s="74">
        <v>1800</v>
      </c>
      <c r="K48" s="74">
        <v>0</v>
      </c>
      <c r="L48" s="74">
        <v>1800</v>
      </c>
      <c r="M48" s="75">
        <v>1273</v>
      </c>
    </row>
    <row r="49" spans="1:13" ht="15.75" thickBot="1" x14ac:dyDescent="0.3">
      <c r="A49" s="71" t="s">
        <v>574</v>
      </c>
      <c r="B49" s="72" t="s">
        <v>573</v>
      </c>
      <c r="C49" s="71" t="s">
        <v>34</v>
      </c>
      <c r="D49" s="73" t="s">
        <v>61</v>
      </c>
      <c r="E49" s="73" t="s">
        <v>62</v>
      </c>
      <c r="F49" s="74">
        <v>1</v>
      </c>
      <c r="G49" s="74">
        <v>0</v>
      </c>
      <c r="H49" s="74">
        <v>0</v>
      </c>
      <c r="I49" s="74">
        <v>1</v>
      </c>
      <c r="J49" s="74">
        <v>3175</v>
      </c>
      <c r="K49" s="74">
        <v>0</v>
      </c>
      <c r="L49" s="74">
        <v>3175</v>
      </c>
      <c r="M49" s="75">
        <v>2410</v>
      </c>
    </row>
    <row r="50" spans="1:13" ht="15.75" thickBot="1" x14ac:dyDescent="0.3">
      <c r="A50" s="71" t="s">
        <v>612</v>
      </c>
      <c r="B50" s="72" t="s">
        <v>611</v>
      </c>
      <c r="C50" s="71" t="s">
        <v>34</v>
      </c>
      <c r="D50" s="73" t="s">
        <v>61</v>
      </c>
      <c r="E50" s="73" t="s">
        <v>62</v>
      </c>
      <c r="F50" s="74">
        <v>1</v>
      </c>
      <c r="G50" s="74">
        <v>0</v>
      </c>
      <c r="H50" s="74">
        <v>0</v>
      </c>
      <c r="I50" s="74">
        <v>1</v>
      </c>
      <c r="J50" s="74">
        <v>1496</v>
      </c>
      <c r="K50" s="74">
        <v>0</v>
      </c>
      <c r="L50" s="74">
        <v>1496</v>
      </c>
      <c r="M50" s="75">
        <v>1400</v>
      </c>
    </row>
    <row r="51" spans="1:13" ht="15.75" thickBot="1" x14ac:dyDescent="0.3">
      <c r="A51" s="71" t="s">
        <v>622</v>
      </c>
      <c r="B51" s="72" t="s">
        <v>621</v>
      </c>
      <c r="C51" s="71" t="s">
        <v>34</v>
      </c>
      <c r="D51" s="73" t="s">
        <v>20</v>
      </c>
      <c r="E51" s="73" t="s">
        <v>21</v>
      </c>
      <c r="F51" s="74">
        <v>1</v>
      </c>
      <c r="G51" s="74">
        <v>0</v>
      </c>
      <c r="H51" s="74">
        <v>0</v>
      </c>
      <c r="I51" s="74">
        <v>1</v>
      </c>
      <c r="J51" s="74">
        <v>2538</v>
      </c>
      <c r="K51" s="74">
        <v>0</v>
      </c>
      <c r="L51" s="74">
        <v>2538</v>
      </c>
      <c r="M51" s="75">
        <v>520</v>
      </c>
    </row>
    <row r="52" spans="1:13" ht="15.75" thickBot="1" x14ac:dyDescent="0.3">
      <c r="A52" s="71" t="s">
        <v>624</v>
      </c>
      <c r="B52" s="72" t="s">
        <v>623</v>
      </c>
      <c r="C52" s="71" t="s">
        <v>34</v>
      </c>
      <c r="D52" s="73" t="s">
        <v>61</v>
      </c>
      <c r="E52" s="73" t="s">
        <v>62</v>
      </c>
      <c r="F52" s="74">
        <v>1</v>
      </c>
      <c r="G52" s="74">
        <v>0</v>
      </c>
      <c r="H52" s="74">
        <v>0</v>
      </c>
      <c r="I52" s="74">
        <v>1</v>
      </c>
      <c r="J52" s="74">
        <v>1800</v>
      </c>
      <c r="K52" s="74">
        <v>0</v>
      </c>
      <c r="L52" s="74">
        <v>1800</v>
      </c>
      <c r="M52" s="75">
        <v>2050</v>
      </c>
    </row>
    <row r="53" spans="1:13" ht="15.75" thickBot="1" x14ac:dyDescent="0.3">
      <c r="A53" s="71" t="s">
        <v>628</v>
      </c>
      <c r="B53" s="72" t="s">
        <v>627</v>
      </c>
      <c r="C53" s="71" t="s">
        <v>34</v>
      </c>
      <c r="D53" s="73" t="s">
        <v>61</v>
      </c>
      <c r="E53" s="73" t="s">
        <v>62</v>
      </c>
      <c r="F53" s="74">
        <v>1</v>
      </c>
      <c r="G53" s="74">
        <v>0</v>
      </c>
      <c r="H53" s="74">
        <v>0</v>
      </c>
      <c r="I53" s="74">
        <v>1</v>
      </c>
      <c r="J53" s="74">
        <v>3000</v>
      </c>
      <c r="K53" s="74">
        <v>0</v>
      </c>
      <c r="L53" s="74">
        <v>3000</v>
      </c>
      <c r="M53" s="75">
        <v>1398</v>
      </c>
    </row>
    <row r="54" spans="1:13" ht="15.75" thickBot="1" x14ac:dyDescent="0.3">
      <c r="A54" s="71" t="s">
        <v>630</v>
      </c>
      <c r="B54" s="72" t="s">
        <v>629</v>
      </c>
      <c r="C54" s="71" t="s">
        <v>34</v>
      </c>
      <c r="D54" s="73" t="s">
        <v>61</v>
      </c>
      <c r="E54" s="73" t="s">
        <v>62</v>
      </c>
      <c r="F54" s="74">
        <v>1</v>
      </c>
      <c r="G54" s="74">
        <v>0</v>
      </c>
      <c r="H54" s="74">
        <v>0</v>
      </c>
      <c r="I54" s="74">
        <v>1</v>
      </c>
      <c r="J54" s="74">
        <v>2106</v>
      </c>
      <c r="K54" s="74">
        <v>0</v>
      </c>
      <c r="L54" s="74">
        <v>2106</v>
      </c>
      <c r="M54" s="75">
        <v>1315</v>
      </c>
    </row>
    <row r="55" spans="1:13" ht="15.75" thickBot="1" x14ac:dyDescent="0.3">
      <c r="A55" s="71" t="s">
        <v>674</v>
      </c>
      <c r="B55" s="72" t="s">
        <v>673</v>
      </c>
      <c r="C55" s="71" t="s">
        <v>34</v>
      </c>
      <c r="D55" s="73" t="s">
        <v>253</v>
      </c>
      <c r="E55" s="73" t="s">
        <v>254</v>
      </c>
      <c r="F55" s="74">
        <v>1</v>
      </c>
      <c r="G55" s="74">
        <v>0</v>
      </c>
      <c r="H55" s="74">
        <v>0</v>
      </c>
      <c r="I55" s="74">
        <v>1</v>
      </c>
      <c r="J55" s="74">
        <v>7800</v>
      </c>
      <c r="K55" s="74">
        <v>0</v>
      </c>
      <c r="L55" s="74">
        <v>7800</v>
      </c>
      <c r="M55" s="75">
        <v>1821</v>
      </c>
    </row>
    <row r="56" spans="1:13" ht="15.75" thickBot="1" x14ac:dyDescent="0.3">
      <c r="A56" s="71" t="s">
        <v>680</v>
      </c>
      <c r="B56" s="72" t="s">
        <v>679</v>
      </c>
      <c r="C56" s="71" t="s">
        <v>34</v>
      </c>
      <c r="D56" s="73" t="s">
        <v>61</v>
      </c>
      <c r="E56" s="73" t="s">
        <v>62</v>
      </c>
      <c r="F56" s="74">
        <v>1</v>
      </c>
      <c r="G56" s="74">
        <v>0</v>
      </c>
      <c r="H56" s="74">
        <v>0</v>
      </c>
      <c r="I56" s="74">
        <v>1</v>
      </c>
      <c r="J56" s="74">
        <v>1556</v>
      </c>
      <c r="K56" s="74">
        <v>0</v>
      </c>
      <c r="L56" s="74">
        <v>1556</v>
      </c>
      <c r="M56" s="75">
        <v>1716</v>
      </c>
    </row>
    <row r="57" spans="1:13" ht="15.75" thickBot="1" x14ac:dyDescent="0.3">
      <c r="A57" s="71" t="s">
        <v>690</v>
      </c>
      <c r="B57" s="72" t="s">
        <v>689</v>
      </c>
      <c r="C57" s="71" t="s">
        <v>34</v>
      </c>
      <c r="D57" s="73" t="s">
        <v>253</v>
      </c>
      <c r="E57" s="73" t="s">
        <v>254</v>
      </c>
      <c r="F57" s="74">
        <v>1</v>
      </c>
      <c r="G57" s="74">
        <v>0</v>
      </c>
      <c r="H57" s="74">
        <v>0</v>
      </c>
      <c r="I57" s="74">
        <v>1</v>
      </c>
      <c r="J57" s="74">
        <v>3600</v>
      </c>
      <c r="K57" s="74">
        <v>0</v>
      </c>
      <c r="L57" s="74">
        <v>3600</v>
      </c>
      <c r="M57" s="75">
        <v>1986</v>
      </c>
    </row>
    <row r="58" spans="1:13" ht="15.75" thickBot="1" x14ac:dyDescent="0.3">
      <c r="A58" s="71" t="s">
        <v>692</v>
      </c>
      <c r="B58" s="72" t="s">
        <v>691</v>
      </c>
      <c r="C58" s="71" t="s">
        <v>34</v>
      </c>
      <c r="D58" s="73" t="s">
        <v>61</v>
      </c>
      <c r="E58" s="73" t="s">
        <v>62</v>
      </c>
      <c r="F58" s="74">
        <v>1</v>
      </c>
      <c r="G58" s="74">
        <v>0</v>
      </c>
      <c r="H58" s="74">
        <v>0</v>
      </c>
      <c r="I58" s="74">
        <v>1</v>
      </c>
      <c r="J58" s="74">
        <v>4200</v>
      </c>
      <c r="K58" s="74">
        <v>0</v>
      </c>
      <c r="L58" s="74">
        <v>4200</v>
      </c>
      <c r="M58" s="75">
        <v>1400</v>
      </c>
    </row>
    <row r="59" spans="1:13" ht="15.75" thickBot="1" x14ac:dyDescent="0.3">
      <c r="A59" s="71" t="s">
        <v>714</v>
      </c>
      <c r="B59" s="72" t="s">
        <v>713</v>
      </c>
      <c r="C59" s="71" t="s">
        <v>34</v>
      </c>
      <c r="D59" s="73" t="s">
        <v>15</v>
      </c>
      <c r="E59" s="73" t="s">
        <v>16</v>
      </c>
      <c r="F59" s="74">
        <v>1</v>
      </c>
      <c r="G59" s="74">
        <v>0</v>
      </c>
      <c r="H59" s="74">
        <v>0</v>
      </c>
      <c r="I59" s="74">
        <v>1</v>
      </c>
      <c r="J59" s="74">
        <v>3500</v>
      </c>
      <c r="K59" s="74">
        <v>0</v>
      </c>
      <c r="L59" s="74">
        <v>3500</v>
      </c>
      <c r="M59" s="75">
        <v>1408</v>
      </c>
    </row>
    <row r="60" spans="1:13" ht="15.75" thickBot="1" x14ac:dyDescent="0.3">
      <c r="A60" s="71" t="s">
        <v>732</v>
      </c>
      <c r="B60" s="72" t="s">
        <v>731</v>
      </c>
      <c r="C60" s="71" t="s">
        <v>34</v>
      </c>
      <c r="D60" s="73" t="s">
        <v>61</v>
      </c>
      <c r="E60" s="73" t="s">
        <v>62</v>
      </c>
      <c r="F60" s="74">
        <v>1</v>
      </c>
      <c r="G60" s="74">
        <v>0</v>
      </c>
      <c r="H60" s="74">
        <v>0</v>
      </c>
      <c r="I60" s="74">
        <v>1</v>
      </c>
      <c r="J60" s="74">
        <v>3500</v>
      </c>
      <c r="K60" s="74">
        <v>0</v>
      </c>
      <c r="L60" s="74">
        <v>3500</v>
      </c>
      <c r="M60" s="75">
        <v>1240</v>
      </c>
    </row>
    <row r="61" spans="1:13" ht="15.75" thickBot="1" x14ac:dyDescent="0.3">
      <c r="A61" s="71" t="s">
        <v>750</v>
      </c>
      <c r="B61" s="72" t="s">
        <v>749</v>
      </c>
      <c r="C61" s="71" t="s">
        <v>34</v>
      </c>
      <c r="D61" s="73" t="s">
        <v>61</v>
      </c>
      <c r="E61" s="73" t="s">
        <v>62</v>
      </c>
      <c r="F61" s="74">
        <v>1</v>
      </c>
      <c r="G61" s="74">
        <v>0</v>
      </c>
      <c r="H61" s="74">
        <v>0</v>
      </c>
      <c r="I61" s="74">
        <v>1</v>
      </c>
      <c r="J61" s="74">
        <v>1700</v>
      </c>
      <c r="K61" s="74">
        <v>0</v>
      </c>
      <c r="L61" s="74">
        <v>1700</v>
      </c>
      <c r="M61" s="75">
        <v>1716</v>
      </c>
    </row>
    <row r="62" spans="1:13" ht="15.75" thickBot="1" x14ac:dyDescent="0.3">
      <c r="A62" s="71" t="s">
        <v>762</v>
      </c>
      <c r="B62" s="72" t="s">
        <v>761</v>
      </c>
      <c r="C62" s="71" t="s">
        <v>34</v>
      </c>
      <c r="D62" s="73" t="s">
        <v>61</v>
      </c>
      <c r="E62" s="73" t="s">
        <v>62</v>
      </c>
      <c r="F62" s="74">
        <v>1</v>
      </c>
      <c r="G62" s="74">
        <v>0</v>
      </c>
      <c r="H62" s="74">
        <v>0</v>
      </c>
      <c r="I62" s="74">
        <v>1</v>
      </c>
      <c r="J62" s="74">
        <v>1938</v>
      </c>
      <c r="K62" s="74">
        <v>0</v>
      </c>
      <c r="L62" s="74">
        <v>1938</v>
      </c>
      <c r="M62" s="75">
        <v>1664</v>
      </c>
    </row>
    <row r="63" spans="1:13" ht="15.75" thickBot="1" x14ac:dyDescent="0.3">
      <c r="A63" s="71" t="s">
        <v>768</v>
      </c>
      <c r="B63" s="72" t="s">
        <v>767</v>
      </c>
      <c r="C63" s="71" t="s">
        <v>34</v>
      </c>
      <c r="D63" s="73" t="s">
        <v>20</v>
      </c>
      <c r="E63" s="73" t="s">
        <v>21</v>
      </c>
      <c r="F63" s="74">
        <v>1</v>
      </c>
      <c r="G63" s="74">
        <v>0</v>
      </c>
      <c r="H63" s="74">
        <v>0</v>
      </c>
      <c r="I63" s="74">
        <v>1</v>
      </c>
      <c r="J63" s="74">
        <v>1800</v>
      </c>
      <c r="K63" s="74">
        <v>0</v>
      </c>
      <c r="L63" s="74">
        <v>1800</v>
      </c>
      <c r="M63" s="75">
        <v>1313</v>
      </c>
    </row>
    <row r="64" spans="1:13" ht="15.75" thickBot="1" x14ac:dyDescent="0.3">
      <c r="A64" s="71" t="s">
        <v>770</v>
      </c>
      <c r="B64" s="72" t="s">
        <v>769</v>
      </c>
      <c r="C64" s="71" t="s">
        <v>34</v>
      </c>
      <c r="D64" s="73" t="s">
        <v>247</v>
      </c>
      <c r="E64" s="73" t="s">
        <v>248</v>
      </c>
      <c r="F64" s="74">
        <v>1</v>
      </c>
      <c r="G64" s="74">
        <v>0</v>
      </c>
      <c r="H64" s="74">
        <v>0</v>
      </c>
      <c r="I64" s="74">
        <v>1</v>
      </c>
      <c r="J64" s="74">
        <v>2400</v>
      </c>
      <c r="K64" s="74">
        <v>0</v>
      </c>
      <c r="L64" s="74">
        <v>2400</v>
      </c>
      <c r="M64" s="75">
        <v>1657</v>
      </c>
    </row>
    <row r="65" spans="1:13" ht="15.75" thickBot="1" x14ac:dyDescent="0.3">
      <c r="A65" s="71" t="s">
        <v>772</v>
      </c>
      <c r="B65" s="72" t="s">
        <v>771</v>
      </c>
      <c r="C65" s="71" t="s">
        <v>34</v>
      </c>
      <c r="D65" s="73" t="s">
        <v>20</v>
      </c>
      <c r="E65" s="73" t="s">
        <v>21</v>
      </c>
      <c r="F65" s="74">
        <v>1</v>
      </c>
      <c r="G65" s="74">
        <v>0</v>
      </c>
      <c r="H65" s="74">
        <v>0</v>
      </c>
      <c r="I65" s="74">
        <v>1</v>
      </c>
      <c r="J65" s="74">
        <v>2109</v>
      </c>
      <c r="K65" s="74">
        <v>0</v>
      </c>
      <c r="L65" s="74">
        <v>2109</v>
      </c>
      <c r="M65" s="75">
        <v>662</v>
      </c>
    </row>
    <row r="66" spans="1:13" ht="15.75" thickBot="1" x14ac:dyDescent="0.3">
      <c r="A66" s="71" t="s">
        <v>782</v>
      </c>
      <c r="B66" s="72" t="s">
        <v>781</v>
      </c>
      <c r="C66" s="71" t="s">
        <v>34</v>
      </c>
      <c r="D66" s="73" t="s">
        <v>61</v>
      </c>
      <c r="E66" s="73" t="s">
        <v>62</v>
      </c>
      <c r="F66" s="74">
        <v>1</v>
      </c>
      <c r="G66" s="74">
        <v>0</v>
      </c>
      <c r="H66" s="74">
        <v>0</v>
      </c>
      <c r="I66" s="74">
        <v>1</v>
      </c>
      <c r="J66" s="74">
        <v>1069</v>
      </c>
      <c r="K66" s="74">
        <v>0</v>
      </c>
      <c r="L66" s="74">
        <v>1069</v>
      </c>
      <c r="M66" s="75">
        <v>1456</v>
      </c>
    </row>
    <row r="67" spans="1:13" ht="15.75" thickBot="1" x14ac:dyDescent="0.3">
      <c r="A67" s="71" t="s">
        <v>794</v>
      </c>
      <c r="B67" s="72" t="s">
        <v>793</v>
      </c>
      <c r="C67" s="71" t="s">
        <v>34</v>
      </c>
      <c r="D67" s="73" t="s">
        <v>20</v>
      </c>
      <c r="E67" s="73" t="s">
        <v>21</v>
      </c>
      <c r="F67" s="74">
        <v>1</v>
      </c>
      <c r="G67" s="74">
        <v>0</v>
      </c>
      <c r="H67" s="74">
        <v>0</v>
      </c>
      <c r="I67" s="74">
        <v>1</v>
      </c>
      <c r="J67" s="74">
        <v>3200</v>
      </c>
      <c r="K67" s="74">
        <v>0</v>
      </c>
      <c r="L67" s="74">
        <v>3200</v>
      </c>
      <c r="M67" s="75">
        <v>1654</v>
      </c>
    </row>
    <row r="68" spans="1:13" ht="15.75" thickBot="1" x14ac:dyDescent="0.3">
      <c r="A68" s="71" t="s">
        <v>806</v>
      </c>
      <c r="B68" s="72" t="s">
        <v>805</v>
      </c>
      <c r="C68" s="71" t="s">
        <v>34</v>
      </c>
      <c r="D68" s="73" t="s">
        <v>20</v>
      </c>
      <c r="E68" s="73" t="s">
        <v>21</v>
      </c>
      <c r="F68" s="74">
        <v>1</v>
      </c>
      <c r="G68" s="74">
        <v>0</v>
      </c>
      <c r="H68" s="74">
        <v>0</v>
      </c>
      <c r="I68" s="74">
        <v>1</v>
      </c>
      <c r="J68" s="74">
        <v>2960</v>
      </c>
      <c r="K68" s="74">
        <v>0</v>
      </c>
      <c r="L68" s="74">
        <v>2960</v>
      </c>
      <c r="M68" s="75">
        <v>960</v>
      </c>
    </row>
    <row r="69" spans="1:13" ht="15.75" thickBot="1" x14ac:dyDescent="0.3">
      <c r="A69" s="71" t="s">
        <v>814</v>
      </c>
      <c r="B69" s="72" t="s">
        <v>813</v>
      </c>
      <c r="C69" s="71" t="s">
        <v>34</v>
      </c>
      <c r="D69" s="73" t="s">
        <v>20</v>
      </c>
      <c r="E69" s="73" t="s">
        <v>21</v>
      </c>
      <c r="F69" s="74">
        <v>1</v>
      </c>
      <c r="G69" s="74">
        <v>0</v>
      </c>
      <c r="H69" s="74">
        <v>0</v>
      </c>
      <c r="I69" s="74">
        <v>1</v>
      </c>
      <c r="J69" s="74">
        <v>1400</v>
      </c>
      <c r="K69" s="74">
        <v>0</v>
      </c>
      <c r="L69" s="74">
        <v>1400</v>
      </c>
      <c r="M69" s="75">
        <v>1820</v>
      </c>
    </row>
    <row r="70" spans="1:13" ht="15.75" thickBot="1" x14ac:dyDescent="0.3">
      <c r="A70" s="71" t="s">
        <v>14</v>
      </c>
      <c r="B70" s="72" t="s">
        <v>13</v>
      </c>
      <c r="C70" s="71" t="s">
        <v>17</v>
      </c>
      <c r="D70" s="73" t="s">
        <v>15</v>
      </c>
      <c r="E70" s="73" t="s">
        <v>16</v>
      </c>
      <c r="F70" s="74">
        <v>1</v>
      </c>
      <c r="G70" s="74">
        <v>0</v>
      </c>
      <c r="H70" s="74">
        <v>0</v>
      </c>
      <c r="I70" s="74">
        <v>1</v>
      </c>
      <c r="J70" s="74">
        <v>3000</v>
      </c>
      <c r="K70" s="74">
        <v>0</v>
      </c>
      <c r="L70" s="74">
        <v>3000</v>
      </c>
      <c r="M70" s="75">
        <v>2418</v>
      </c>
    </row>
    <row r="71" spans="1:13" ht="15.75" thickBot="1" x14ac:dyDescent="0.3">
      <c r="A71" s="71" t="s">
        <v>45</v>
      </c>
      <c r="B71" s="72" t="s">
        <v>44</v>
      </c>
      <c r="C71" s="71" t="s">
        <v>17</v>
      </c>
      <c r="D71" s="73" t="s">
        <v>46</v>
      </c>
      <c r="E71" s="73" t="s">
        <v>47</v>
      </c>
      <c r="F71" s="74">
        <v>1</v>
      </c>
      <c r="G71" s="74">
        <v>0</v>
      </c>
      <c r="H71" s="74">
        <v>0</v>
      </c>
      <c r="I71" s="74">
        <v>1</v>
      </c>
      <c r="J71" s="74">
        <v>3658</v>
      </c>
      <c r="K71" s="74">
        <v>0</v>
      </c>
      <c r="L71" s="74">
        <v>3658</v>
      </c>
      <c r="M71" s="75">
        <v>2652</v>
      </c>
    </row>
    <row r="72" spans="1:13" ht="15.75" thickBot="1" x14ac:dyDescent="0.3">
      <c r="A72" s="71" t="s">
        <v>56</v>
      </c>
      <c r="B72" s="72" t="s">
        <v>55</v>
      </c>
      <c r="C72" s="71" t="s">
        <v>17</v>
      </c>
      <c r="D72" s="73" t="s">
        <v>15</v>
      </c>
      <c r="E72" s="73" t="s">
        <v>16</v>
      </c>
      <c r="F72" s="74">
        <v>1</v>
      </c>
      <c r="G72" s="74">
        <v>0</v>
      </c>
      <c r="H72" s="74">
        <v>0</v>
      </c>
      <c r="I72" s="74">
        <v>1</v>
      </c>
      <c r="J72" s="74">
        <v>8000</v>
      </c>
      <c r="K72" s="74">
        <v>0</v>
      </c>
      <c r="L72" s="74">
        <v>8000</v>
      </c>
      <c r="M72" s="75">
        <v>2600</v>
      </c>
    </row>
    <row r="73" spans="1:13" ht="15.75" thickBot="1" x14ac:dyDescent="0.3">
      <c r="A73" s="71" t="s">
        <v>60</v>
      </c>
      <c r="B73" s="72" t="s">
        <v>59</v>
      </c>
      <c r="C73" s="71" t="s">
        <v>17</v>
      </c>
      <c r="D73" s="73" t="s">
        <v>61</v>
      </c>
      <c r="E73" s="73" t="s">
        <v>62</v>
      </c>
      <c r="F73" s="74">
        <v>1</v>
      </c>
      <c r="G73" s="74">
        <v>0</v>
      </c>
      <c r="H73" s="74">
        <v>0</v>
      </c>
      <c r="I73" s="74">
        <v>1</v>
      </c>
      <c r="J73" s="74">
        <v>1600</v>
      </c>
      <c r="K73" s="74">
        <v>0</v>
      </c>
      <c r="L73" s="74">
        <v>1600</v>
      </c>
      <c r="M73" s="75">
        <v>2132</v>
      </c>
    </row>
    <row r="74" spans="1:13" ht="15.75" thickBot="1" x14ac:dyDescent="0.3">
      <c r="A74" s="71" t="s">
        <v>70</v>
      </c>
      <c r="B74" s="72" t="s">
        <v>69</v>
      </c>
      <c r="C74" s="71" t="s">
        <v>17</v>
      </c>
      <c r="D74" s="73" t="s">
        <v>20</v>
      </c>
      <c r="E74" s="73" t="s">
        <v>21</v>
      </c>
      <c r="F74" s="74">
        <v>1</v>
      </c>
      <c r="G74" s="74">
        <v>0</v>
      </c>
      <c r="H74" s="74">
        <v>0</v>
      </c>
      <c r="I74" s="74">
        <v>1</v>
      </c>
      <c r="J74" s="74">
        <v>7500</v>
      </c>
      <c r="K74" s="74">
        <v>0</v>
      </c>
      <c r="L74" s="74">
        <v>7500</v>
      </c>
      <c r="M74" s="75">
        <v>2190</v>
      </c>
    </row>
    <row r="75" spans="1:13" ht="15.75" thickBot="1" x14ac:dyDescent="0.3">
      <c r="A75" s="71" t="s">
        <v>74</v>
      </c>
      <c r="B75" s="72" t="s">
        <v>73</v>
      </c>
      <c r="C75" s="71" t="s">
        <v>17</v>
      </c>
      <c r="D75" s="73" t="s">
        <v>20</v>
      </c>
      <c r="E75" s="73" t="s">
        <v>21</v>
      </c>
      <c r="F75" s="74">
        <v>1</v>
      </c>
      <c r="G75" s="74">
        <v>1</v>
      </c>
      <c r="H75" s="74">
        <v>0</v>
      </c>
      <c r="I75" s="74">
        <v>2</v>
      </c>
      <c r="J75" s="74">
        <v>3600</v>
      </c>
      <c r="K75" s="76">
        <v>900</v>
      </c>
      <c r="L75" s="74">
        <v>4500</v>
      </c>
      <c r="M75" s="75">
        <v>2606</v>
      </c>
    </row>
    <row r="76" spans="1:13" ht="15.75" thickBot="1" x14ac:dyDescent="0.3">
      <c r="A76" s="71" t="s">
        <v>98</v>
      </c>
      <c r="B76" s="72" t="s">
        <v>97</v>
      </c>
      <c r="C76" s="71" t="s">
        <v>17</v>
      </c>
      <c r="D76" s="73" t="s">
        <v>20</v>
      </c>
      <c r="E76" s="73" t="s">
        <v>21</v>
      </c>
      <c r="F76" s="74">
        <v>1</v>
      </c>
      <c r="G76" s="74">
        <v>0</v>
      </c>
      <c r="H76" s="74">
        <v>0</v>
      </c>
      <c r="I76" s="74">
        <v>1</v>
      </c>
      <c r="J76" s="74">
        <v>2406</v>
      </c>
      <c r="K76" s="74">
        <v>0</v>
      </c>
      <c r="L76" s="74">
        <v>2406</v>
      </c>
      <c r="M76" s="75">
        <v>1437</v>
      </c>
    </row>
    <row r="77" spans="1:13" ht="15.75" thickBot="1" x14ac:dyDescent="0.3">
      <c r="A77" s="71" t="s">
        <v>120</v>
      </c>
      <c r="B77" s="72" t="s">
        <v>119</v>
      </c>
      <c r="C77" s="71" t="s">
        <v>17</v>
      </c>
      <c r="D77" s="73" t="s">
        <v>20</v>
      </c>
      <c r="E77" s="73" t="s">
        <v>21</v>
      </c>
      <c r="F77" s="74">
        <v>1</v>
      </c>
      <c r="G77" s="74">
        <v>0</v>
      </c>
      <c r="H77" s="74">
        <v>0</v>
      </c>
      <c r="I77" s="74">
        <v>1</v>
      </c>
      <c r="J77" s="74">
        <v>10000</v>
      </c>
      <c r="K77" s="74">
        <v>0</v>
      </c>
      <c r="L77" s="74">
        <v>10000</v>
      </c>
      <c r="M77" s="75">
        <v>2130</v>
      </c>
    </row>
    <row r="78" spans="1:13" ht="15.75" thickBot="1" x14ac:dyDescent="0.3">
      <c r="A78" s="71" t="s">
        <v>126</v>
      </c>
      <c r="B78" s="72" t="s">
        <v>125</v>
      </c>
      <c r="C78" s="71" t="s">
        <v>17</v>
      </c>
      <c r="D78" s="73" t="s">
        <v>111</v>
      </c>
      <c r="E78" s="73" t="s">
        <v>112</v>
      </c>
      <c r="F78" s="74">
        <v>1</v>
      </c>
      <c r="G78" s="74">
        <v>0</v>
      </c>
      <c r="H78" s="74">
        <v>0</v>
      </c>
      <c r="I78" s="74">
        <v>1</v>
      </c>
      <c r="J78" s="74">
        <v>1300</v>
      </c>
      <c r="K78" s="74">
        <v>0</v>
      </c>
      <c r="L78" s="74">
        <v>1300</v>
      </c>
      <c r="M78" s="75">
        <v>1646</v>
      </c>
    </row>
    <row r="79" spans="1:13" ht="15.75" thickBot="1" x14ac:dyDescent="0.3">
      <c r="A79" s="71" t="s">
        <v>138</v>
      </c>
      <c r="B79" s="72" t="s">
        <v>137</v>
      </c>
      <c r="C79" s="71" t="s">
        <v>17</v>
      </c>
      <c r="D79" s="73" t="s">
        <v>61</v>
      </c>
      <c r="E79" s="73" t="s">
        <v>62</v>
      </c>
      <c r="F79" s="74">
        <v>1</v>
      </c>
      <c r="G79" s="74">
        <v>0</v>
      </c>
      <c r="H79" s="74">
        <v>0</v>
      </c>
      <c r="I79" s="74">
        <v>1</v>
      </c>
      <c r="J79" s="74">
        <v>1728</v>
      </c>
      <c r="K79" s="74">
        <v>0</v>
      </c>
      <c r="L79" s="74">
        <v>1728</v>
      </c>
      <c r="M79" s="75">
        <v>1274</v>
      </c>
    </row>
    <row r="80" spans="1:13" ht="15.75" thickBot="1" x14ac:dyDescent="0.3">
      <c r="A80" s="71" t="s">
        <v>180</v>
      </c>
      <c r="B80" s="72" t="s">
        <v>179</v>
      </c>
      <c r="C80" s="71" t="s">
        <v>17</v>
      </c>
      <c r="D80" s="73" t="s">
        <v>15</v>
      </c>
      <c r="E80" s="73" t="s">
        <v>16</v>
      </c>
      <c r="F80" s="74">
        <v>1</v>
      </c>
      <c r="G80" s="74">
        <v>0</v>
      </c>
      <c r="H80" s="74">
        <v>0</v>
      </c>
      <c r="I80" s="74">
        <v>1</v>
      </c>
      <c r="J80" s="74">
        <v>8000</v>
      </c>
      <c r="K80" s="74">
        <v>0</v>
      </c>
      <c r="L80" s="74">
        <v>8000</v>
      </c>
      <c r="M80" s="75">
        <v>1772</v>
      </c>
    </row>
    <row r="81" spans="1:13" ht="15.75" thickBot="1" x14ac:dyDescent="0.3">
      <c r="A81" s="71" t="s">
        <v>194</v>
      </c>
      <c r="B81" s="72" t="s">
        <v>193</v>
      </c>
      <c r="C81" s="71" t="s">
        <v>17</v>
      </c>
      <c r="D81" s="73" t="s">
        <v>15</v>
      </c>
      <c r="E81" s="73" t="s">
        <v>16</v>
      </c>
      <c r="F81" s="74">
        <v>1</v>
      </c>
      <c r="G81" s="74">
        <v>0</v>
      </c>
      <c r="H81" s="74">
        <v>0</v>
      </c>
      <c r="I81" s="74">
        <v>1</v>
      </c>
      <c r="J81" s="74">
        <v>3672</v>
      </c>
      <c r="K81" s="74">
        <v>0</v>
      </c>
      <c r="L81" s="74">
        <v>3672</v>
      </c>
      <c r="M81" s="75">
        <v>2306</v>
      </c>
    </row>
    <row r="82" spans="1:13" ht="15.75" thickBot="1" x14ac:dyDescent="0.3">
      <c r="A82" s="71" t="s">
        <v>216</v>
      </c>
      <c r="B82" s="72" t="s">
        <v>215</v>
      </c>
      <c r="C82" s="71" t="s">
        <v>17</v>
      </c>
      <c r="D82" s="73" t="s">
        <v>61</v>
      </c>
      <c r="E82" s="73" t="s">
        <v>62</v>
      </c>
      <c r="F82" s="74">
        <v>1</v>
      </c>
      <c r="G82" s="74">
        <v>0</v>
      </c>
      <c r="H82" s="74">
        <v>0</v>
      </c>
      <c r="I82" s="74">
        <v>1</v>
      </c>
      <c r="J82" s="74">
        <v>1913</v>
      </c>
      <c r="K82" s="74">
        <v>0</v>
      </c>
      <c r="L82" s="74">
        <v>1913</v>
      </c>
      <c r="M82" s="75">
        <v>1456</v>
      </c>
    </row>
    <row r="83" spans="1:13" ht="15.75" thickBot="1" x14ac:dyDescent="0.3">
      <c r="A83" s="71" t="s">
        <v>230</v>
      </c>
      <c r="B83" s="72" t="s">
        <v>229</v>
      </c>
      <c r="C83" s="71" t="s">
        <v>17</v>
      </c>
      <c r="D83" s="73" t="s">
        <v>15</v>
      </c>
      <c r="E83" s="73" t="s">
        <v>16</v>
      </c>
      <c r="F83" s="74">
        <v>1</v>
      </c>
      <c r="G83" s="74">
        <v>0</v>
      </c>
      <c r="H83" s="74">
        <v>0</v>
      </c>
      <c r="I83" s="74">
        <v>1</v>
      </c>
      <c r="J83" s="74">
        <v>2400</v>
      </c>
      <c r="K83" s="74">
        <v>0</v>
      </c>
      <c r="L83" s="74">
        <v>2400</v>
      </c>
      <c r="M83" s="75">
        <v>1846</v>
      </c>
    </row>
    <row r="84" spans="1:13" ht="15.75" thickBot="1" x14ac:dyDescent="0.3">
      <c r="A84" s="71" t="s">
        <v>236</v>
      </c>
      <c r="B84" s="72" t="s">
        <v>235</v>
      </c>
      <c r="C84" s="71" t="s">
        <v>17</v>
      </c>
      <c r="D84" s="73" t="s">
        <v>61</v>
      </c>
      <c r="E84" s="73" t="s">
        <v>62</v>
      </c>
      <c r="F84" s="74">
        <v>1</v>
      </c>
      <c r="G84" s="74">
        <v>0</v>
      </c>
      <c r="H84" s="74">
        <v>0</v>
      </c>
      <c r="I84" s="74">
        <v>1</v>
      </c>
      <c r="J84" s="74">
        <v>1650</v>
      </c>
      <c r="K84" s="74">
        <v>0</v>
      </c>
      <c r="L84" s="74">
        <v>1650</v>
      </c>
      <c r="M84" s="75">
        <v>1800</v>
      </c>
    </row>
    <row r="85" spans="1:13" ht="15.75" thickBot="1" x14ac:dyDescent="0.3">
      <c r="A85" s="71" t="s">
        <v>238</v>
      </c>
      <c r="B85" s="72" t="s">
        <v>237</v>
      </c>
      <c r="C85" s="71" t="s">
        <v>17</v>
      </c>
      <c r="D85" s="73" t="s">
        <v>20</v>
      </c>
      <c r="E85" s="73" t="s">
        <v>21</v>
      </c>
      <c r="F85" s="74">
        <v>1</v>
      </c>
      <c r="G85" s="74">
        <v>0</v>
      </c>
      <c r="H85" s="74">
        <v>0</v>
      </c>
      <c r="I85" s="74">
        <v>1</v>
      </c>
      <c r="J85" s="74">
        <v>5700</v>
      </c>
      <c r="K85" s="74">
        <v>0</v>
      </c>
      <c r="L85" s="74">
        <v>5700</v>
      </c>
      <c r="M85" s="75">
        <v>1310</v>
      </c>
    </row>
    <row r="86" spans="1:13" ht="15.75" thickBot="1" x14ac:dyDescent="0.3">
      <c r="A86" s="71" t="s">
        <v>252</v>
      </c>
      <c r="B86" s="72" t="s">
        <v>251</v>
      </c>
      <c r="C86" s="71" t="s">
        <v>17</v>
      </c>
      <c r="D86" s="73" t="s">
        <v>253</v>
      </c>
      <c r="E86" s="73" t="s">
        <v>254</v>
      </c>
      <c r="F86" s="74">
        <v>1</v>
      </c>
      <c r="G86" s="74">
        <v>0</v>
      </c>
      <c r="H86" s="74">
        <v>0</v>
      </c>
      <c r="I86" s="74">
        <v>1</v>
      </c>
      <c r="J86" s="74">
        <v>6500</v>
      </c>
      <c r="K86" s="74">
        <v>0</v>
      </c>
      <c r="L86" s="74">
        <v>6500</v>
      </c>
      <c r="M86" s="75">
        <v>3016</v>
      </c>
    </row>
    <row r="87" spans="1:13" ht="15.75" thickBot="1" x14ac:dyDescent="0.3">
      <c r="A87" s="71" t="s">
        <v>280</v>
      </c>
      <c r="B87" s="72" t="s">
        <v>279</v>
      </c>
      <c r="C87" s="71" t="s">
        <v>17</v>
      </c>
      <c r="D87" s="73" t="s">
        <v>61</v>
      </c>
      <c r="E87" s="73" t="s">
        <v>62</v>
      </c>
      <c r="F87" s="74">
        <v>1</v>
      </c>
      <c r="G87" s="74">
        <v>0</v>
      </c>
      <c r="H87" s="74">
        <v>0</v>
      </c>
      <c r="I87" s="74">
        <v>1</v>
      </c>
      <c r="J87" s="74">
        <v>4112</v>
      </c>
      <c r="K87" s="74">
        <v>0</v>
      </c>
      <c r="L87" s="74">
        <v>4112</v>
      </c>
      <c r="M87" s="75">
        <v>1973</v>
      </c>
    </row>
    <row r="88" spans="1:13" ht="15.75" thickBot="1" x14ac:dyDescent="0.3">
      <c r="A88" s="71" t="s">
        <v>290</v>
      </c>
      <c r="B88" s="72" t="s">
        <v>289</v>
      </c>
      <c r="C88" s="71" t="s">
        <v>17</v>
      </c>
      <c r="D88" s="73" t="s">
        <v>20</v>
      </c>
      <c r="E88" s="73" t="s">
        <v>21</v>
      </c>
      <c r="F88" s="74">
        <v>1</v>
      </c>
      <c r="G88" s="74">
        <v>0</v>
      </c>
      <c r="H88" s="74">
        <v>0</v>
      </c>
      <c r="I88" s="74">
        <v>1</v>
      </c>
      <c r="J88" s="74">
        <v>2160</v>
      </c>
      <c r="K88" s="74">
        <v>0</v>
      </c>
      <c r="L88" s="74">
        <v>2160</v>
      </c>
      <c r="M88" s="75">
        <v>1216</v>
      </c>
    </row>
    <row r="89" spans="1:13" ht="15.75" thickBot="1" x14ac:dyDescent="0.3">
      <c r="A89" s="71" t="s">
        <v>334</v>
      </c>
      <c r="B89" s="72" t="s">
        <v>333</v>
      </c>
      <c r="C89" s="71" t="s">
        <v>17</v>
      </c>
      <c r="D89" s="73" t="s">
        <v>20</v>
      </c>
      <c r="E89" s="73" t="s">
        <v>21</v>
      </c>
      <c r="F89" s="74">
        <v>1</v>
      </c>
      <c r="G89" s="74">
        <v>0</v>
      </c>
      <c r="H89" s="74">
        <v>0</v>
      </c>
      <c r="I89" s="74">
        <v>1</v>
      </c>
      <c r="J89" s="74">
        <v>4330</v>
      </c>
      <c r="K89" s="74">
        <v>0</v>
      </c>
      <c r="L89" s="74">
        <v>4330</v>
      </c>
      <c r="M89" s="75">
        <v>1768</v>
      </c>
    </row>
    <row r="90" spans="1:13" ht="15.75" thickBot="1" x14ac:dyDescent="0.3">
      <c r="A90" s="71" t="s">
        <v>344</v>
      </c>
      <c r="B90" s="72" t="s">
        <v>343</v>
      </c>
      <c r="C90" s="71" t="s">
        <v>17</v>
      </c>
      <c r="D90" s="73" t="s">
        <v>15</v>
      </c>
      <c r="E90" s="73" t="s">
        <v>16</v>
      </c>
      <c r="F90" s="74">
        <v>1</v>
      </c>
      <c r="G90" s="74">
        <v>0</v>
      </c>
      <c r="H90" s="74">
        <v>0</v>
      </c>
      <c r="I90" s="74">
        <v>1</v>
      </c>
      <c r="J90" s="74">
        <v>4400</v>
      </c>
      <c r="K90" s="74">
        <v>0</v>
      </c>
      <c r="L90" s="74">
        <v>4400</v>
      </c>
      <c r="M90" s="75">
        <v>2444</v>
      </c>
    </row>
    <row r="91" spans="1:13" ht="15.75" thickBot="1" x14ac:dyDescent="0.3">
      <c r="A91" s="71" t="s">
        <v>354</v>
      </c>
      <c r="B91" s="72" t="s">
        <v>353</v>
      </c>
      <c r="C91" s="71" t="s">
        <v>17</v>
      </c>
      <c r="D91" s="73" t="s">
        <v>20</v>
      </c>
      <c r="E91" s="73" t="s">
        <v>21</v>
      </c>
      <c r="F91" s="74">
        <v>1</v>
      </c>
      <c r="G91" s="74">
        <v>0</v>
      </c>
      <c r="H91" s="74">
        <v>0</v>
      </c>
      <c r="I91" s="74">
        <v>1</v>
      </c>
      <c r="J91" s="74">
        <v>11900</v>
      </c>
      <c r="K91" s="74">
        <v>0</v>
      </c>
      <c r="L91" s="74">
        <v>11900</v>
      </c>
      <c r="M91" s="75">
        <v>1776</v>
      </c>
    </row>
    <row r="92" spans="1:13" ht="15.75" thickBot="1" x14ac:dyDescent="0.3">
      <c r="A92" s="71" t="s">
        <v>362</v>
      </c>
      <c r="B92" s="72" t="s">
        <v>361</v>
      </c>
      <c r="C92" s="71" t="s">
        <v>17</v>
      </c>
      <c r="D92" s="73" t="s">
        <v>20</v>
      </c>
      <c r="E92" s="73" t="s">
        <v>21</v>
      </c>
      <c r="F92" s="74">
        <v>1</v>
      </c>
      <c r="G92" s="74">
        <v>0</v>
      </c>
      <c r="H92" s="74">
        <v>0</v>
      </c>
      <c r="I92" s="74">
        <v>1</v>
      </c>
      <c r="J92" s="74">
        <v>4140</v>
      </c>
      <c r="K92" s="74">
        <v>0</v>
      </c>
      <c r="L92" s="74">
        <v>4140</v>
      </c>
      <c r="M92" s="75">
        <v>1180</v>
      </c>
    </row>
    <row r="93" spans="1:13" ht="15.75" thickBot="1" x14ac:dyDescent="0.3">
      <c r="A93" s="71" t="s">
        <v>366</v>
      </c>
      <c r="B93" s="72" t="s">
        <v>365</v>
      </c>
      <c r="C93" s="71" t="s">
        <v>17</v>
      </c>
      <c r="D93" s="73" t="s">
        <v>15</v>
      </c>
      <c r="E93" s="73" t="s">
        <v>16</v>
      </c>
      <c r="F93" s="74">
        <v>1</v>
      </c>
      <c r="G93" s="74">
        <v>0</v>
      </c>
      <c r="H93" s="74">
        <v>0</v>
      </c>
      <c r="I93" s="74">
        <v>1</v>
      </c>
      <c r="J93" s="74">
        <v>2231</v>
      </c>
      <c r="K93" s="74">
        <v>0</v>
      </c>
      <c r="L93" s="74">
        <v>2231</v>
      </c>
      <c r="M93" s="75">
        <v>1844</v>
      </c>
    </row>
    <row r="94" spans="1:13" ht="15.75" thickBot="1" x14ac:dyDescent="0.3">
      <c r="A94" s="71" t="s">
        <v>372</v>
      </c>
      <c r="B94" s="72" t="s">
        <v>371</v>
      </c>
      <c r="C94" s="71" t="s">
        <v>17</v>
      </c>
      <c r="D94" s="73" t="s">
        <v>253</v>
      </c>
      <c r="E94" s="73" t="s">
        <v>254</v>
      </c>
      <c r="F94" s="74">
        <v>1</v>
      </c>
      <c r="G94" s="74">
        <v>0</v>
      </c>
      <c r="H94" s="74">
        <v>0</v>
      </c>
      <c r="I94" s="74">
        <v>1</v>
      </c>
      <c r="J94" s="74">
        <v>2937</v>
      </c>
      <c r="K94" s="74">
        <v>0</v>
      </c>
      <c r="L94" s="74">
        <v>2937</v>
      </c>
      <c r="M94" s="75">
        <v>1716</v>
      </c>
    </row>
    <row r="95" spans="1:13" ht="15.75" thickBot="1" x14ac:dyDescent="0.3">
      <c r="A95" s="71" t="s">
        <v>376</v>
      </c>
      <c r="B95" s="72" t="s">
        <v>375</v>
      </c>
      <c r="C95" s="71" t="s">
        <v>17</v>
      </c>
      <c r="D95" s="73" t="s">
        <v>101</v>
      </c>
      <c r="E95" s="73" t="s">
        <v>102</v>
      </c>
      <c r="F95" s="74">
        <v>1</v>
      </c>
      <c r="G95" s="74">
        <v>0</v>
      </c>
      <c r="H95" s="74">
        <v>0</v>
      </c>
      <c r="I95" s="74">
        <v>1</v>
      </c>
      <c r="J95" s="74">
        <v>4900</v>
      </c>
      <c r="K95" s="74">
        <v>0</v>
      </c>
      <c r="L95" s="74">
        <v>4900</v>
      </c>
      <c r="M95" s="75">
        <v>1520</v>
      </c>
    </row>
    <row r="96" spans="1:13" ht="15.75" thickBot="1" x14ac:dyDescent="0.3">
      <c r="A96" s="71" t="s">
        <v>382</v>
      </c>
      <c r="B96" s="72" t="s">
        <v>381</v>
      </c>
      <c r="C96" s="71" t="s">
        <v>17</v>
      </c>
      <c r="D96" s="73" t="s">
        <v>15</v>
      </c>
      <c r="E96" s="73" t="s">
        <v>16</v>
      </c>
      <c r="F96" s="74">
        <v>1</v>
      </c>
      <c r="G96" s="74">
        <v>0</v>
      </c>
      <c r="H96" s="74">
        <v>0</v>
      </c>
      <c r="I96" s="74">
        <v>1</v>
      </c>
      <c r="J96" s="74">
        <v>3300</v>
      </c>
      <c r="K96" s="74">
        <v>0</v>
      </c>
      <c r="L96" s="74">
        <v>3300</v>
      </c>
      <c r="M96" s="75">
        <v>2808</v>
      </c>
    </row>
    <row r="97" spans="1:13" ht="15.75" thickBot="1" x14ac:dyDescent="0.3">
      <c r="A97" s="71" t="s">
        <v>388</v>
      </c>
      <c r="B97" s="72" t="s">
        <v>387</v>
      </c>
      <c r="C97" s="71" t="s">
        <v>17</v>
      </c>
      <c r="D97" s="73" t="s">
        <v>20</v>
      </c>
      <c r="E97" s="73" t="s">
        <v>21</v>
      </c>
      <c r="F97" s="74">
        <v>1</v>
      </c>
      <c r="G97" s="74">
        <v>0</v>
      </c>
      <c r="H97" s="74">
        <v>0</v>
      </c>
      <c r="I97" s="74">
        <v>1</v>
      </c>
      <c r="J97" s="74">
        <v>2744</v>
      </c>
      <c r="K97" s="74">
        <v>0</v>
      </c>
      <c r="L97" s="74">
        <v>2744</v>
      </c>
      <c r="M97" s="75">
        <v>1092</v>
      </c>
    </row>
    <row r="98" spans="1:13" ht="15.75" thickBot="1" x14ac:dyDescent="0.3">
      <c r="A98" s="71" t="s">
        <v>392</v>
      </c>
      <c r="B98" s="72" t="s">
        <v>391</v>
      </c>
      <c r="C98" s="71" t="s">
        <v>17</v>
      </c>
      <c r="D98" s="73" t="s">
        <v>20</v>
      </c>
      <c r="E98" s="73" t="s">
        <v>21</v>
      </c>
      <c r="F98" s="74">
        <v>1</v>
      </c>
      <c r="G98" s="74">
        <v>0</v>
      </c>
      <c r="H98" s="74">
        <v>0</v>
      </c>
      <c r="I98" s="74">
        <v>1</v>
      </c>
      <c r="J98" s="74">
        <v>3200</v>
      </c>
      <c r="K98" s="74">
        <v>0</v>
      </c>
      <c r="L98" s="74">
        <v>3200</v>
      </c>
      <c r="M98" s="75">
        <v>1280</v>
      </c>
    </row>
    <row r="99" spans="1:13" ht="15.75" thickBot="1" x14ac:dyDescent="0.3">
      <c r="A99" s="71" t="s">
        <v>396</v>
      </c>
      <c r="B99" s="72" t="s">
        <v>395</v>
      </c>
      <c r="C99" s="71" t="s">
        <v>17</v>
      </c>
      <c r="D99" s="73" t="s">
        <v>20</v>
      </c>
      <c r="E99" s="73" t="s">
        <v>21</v>
      </c>
      <c r="F99" s="74">
        <v>1</v>
      </c>
      <c r="G99" s="74">
        <v>0</v>
      </c>
      <c r="H99" s="74">
        <v>0</v>
      </c>
      <c r="I99" s="74">
        <v>1</v>
      </c>
      <c r="J99" s="74">
        <v>3142</v>
      </c>
      <c r="K99" s="74">
        <v>0</v>
      </c>
      <c r="L99" s="74">
        <v>3142</v>
      </c>
      <c r="M99" s="75">
        <v>790</v>
      </c>
    </row>
    <row r="100" spans="1:13" ht="15.75" thickBot="1" x14ac:dyDescent="0.3">
      <c r="A100" s="71" t="s">
        <v>398</v>
      </c>
      <c r="B100" s="72" t="s">
        <v>397</v>
      </c>
      <c r="C100" s="71" t="s">
        <v>17</v>
      </c>
      <c r="D100" s="73" t="s">
        <v>15</v>
      </c>
      <c r="E100" s="73" t="s">
        <v>16</v>
      </c>
      <c r="F100" s="74">
        <v>1</v>
      </c>
      <c r="G100" s="74">
        <v>0</v>
      </c>
      <c r="H100" s="74">
        <v>0</v>
      </c>
      <c r="I100" s="74">
        <v>1</v>
      </c>
      <c r="J100" s="74">
        <v>5600</v>
      </c>
      <c r="K100" s="74">
        <v>0</v>
      </c>
      <c r="L100" s="74">
        <v>5600</v>
      </c>
      <c r="M100" s="75">
        <v>2328</v>
      </c>
    </row>
    <row r="101" spans="1:13" ht="15.75" thickBot="1" x14ac:dyDescent="0.3">
      <c r="A101" s="71" t="s">
        <v>400</v>
      </c>
      <c r="B101" s="72" t="s">
        <v>399</v>
      </c>
      <c r="C101" s="71" t="s">
        <v>17</v>
      </c>
      <c r="D101" s="73" t="s">
        <v>20</v>
      </c>
      <c r="E101" s="73" t="s">
        <v>21</v>
      </c>
      <c r="F101" s="74">
        <v>1</v>
      </c>
      <c r="G101" s="74">
        <v>0</v>
      </c>
      <c r="H101" s="74">
        <v>0</v>
      </c>
      <c r="I101" s="74">
        <v>1</v>
      </c>
      <c r="J101" s="74">
        <v>10000</v>
      </c>
      <c r="K101" s="74">
        <v>0</v>
      </c>
      <c r="L101" s="74">
        <v>10000</v>
      </c>
      <c r="M101" s="75">
        <v>2760</v>
      </c>
    </row>
    <row r="102" spans="1:13" ht="15.75" thickBot="1" x14ac:dyDescent="0.3">
      <c r="A102" s="71" t="s">
        <v>414</v>
      </c>
      <c r="B102" s="72" t="s">
        <v>413</v>
      </c>
      <c r="C102" s="71" t="s">
        <v>17</v>
      </c>
      <c r="D102" s="73" t="s">
        <v>253</v>
      </c>
      <c r="E102" s="73" t="s">
        <v>415</v>
      </c>
      <c r="F102" s="74">
        <v>1</v>
      </c>
      <c r="G102" s="74">
        <v>0</v>
      </c>
      <c r="H102" s="74">
        <v>0</v>
      </c>
      <c r="I102" s="74">
        <v>1</v>
      </c>
      <c r="J102" s="74">
        <v>8000</v>
      </c>
      <c r="K102" s="74">
        <v>0</v>
      </c>
      <c r="L102" s="74">
        <v>8000</v>
      </c>
      <c r="M102" s="75">
        <v>1965</v>
      </c>
    </row>
    <row r="103" spans="1:13" ht="15.75" thickBot="1" x14ac:dyDescent="0.3">
      <c r="A103" s="71" t="s">
        <v>427</v>
      </c>
      <c r="B103" s="72" t="s">
        <v>426</v>
      </c>
      <c r="C103" s="71" t="s">
        <v>17</v>
      </c>
      <c r="D103" s="73" t="s">
        <v>61</v>
      </c>
      <c r="E103" s="73" t="s">
        <v>62</v>
      </c>
      <c r="F103" s="74">
        <v>1</v>
      </c>
      <c r="G103" s="74">
        <v>0</v>
      </c>
      <c r="H103" s="74">
        <v>0</v>
      </c>
      <c r="I103" s="74">
        <v>1</v>
      </c>
      <c r="J103" s="74">
        <v>7608</v>
      </c>
      <c r="K103" s="74">
        <v>0</v>
      </c>
      <c r="L103" s="74">
        <v>7608</v>
      </c>
      <c r="M103" s="75">
        <v>1921</v>
      </c>
    </row>
    <row r="104" spans="1:13" ht="15.75" thickBot="1" x14ac:dyDescent="0.3">
      <c r="A104" s="71" t="s">
        <v>429</v>
      </c>
      <c r="B104" s="72" t="s">
        <v>428</v>
      </c>
      <c r="C104" s="71" t="s">
        <v>17</v>
      </c>
      <c r="D104" s="73" t="s">
        <v>61</v>
      </c>
      <c r="E104" s="73" t="s">
        <v>62</v>
      </c>
      <c r="F104" s="74">
        <v>1</v>
      </c>
      <c r="G104" s="74">
        <v>0</v>
      </c>
      <c r="H104" s="74">
        <v>0</v>
      </c>
      <c r="I104" s="74">
        <v>1</v>
      </c>
      <c r="J104" s="74">
        <v>6052</v>
      </c>
      <c r="K104" s="74">
        <v>0</v>
      </c>
      <c r="L104" s="74">
        <v>6052</v>
      </c>
      <c r="M104" s="75">
        <v>1994</v>
      </c>
    </row>
    <row r="105" spans="1:13" ht="15.75" thickBot="1" x14ac:dyDescent="0.3">
      <c r="A105" s="71" t="s">
        <v>450</v>
      </c>
      <c r="B105" s="72" t="s">
        <v>449</v>
      </c>
      <c r="C105" s="71" t="s">
        <v>17</v>
      </c>
      <c r="D105" s="73" t="s">
        <v>61</v>
      </c>
      <c r="E105" s="73" t="s">
        <v>62</v>
      </c>
      <c r="F105" s="74">
        <v>1</v>
      </c>
      <c r="G105" s="74">
        <v>0</v>
      </c>
      <c r="H105" s="74">
        <v>0</v>
      </c>
      <c r="I105" s="74">
        <v>1</v>
      </c>
      <c r="J105" s="74">
        <v>3600</v>
      </c>
      <c r="K105" s="74">
        <v>0</v>
      </c>
      <c r="L105" s="74">
        <v>3600</v>
      </c>
      <c r="M105" s="75">
        <v>1802</v>
      </c>
    </row>
    <row r="106" spans="1:13" ht="15.75" thickBot="1" x14ac:dyDescent="0.3">
      <c r="A106" s="71" t="s">
        <v>456</v>
      </c>
      <c r="B106" s="72" t="s">
        <v>455</v>
      </c>
      <c r="C106" s="71" t="s">
        <v>17</v>
      </c>
      <c r="D106" s="73" t="s">
        <v>253</v>
      </c>
      <c r="E106" s="73" t="s">
        <v>254</v>
      </c>
      <c r="F106" s="74">
        <v>1</v>
      </c>
      <c r="G106" s="74">
        <v>0</v>
      </c>
      <c r="H106" s="74">
        <v>0</v>
      </c>
      <c r="I106" s="74">
        <v>1</v>
      </c>
      <c r="J106" s="74">
        <v>4224</v>
      </c>
      <c r="K106" s="74">
        <v>0</v>
      </c>
      <c r="L106" s="74">
        <v>4224</v>
      </c>
      <c r="M106" s="75">
        <v>1890</v>
      </c>
    </row>
    <row r="107" spans="1:13" ht="15.75" thickBot="1" x14ac:dyDescent="0.3">
      <c r="A107" s="71" t="s">
        <v>462</v>
      </c>
      <c r="B107" s="72" t="s">
        <v>461</v>
      </c>
      <c r="C107" s="71" t="s">
        <v>17</v>
      </c>
      <c r="D107" s="73" t="s">
        <v>20</v>
      </c>
      <c r="E107" s="73" t="s">
        <v>21</v>
      </c>
      <c r="F107" s="74">
        <v>1</v>
      </c>
      <c r="G107" s="74">
        <v>2</v>
      </c>
      <c r="H107" s="74">
        <v>0</v>
      </c>
      <c r="I107" s="74">
        <v>3</v>
      </c>
      <c r="J107" s="74">
        <v>7600</v>
      </c>
      <c r="K107" s="76">
        <v>1250</v>
      </c>
      <c r="L107" s="74">
        <v>8850</v>
      </c>
      <c r="M107" s="75">
        <v>2562</v>
      </c>
    </row>
    <row r="108" spans="1:13" ht="15.75" thickBot="1" x14ac:dyDescent="0.3">
      <c r="A108" s="71" t="s">
        <v>466</v>
      </c>
      <c r="B108" s="72" t="s">
        <v>465</v>
      </c>
      <c r="C108" s="71" t="s">
        <v>17</v>
      </c>
      <c r="D108" s="73" t="s">
        <v>61</v>
      </c>
      <c r="E108" s="73" t="s">
        <v>62</v>
      </c>
      <c r="F108" s="74">
        <v>1</v>
      </c>
      <c r="G108" s="74">
        <v>0</v>
      </c>
      <c r="H108" s="74">
        <v>0</v>
      </c>
      <c r="I108" s="74">
        <v>1</v>
      </c>
      <c r="J108" s="74">
        <v>2376</v>
      </c>
      <c r="K108" s="77">
        <v>0</v>
      </c>
      <c r="L108" s="74">
        <v>2376</v>
      </c>
      <c r="M108" s="75">
        <v>2025</v>
      </c>
    </row>
    <row r="109" spans="1:13" ht="15.75" thickBot="1" x14ac:dyDescent="0.3">
      <c r="A109" s="71" t="s">
        <v>478</v>
      </c>
      <c r="B109" s="72" t="s">
        <v>477</v>
      </c>
      <c r="C109" s="71" t="s">
        <v>17</v>
      </c>
      <c r="D109" s="73" t="s">
        <v>20</v>
      </c>
      <c r="E109" s="73" t="s">
        <v>21</v>
      </c>
      <c r="F109" s="74">
        <v>1</v>
      </c>
      <c r="G109" s="74">
        <v>0</v>
      </c>
      <c r="H109" s="74">
        <v>0</v>
      </c>
      <c r="I109" s="74">
        <v>1</v>
      </c>
      <c r="J109" s="74">
        <v>3200</v>
      </c>
      <c r="K109" s="74">
        <v>0</v>
      </c>
      <c r="L109" s="74">
        <v>3200</v>
      </c>
      <c r="M109" s="75">
        <v>2444</v>
      </c>
    </row>
    <row r="110" spans="1:13" ht="15.75" thickBot="1" x14ac:dyDescent="0.3">
      <c r="A110" s="71" t="s">
        <v>480</v>
      </c>
      <c r="B110" s="72" t="s">
        <v>479</v>
      </c>
      <c r="C110" s="71" t="s">
        <v>17</v>
      </c>
      <c r="D110" s="73" t="s">
        <v>61</v>
      </c>
      <c r="E110" s="73" t="s">
        <v>62</v>
      </c>
      <c r="F110" s="74">
        <v>1</v>
      </c>
      <c r="G110" s="74">
        <v>0</v>
      </c>
      <c r="H110" s="74">
        <v>0</v>
      </c>
      <c r="I110" s="74">
        <v>1</v>
      </c>
      <c r="J110" s="74">
        <v>4500</v>
      </c>
      <c r="K110" s="74">
        <v>0</v>
      </c>
      <c r="L110" s="74">
        <v>4500</v>
      </c>
      <c r="M110" s="75">
        <v>2152</v>
      </c>
    </row>
    <row r="111" spans="1:13" ht="15.75" thickBot="1" x14ac:dyDescent="0.3">
      <c r="A111" s="71" t="s">
        <v>488</v>
      </c>
      <c r="B111" s="72" t="s">
        <v>487</v>
      </c>
      <c r="C111" s="71" t="s">
        <v>17</v>
      </c>
      <c r="D111" s="73" t="s">
        <v>20</v>
      </c>
      <c r="E111" s="73" t="s">
        <v>21</v>
      </c>
      <c r="F111" s="74">
        <v>1</v>
      </c>
      <c r="G111" s="74">
        <v>0</v>
      </c>
      <c r="H111" s="74">
        <v>0</v>
      </c>
      <c r="I111" s="74">
        <v>1</v>
      </c>
      <c r="J111" s="74">
        <v>5612</v>
      </c>
      <c r="K111" s="74">
        <v>0</v>
      </c>
      <c r="L111" s="74">
        <v>5612</v>
      </c>
      <c r="M111" s="75">
        <v>1794</v>
      </c>
    </row>
    <row r="112" spans="1:13" ht="15.75" thickBot="1" x14ac:dyDescent="0.3">
      <c r="A112" s="71" t="s">
        <v>490</v>
      </c>
      <c r="B112" s="72" t="s">
        <v>489</v>
      </c>
      <c r="C112" s="71" t="s">
        <v>17</v>
      </c>
      <c r="D112" s="73" t="s">
        <v>20</v>
      </c>
      <c r="E112" s="73" t="s">
        <v>21</v>
      </c>
      <c r="F112" s="74">
        <v>1</v>
      </c>
      <c r="G112" s="74">
        <v>0</v>
      </c>
      <c r="H112" s="74">
        <v>0</v>
      </c>
      <c r="I112" s="74">
        <v>1</v>
      </c>
      <c r="J112" s="74">
        <v>7025</v>
      </c>
      <c r="K112" s="74">
        <v>0</v>
      </c>
      <c r="L112" s="74">
        <v>7025</v>
      </c>
      <c r="M112" s="75">
        <v>2034</v>
      </c>
    </row>
    <row r="113" spans="1:13" ht="15.75" thickBot="1" x14ac:dyDescent="0.3">
      <c r="A113" s="71" t="s">
        <v>494</v>
      </c>
      <c r="B113" s="72" t="s">
        <v>493</v>
      </c>
      <c r="C113" s="71" t="s">
        <v>17</v>
      </c>
      <c r="D113" s="73" t="s">
        <v>61</v>
      </c>
      <c r="E113" s="73" t="s">
        <v>62</v>
      </c>
      <c r="F113" s="74">
        <v>1</v>
      </c>
      <c r="G113" s="74">
        <v>0</v>
      </c>
      <c r="H113" s="74">
        <v>0</v>
      </c>
      <c r="I113" s="74">
        <v>1</v>
      </c>
      <c r="J113" s="74">
        <v>1800</v>
      </c>
      <c r="K113" s="74">
        <v>0</v>
      </c>
      <c r="L113" s="74">
        <v>1800</v>
      </c>
      <c r="M113" s="75">
        <v>1820</v>
      </c>
    </row>
    <row r="114" spans="1:13" ht="15.75" thickBot="1" x14ac:dyDescent="0.3">
      <c r="A114" s="71" t="s">
        <v>512</v>
      </c>
      <c r="B114" s="72" t="s">
        <v>511</v>
      </c>
      <c r="C114" s="71" t="s">
        <v>17</v>
      </c>
      <c r="D114" s="73" t="s">
        <v>15</v>
      </c>
      <c r="E114" s="73" t="s">
        <v>16</v>
      </c>
      <c r="F114" s="74">
        <v>1</v>
      </c>
      <c r="G114" s="74">
        <v>0</v>
      </c>
      <c r="H114" s="74">
        <v>0</v>
      </c>
      <c r="I114" s="74">
        <v>1</v>
      </c>
      <c r="J114" s="74">
        <v>3750</v>
      </c>
      <c r="K114" s="74">
        <v>0</v>
      </c>
      <c r="L114" s="74">
        <v>3750</v>
      </c>
      <c r="M114" s="75">
        <v>2184</v>
      </c>
    </row>
    <row r="115" spans="1:13" ht="15.75" thickBot="1" x14ac:dyDescent="0.3">
      <c r="A115" s="71" t="s">
        <v>514</v>
      </c>
      <c r="B115" s="72" t="s">
        <v>513</v>
      </c>
      <c r="C115" s="71" t="s">
        <v>17</v>
      </c>
      <c r="D115" s="73" t="s">
        <v>20</v>
      </c>
      <c r="E115" s="73" t="s">
        <v>21</v>
      </c>
      <c r="F115" s="74">
        <v>1</v>
      </c>
      <c r="G115" s="74">
        <v>0</v>
      </c>
      <c r="H115" s="74">
        <v>0</v>
      </c>
      <c r="I115" s="74">
        <v>1</v>
      </c>
      <c r="J115" s="74">
        <v>15000</v>
      </c>
      <c r="K115" s="74">
        <v>0</v>
      </c>
      <c r="L115" s="74">
        <v>15000</v>
      </c>
      <c r="M115" s="75">
        <v>1195</v>
      </c>
    </row>
    <row r="116" spans="1:13" ht="15.75" thickBot="1" x14ac:dyDescent="0.3">
      <c r="A116" s="71" t="s">
        <v>526</v>
      </c>
      <c r="B116" s="72" t="s">
        <v>525</v>
      </c>
      <c r="C116" s="71" t="s">
        <v>17</v>
      </c>
      <c r="D116" s="73" t="s">
        <v>15</v>
      </c>
      <c r="E116" s="73" t="s">
        <v>16</v>
      </c>
      <c r="F116" s="74">
        <v>1</v>
      </c>
      <c r="G116" s="74">
        <v>0</v>
      </c>
      <c r="H116" s="74">
        <v>0</v>
      </c>
      <c r="I116" s="74">
        <v>1</v>
      </c>
      <c r="J116" s="74">
        <v>1800</v>
      </c>
      <c r="K116" s="74">
        <v>0</v>
      </c>
      <c r="L116" s="74">
        <v>1800</v>
      </c>
      <c r="M116" s="75">
        <v>2652</v>
      </c>
    </row>
    <row r="117" spans="1:13" ht="15.75" thickBot="1" x14ac:dyDescent="0.3">
      <c r="A117" s="71" t="s">
        <v>528</v>
      </c>
      <c r="B117" s="72" t="s">
        <v>527</v>
      </c>
      <c r="C117" s="71" t="s">
        <v>17</v>
      </c>
      <c r="D117" s="73" t="s">
        <v>15</v>
      </c>
      <c r="E117" s="73" t="s">
        <v>16</v>
      </c>
      <c r="F117" s="74">
        <v>1</v>
      </c>
      <c r="G117" s="74">
        <v>0</v>
      </c>
      <c r="H117" s="74">
        <v>0</v>
      </c>
      <c r="I117" s="74">
        <v>1</v>
      </c>
      <c r="J117" s="74">
        <v>10990</v>
      </c>
      <c r="K117" s="74">
        <v>0</v>
      </c>
      <c r="L117" s="74">
        <v>10990</v>
      </c>
      <c r="M117" s="75">
        <v>2140</v>
      </c>
    </row>
    <row r="118" spans="1:13" ht="15.75" thickBot="1" x14ac:dyDescent="0.3">
      <c r="A118" s="71" t="s">
        <v>532</v>
      </c>
      <c r="B118" s="72" t="s">
        <v>531</v>
      </c>
      <c r="C118" s="71" t="s">
        <v>17</v>
      </c>
      <c r="D118" s="73" t="s">
        <v>20</v>
      </c>
      <c r="E118" s="73" t="s">
        <v>21</v>
      </c>
      <c r="F118" s="74">
        <v>1</v>
      </c>
      <c r="G118" s="74">
        <v>0</v>
      </c>
      <c r="H118" s="74">
        <v>0</v>
      </c>
      <c r="I118" s="74">
        <v>1</v>
      </c>
      <c r="J118" s="74">
        <v>1375</v>
      </c>
      <c r="K118" s="74">
        <v>0</v>
      </c>
      <c r="L118" s="74">
        <v>1375</v>
      </c>
      <c r="M118" s="75">
        <v>1413</v>
      </c>
    </row>
    <row r="119" spans="1:13" ht="15.75" thickBot="1" x14ac:dyDescent="0.3">
      <c r="A119" s="71" t="s">
        <v>540</v>
      </c>
      <c r="B119" s="72" t="s">
        <v>539</v>
      </c>
      <c r="C119" s="71" t="s">
        <v>17</v>
      </c>
      <c r="D119" s="73" t="s">
        <v>20</v>
      </c>
      <c r="E119" s="73" t="s">
        <v>21</v>
      </c>
      <c r="F119" s="74">
        <v>1</v>
      </c>
      <c r="G119" s="74">
        <v>0</v>
      </c>
      <c r="H119" s="74">
        <v>0</v>
      </c>
      <c r="I119" s="74">
        <v>1</v>
      </c>
      <c r="J119" s="74">
        <v>7400</v>
      </c>
      <c r="K119" s="74">
        <v>0</v>
      </c>
      <c r="L119" s="74">
        <v>7400</v>
      </c>
      <c r="M119" s="75">
        <v>1634</v>
      </c>
    </row>
    <row r="120" spans="1:13" ht="15.75" thickBot="1" x14ac:dyDescent="0.3">
      <c r="A120" s="71" t="s">
        <v>560</v>
      </c>
      <c r="B120" s="72" t="s">
        <v>559</v>
      </c>
      <c r="C120" s="71" t="s">
        <v>17</v>
      </c>
      <c r="D120" s="73" t="s">
        <v>20</v>
      </c>
      <c r="E120" s="73" t="s">
        <v>21</v>
      </c>
      <c r="F120" s="74">
        <v>1</v>
      </c>
      <c r="G120" s="74">
        <v>0</v>
      </c>
      <c r="H120" s="74">
        <v>0</v>
      </c>
      <c r="I120" s="74">
        <v>1</v>
      </c>
      <c r="J120" s="74">
        <v>3700</v>
      </c>
      <c r="K120" s="74">
        <v>0</v>
      </c>
      <c r="L120" s="74">
        <v>3700</v>
      </c>
      <c r="M120" s="75">
        <v>2080</v>
      </c>
    </row>
    <row r="121" spans="1:13" ht="15.75" thickBot="1" x14ac:dyDescent="0.3">
      <c r="A121" s="71" t="s">
        <v>566</v>
      </c>
      <c r="B121" s="72" t="s">
        <v>565</v>
      </c>
      <c r="C121" s="71" t="s">
        <v>17</v>
      </c>
      <c r="D121" s="73" t="s">
        <v>61</v>
      </c>
      <c r="E121" s="73" t="s">
        <v>62</v>
      </c>
      <c r="F121" s="74">
        <v>1</v>
      </c>
      <c r="G121" s="74">
        <v>0</v>
      </c>
      <c r="H121" s="74">
        <v>0</v>
      </c>
      <c r="I121" s="74">
        <v>1</v>
      </c>
      <c r="J121" s="74">
        <v>2473</v>
      </c>
      <c r="K121" s="74">
        <v>0</v>
      </c>
      <c r="L121" s="74">
        <v>2473</v>
      </c>
      <c r="M121" s="75">
        <v>2076</v>
      </c>
    </row>
    <row r="122" spans="1:13" ht="15.75" thickBot="1" x14ac:dyDescent="0.3">
      <c r="A122" s="71" t="s">
        <v>572</v>
      </c>
      <c r="B122" s="72" t="s">
        <v>571</v>
      </c>
      <c r="C122" s="71" t="s">
        <v>17</v>
      </c>
      <c r="D122" s="73" t="s">
        <v>20</v>
      </c>
      <c r="E122" s="73" t="s">
        <v>21</v>
      </c>
      <c r="F122" s="74">
        <v>1</v>
      </c>
      <c r="G122" s="74">
        <v>0</v>
      </c>
      <c r="H122" s="74">
        <v>0</v>
      </c>
      <c r="I122" s="74">
        <v>1</v>
      </c>
      <c r="J122" s="74">
        <v>5370</v>
      </c>
      <c r="K122" s="74">
        <v>0</v>
      </c>
      <c r="L122" s="74">
        <v>5370</v>
      </c>
      <c r="M122" s="75">
        <v>2112</v>
      </c>
    </row>
    <row r="123" spans="1:13" ht="15.75" thickBot="1" x14ac:dyDescent="0.3">
      <c r="A123" s="71" t="s">
        <v>582</v>
      </c>
      <c r="B123" s="72" t="s">
        <v>581</v>
      </c>
      <c r="C123" s="71" t="s">
        <v>17</v>
      </c>
      <c r="D123" s="73" t="s">
        <v>20</v>
      </c>
      <c r="E123" s="73" t="s">
        <v>21</v>
      </c>
      <c r="F123" s="74">
        <v>1</v>
      </c>
      <c r="G123" s="74">
        <v>0</v>
      </c>
      <c r="H123" s="74">
        <v>0</v>
      </c>
      <c r="I123" s="74">
        <v>1</v>
      </c>
      <c r="J123" s="74">
        <v>7000</v>
      </c>
      <c r="K123" s="74">
        <v>0</v>
      </c>
      <c r="L123" s="74">
        <v>7000</v>
      </c>
      <c r="M123" s="75">
        <v>2548</v>
      </c>
    </row>
    <row r="124" spans="1:13" ht="15.75" thickBot="1" x14ac:dyDescent="0.3">
      <c r="A124" s="71" t="s">
        <v>586</v>
      </c>
      <c r="B124" s="72" t="s">
        <v>585</v>
      </c>
      <c r="C124" s="71" t="s">
        <v>17</v>
      </c>
      <c r="D124" s="73" t="s">
        <v>20</v>
      </c>
      <c r="E124" s="73" t="s">
        <v>21</v>
      </c>
      <c r="F124" s="74">
        <v>1</v>
      </c>
      <c r="G124" s="74">
        <v>0</v>
      </c>
      <c r="H124" s="74">
        <v>0</v>
      </c>
      <c r="I124" s="74">
        <v>1</v>
      </c>
      <c r="J124" s="74">
        <v>1750</v>
      </c>
      <c r="K124" s="74">
        <v>0</v>
      </c>
      <c r="L124" s="74">
        <v>1750</v>
      </c>
      <c r="M124" s="75">
        <v>1248</v>
      </c>
    </row>
    <row r="125" spans="1:13" ht="15.75" thickBot="1" x14ac:dyDescent="0.3">
      <c r="A125" s="71" t="s">
        <v>592</v>
      </c>
      <c r="B125" s="72" t="s">
        <v>591</v>
      </c>
      <c r="C125" s="71" t="s">
        <v>17</v>
      </c>
      <c r="D125" s="73" t="s">
        <v>61</v>
      </c>
      <c r="E125" s="73" t="s">
        <v>62</v>
      </c>
      <c r="F125" s="74">
        <v>1</v>
      </c>
      <c r="G125" s="74">
        <v>0</v>
      </c>
      <c r="H125" s="74">
        <v>0</v>
      </c>
      <c r="I125" s="74">
        <v>1</v>
      </c>
      <c r="J125" s="74">
        <v>2200</v>
      </c>
      <c r="K125" s="74">
        <v>0</v>
      </c>
      <c r="L125" s="74">
        <v>2200</v>
      </c>
      <c r="M125" s="75">
        <v>2288</v>
      </c>
    </row>
    <row r="126" spans="1:13" ht="15.75" thickBot="1" x14ac:dyDescent="0.3">
      <c r="A126" s="71" t="s">
        <v>600</v>
      </c>
      <c r="B126" s="72" t="s">
        <v>599</v>
      </c>
      <c r="C126" s="71" t="s">
        <v>17</v>
      </c>
      <c r="D126" s="73" t="s">
        <v>20</v>
      </c>
      <c r="E126" s="73" t="s">
        <v>21</v>
      </c>
      <c r="F126" s="74">
        <v>1</v>
      </c>
      <c r="G126" s="74">
        <v>0</v>
      </c>
      <c r="H126" s="74">
        <v>0</v>
      </c>
      <c r="I126" s="74">
        <v>1</v>
      </c>
      <c r="J126" s="74">
        <v>2500</v>
      </c>
      <c r="K126" s="74">
        <v>0</v>
      </c>
      <c r="L126" s="74">
        <v>2500</v>
      </c>
      <c r="M126" s="75">
        <v>1260</v>
      </c>
    </row>
    <row r="127" spans="1:13" ht="15.75" thickBot="1" x14ac:dyDescent="0.3">
      <c r="A127" s="71" t="s">
        <v>606</v>
      </c>
      <c r="B127" s="72" t="s">
        <v>605</v>
      </c>
      <c r="C127" s="71" t="s">
        <v>17</v>
      </c>
      <c r="D127" s="73" t="s">
        <v>61</v>
      </c>
      <c r="E127" s="73" t="s">
        <v>62</v>
      </c>
      <c r="F127" s="74">
        <v>1</v>
      </c>
      <c r="G127" s="74">
        <v>0</v>
      </c>
      <c r="H127" s="74">
        <v>0</v>
      </c>
      <c r="I127" s="74">
        <v>1</v>
      </c>
      <c r="J127" s="74">
        <v>2560</v>
      </c>
      <c r="K127" s="74">
        <v>0</v>
      </c>
      <c r="L127" s="74">
        <v>2560</v>
      </c>
      <c r="M127" s="75">
        <v>1744</v>
      </c>
    </row>
    <row r="128" spans="1:13" ht="15.75" thickBot="1" x14ac:dyDescent="0.3">
      <c r="A128" s="71" t="s">
        <v>608</v>
      </c>
      <c r="B128" s="72" t="s">
        <v>607</v>
      </c>
      <c r="C128" s="71" t="s">
        <v>17</v>
      </c>
      <c r="D128" s="73" t="s">
        <v>61</v>
      </c>
      <c r="E128" s="73" t="s">
        <v>62</v>
      </c>
      <c r="F128" s="74">
        <v>1</v>
      </c>
      <c r="G128" s="74">
        <v>0</v>
      </c>
      <c r="H128" s="74">
        <v>0</v>
      </c>
      <c r="I128" s="74">
        <v>1</v>
      </c>
      <c r="J128" s="74">
        <v>5300</v>
      </c>
      <c r="K128" s="74">
        <v>0</v>
      </c>
      <c r="L128" s="74">
        <v>5300</v>
      </c>
      <c r="M128" s="75">
        <v>1928</v>
      </c>
    </row>
    <row r="129" spans="1:13" ht="15.75" thickBot="1" x14ac:dyDescent="0.3">
      <c r="A129" s="71" t="s">
        <v>614</v>
      </c>
      <c r="B129" s="72" t="s">
        <v>613</v>
      </c>
      <c r="C129" s="71" t="s">
        <v>17</v>
      </c>
      <c r="D129" s="73" t="s">
        <v>20</v>
      </c>
      <c r="E129" s="73" t="s">
        <v>21</v>
      </c>
      <c r="F129" s="74">
        <v>1</v>
      </c>
      <c r="G129" s="74">
        <v>0</v>
      </c>
      <c r="H129" s="74">
        <v>0</v>
      </c>
      <c r="I129" s="74">
        <v>1</v>
      </c>
      <c r="J129" s="74">
        <v>2400</v>
      </c>
      <c r="K129" s="74">
        <v>0</v>
      </c>
      <c r="L129" s="74">
        <v>2400</v>
      </c>
      <c r="M129" s="75">
        <v>1376</v>
      </c>
    </row>
    <row r="130" spans="1:13" ht="15.75" thickBot="1" x14ac:dyDescent="0.3">
      <c r="A130" s="71" t="s">
        <v>620</v>
      </c>
      <c r="B130" s="72" t="s">
        <v>619</v>
      </c>
      <c r="C130" s="71" t="s">
        <v>17</v>
      </c>
      <c r="D130" s="73" t="s">
        <v>15</v>
      </c>
      <c r="E130" s="73" t="s">
        <v>16</v>
      </c>
      <c r="F130" s="74">
        <v>1</v>
      </c>
      <c r="G130" s="74">
        <v>0</v>
      </c>
      <c r="H130" s="74">
        <v>0</v>
      </c>
      <c r="I130" s="74">
        <v>1</v>
      </c>
      <c r="J130" s="74">
        <v>9315</v>
      </c>
      <c r="K130" s="74">
        <v>0</v>
      </c>
      <c r="L130" s="74">
        <v>9315</v>
      </c>
      <c r="M130" s="75">
        <v>2808</v>
      </c>
    </row>
    <row r="131" spans="1:13" ht="15.75" thickBot="1" x14ac:dyDescent="0.3">
      <c r="A131" s="71" t="s">
        <v>632</v>
      </c>
      <c r="B131" s="72" t="s">
        <v>631</v>
      </c>
      <c r="C131" s="71" t="s">
        <v>17</v>
      </c>
      <c r="D131" s="73" t="s">
        <v>101</v>
      </c>
      <c r="E131" s="73" t="s">
        <v>102</v>
      </c>
      <c r="F131" s="74">
        <v>1</v>
      </c>
      <c r="G131" s="74">
        <v>0</v>
      </c>
      <c r="H131" s="74">
        <v>0</v>
      </c>
      <c r="I131" s="74">
        <v>1</v>
      </c>
      <c r="J131" s="74">
        <v>6000</v>
      </c>
      <c r="K131" s="74">
        <v>0</v>
      </c>
      <c r="L131" s="74">
        <v>6000</v>
      </c>
      <c r="M131" s="75">
        <v>1664</v>
      </c>
    </row>
    <row r="132" spans="1:13" ht="15.75" thickBot="1" x14ac:dyDescent="0.3">
      <c r="A132" s="71" t="s">
        <v>644</v>
      </c>
      <c r="B132" s="72" t="s">
        <v>643</v>
      </c>
      <c r="C132" s="71" t="s">
        <v>17</v>
      </c>
      <c r="D132" s="73" t="s">
        <v>101</v>
      </c>
      <c r="E132" s="73" t="s">
        <v>102</v>
      </c>
      <c r="F132" s="74">
        <v>1</v>
      </c>
      <c r="G132" s="74">
        <v>1</v>
      </c>
      <c r="H132" s="74">
        <v>0</v>
      </c>
      <c r="I132" s="74">
        <v>2</v>
      </c>
      <c r="J132" s="74">
        <v>9077</v>
      </c>
      <c r="K132" s="76">
        <v>500</v>
      </c>
      <c r="L132" s="74">
        <v>9577</v>
      </c>
      <c r="M132" s="75">
        <v>3562</v>
      </c>
    </row>
    <row r="133" spans="1:13" ht="15.75" thickBot="1" x14ac:dyDescent="0.3">
      <c r="A133" s="71" t="s">
        <v>658</v>
      </c>
      <c r="B133" s="72" t="s">
        <v>657</v>
      </c>
      <c r="C133" s="71" t="s">
        <v>17</v>
      </c>
      <c r="D133" s="73" t="s">
        <v>15</v>
      </c>
      <c r="E133" s="73" t="s">
        <v>16</v>
      </c>
      <c r="F133" s="74">
        <v>1</v>
      </c>
      <c r="G133" s="74">
        <v>0</v>
      </c>
      <c r="H133" s="74">
        <v>0</v>
      </c>
      <c r="I133" s="74">
        <v>1</v>
      </c>
      <c r="J133" s="74">
        <v>7000</v>
      </c>
      <c r="K133" s="74">
        <v>0</v>
      </c>
      <c r="L133" s="74">
        <v>7000</v>
      </c>
      <c r="M133" s="75">
        <v>2288</v>
      </c>
    </row>
    <row r="134" spans="1:13" ht="15.75" thickBot="1" x14ac:dyDescent="0.3">
      <c r="A134" s="71" t="s">
        <v>668</v>
      </c>
      <c r="B134" s="72" t="s">
        <v>667</v>
      </c>
      <c r="C134" s="71" t="s">
        <v>17</v>
      </c>
      <c r="D134" s="73" t="s">
        <v>15</v>
      </c>
      <c r="E134" s="73" t="s">
        <v>16</v>
      </c>
      <c r="F134" s="74">
        <v>1</v>
      </c>
      <c r="G134" s="74">
        <v>0</v>
      </c>
      <c r="H134" s="74">
        <v>0</v>
      </c>
      <c r="I134" s="74">
        <v>1</v>
      </c>
      <c r="J134" s="74">
        <v>4752</v>
      </c>
      <c r="K134" s="76">
        <v>0</v>
      </c>
      <c r="L134" s="74">
        <v>4752</v>
      </c>
      <c r="M134" s="75">
        <v>2329</v>
      </c>
    </row>
    <row r="135" spans="1:13" ht="15.75" thickBot="1" x14ac:dyDescent="0.3">
      <c r="A135" s="71" t="s">
        <v>672</v>
      </c>
      <c r="B135" s="72" t="s">
        <v>671</v>
      </c>
      <c r="C135" s="71" t="s">
        <v>17</v>
      </c>
      <c r="D135" s="73" t="s">
        <v>20</v>
      </c>
      <c r="E135" s="73" t="s">
        <v>21</v>
      </c>
      <c r="F135" s="74">
        <v>1</v>
      </c>
      <c r="G135" s="74">
        <v>0</v>
      </c>
      <c r="H135" s="74">
        <v>0</v>
      </c>
      <c r="I135" s="74">
        <v>1</v>
      </c>
      <c r="J135" s="74">
        <v>5494</v>
      </c>
      <c r="K135" s="74">
        <v>0</v>
      </c>
      <c r="L135" s="74">
        <v>5494</v>
      </c>
      <c r="M135" s="75">
        <v>1809</v>
      </c>
    </row>
    <row r="136" spans="1:13" ht="15.75" thickBot="1" x14ac:dyDescent="0.3">
      <c r="A136" s="71" t="s">
        <v>678</v>
      </c>
      <c r="B136" s="72" t="s">
        <v>677</v>
      </c>
      <c r="C136" s="71" t="s">
        <v>17</v>
      </c>
      <c r="D136" s="73" t="s">
        <v>61</v>
      </c>
      <c r="E136" s="73" t="s">
        <v>62</v>
      </c>
      <c r="F136" s="74">
        <v>1</v>
      </c>
      <c r="G136" s="74">
        <v>0</v>
      </c>
      <c r="H136" s="74">
        <v>0</v>
      </c>
      <c r="I136" s="74">
        <v>1</v>
      </c>
      <c r="J136" s="74">
        <v>13130</v>
      </c>
      <c r="K136" s="74">
        <v>0</v>
      </c>
      <c r="L136" s="74">
        <v>13130</v>
      </c>
      <c r="M136" s="75">
        <v>1716</v>
      </c>
    </row>
    <row r="137" spans="1:13" ht="15.75" thickBot="1" x14ac:dyDescent="0.3">
      <c r="A137" s="71" t="s">
        <v>686</v>
      </c>
      <c r="B137" s="72" t="s">
        <v>685</v>
      </c>
      <c r="C137" s="71" t="s">
        <v>17</v>
      </c>
      <c r="D137" s="73" t="s">
        <v>61</v>
      </c>
      <c r="E137" s="73" t="s">
        <v>62</v>
      </c>
      <c r="F137" s="74">
        <v>1</v>
      </c>
      <c r="G137" s="74">
        <v>0</v>
      </c>
      <c r="H137" s="74">
        <v>0</v>
      </c>
      <c r="I137" s="74">
        <v>1</v>
      </c>
      <c r="J137" s="74">
        <v>906</v>
      </c>
      <c r="K137" s="74">
        <v>0</v>
      </c>
      <c r="L137" s="74">
        <v>906</v>
      </c>
      <c r="M137" s="78">
        <v>1976</v>
      </c>
    </row>
    <row r="138" spans="1:13" ht="15.75" thickBot="1" x14ac:dyDescent="0.3">
      <c r="A138" s="71" t="s">
        <v>708</v>
      </c>
      <c r="B138" s="72" t="s">
        <v>707</v>
      </c>
      <c r="C138" s="71" t="s">
        <v>17</v>
      </c>
      <c r="D138" s="73" t="s">
        <v>20</v>
      </c>
      <c r="E138" s="73" t="s">
        <v>21</v>
      </c>
      <c r="F138" s="74">
        <v>1</v>
      </c>
      <c r="G138" s="74">
        <v>0</v>
      </c>
      <c r="H138" s="74">
        <v>0</v>
      </c>
      <c r="I138" s="74">
        <v>1</v>
      </c>
      <c r="J138" s="74">
        <v>5300</v>
      </c>
      <c r="K138" s="74">
        <v>0</v>
      </c>
      <c r="L138" s="74">
        <v>5300</v>
      </c>
      <c r="M138" s="75">
        <v>1184</v>
      </c>
    </row>
    <row r="139" spans="1:13" ht="15.75" thickBot="1" x14ac:dyDescent="0.3">
      <c r="A139" s="71" t="s">
        <v>720</v>
      </c>
      <c r="B139" s="72" t="s">
        <v>719</v>
      </c>
      <c r="C139" s="71" t="s">
        <v>17</v>
      </c>
      <c r="D139" s="73" t="s">
        <v>20</v>
      </c>
      <c r="E139" s="73" t="s">
        <v>21</v>
      </c>
      <c r="F139" s="74">
        <v>1</v>
      </c>
      <c r="G139" s="74">
        <v>0</v>
      </c>
      <c r="H139" s="74">
        <v>0</v>
      </c>
      <c r="I139" s="74">
        <v>1</v>
      </c>
      <c r="J139" s="74">
        <v>4776</v>
      </c>
      <c r="K139" s="74">
        <v>0</v>
      </c>
      <c r="L139" s="74">
        <v>4776</v>
      </c>
      <c r="M139" s="75">
        <v>1556</v>
      </c>
    </row>
    <row r="140" spans="1:13" ht="15.75" thickBot="1" x14ac:dyDescent="0.3">
      <c r="A140" s="71" t="s">
        <v>728</v>
      </c>
      <c r="B140" s="72" t="s">
        <v>727</v>
      </c>
      <c r="C140" s="71" t="s">
        <v>17</v>
      </c>
      <c r="D140" s="73" t="s">
        <v>20</v>
      </c>
      <c r="E140" s="73" t="s">
        <v>21</v>
      </c>
      <c r="F140" s="74">
        <v>1</v>
      </c>
      <c r="G140" s="74">
        <v>0</v>
      </c>
      <c r="H140" s="74">
        <v>0</v>
      </c>
      <c r="I140" s="74">
        <v>1</v>
      </c>
      <c r="J140" s="74">
        <v>2600</v>
      </c>
      <c r="K140" s="74">
        <v>0</v>
      </c>
      <c r="L140" s="74">
        <v>2600</v>
      </c>
      <c r="M140" s="75">
        <v>1508</v>
      </c>
    </row>
    <row r="141" spans="1:13" ht="15.75" thickBot="1" x14ac:dyDescent="0.3">
      <c r="A141" s="71" t="s">
        <v>736</v>
      </c>
      <c r="B141" s="72" t="s">
        <v>735</v>
      </c>
      <c r="C141" s="71" t="s">
        <v>17</v>
      </c>
      <c r="D141" s="73" t="s">
        <v>61</v>
      </c>
      <c r="E141" s="73" t="s">
        <v>62</v>
      </c>
      <c r="F141" s="74">
        <v>1</v>
      </c>
      <c r="G141" s="74">
        <v>0</v>
      </c>
      <c r="H141" s="74">
        <v>0</v>
      </c>
      <c r="I141" s="74">
        <v>1</v>
      </c>
      <c r="J141" s="74">
        <v>2000</v>
      </c>
      <c r="K141" s="74">
        <v>0</v>
      </c>
      <c r="L141" s="74">
        <v>2000</v>
      </c>
      <c r="M141" s="75">
        <v>2124</v>
      </c>
    </row>
    <row r="142" spans="1:13" ht="15.75" thickBot="1" x14ac:dyDescent="0.3">
      <c r="A142" s="71" t="s">
        <v>744</v>
      </c>
      <c r="B142" s="72" t="s">
        <v>743</v>
      </c>
      <c r="C142" s="71" t="s">
        <v>17</v>
      </c>
      <c r="D142" s="73" t="s">
        <v>61</v>
      </c>
      <c r="E142" s="73" t="s">
        <v>62</v>
      </c>
      <c r="F142" s="74">
        <v>1</v>
      </c>
      <c r="G142" s="74">
        <v>0</v>
      </c>
      <c r="H142" s="74">
        <v>0</v>
      </c>
      <c r="I142" s="74">
        <v>1</v>
      </c>
      <c r="J142" s="74">
        <v>9000</v>
      </c>
      <c r="K142" s="74">
        <v>0</v>
      </c>
      <c r="L142" s="74">
        <v>9000</v>
      </c>
      <c r="M142" s="75">
        <v>2039</v>
      </c>
    </row>
    <row r="143" spans="1:13" ht="15.75" thickBot="1" x14ac:dyDescent="0.3">
      <c r="A143" s="71" t="s">
        <v>758</v>
      </c>
      <c r="B143" s="72" t="s">
        <v>757</v>
      </c>
      <c r="C143" s="71" t="s">
        <v>17</v>
      </c>
      <c r="D143" s="73" t="s">
        <v>20</v>
      </c>
      <c r="E143" s="73" t="s">
        <v>21</v>
      </c>
      <c r="F143" s="74">
        <v>1</v>
      </c>
      <c r="G143" s="74">
        <v>0</v>
      </c>
      <c r="H143" s="74">
        <v>0</v>
      </c>
      <c r="I143" s="74">
        <v>1</v>
      </c>
      <c r="J143" s="74">
        <v>3000</v>
      </c>
      <c r="K143" s="74">
        <v>0</v>
      </c>
      <c r="L143" s="74">
        <v>3000</v>
      </c>
      <c r="M143" s="75">
        <v>1184</v>
      </c>
    </row>
    <row r="144" spans="1:13" ht="15.75" thickBot="1" x14ac:dyDescent="0.3">
      <c r="A144" s="71" t="s">
        <v>764</v>
      </c>
      <c r="B144" s="72" t="s">
        <v>763</v>
      </c>
      <c r="C144" s="71" t="s">
        <v>17</v>
      </c>
      <c r="D144" s="73" t="s">
        <v>15</v>
      </c>
      <c r="E144" s="73" t="s">
        <v>16</v>
      </c>
      <c r="F144" s="74">
        <v>1</v>
      </c>
      <c r="G144" s="74">
        <v>0</v>
      </c>
      <c r="H144" s="74">
        <v>0</v>
      </c>
      <c r="I144" s="74">
        <v>1</v>
      </c>
      <c r="J144" s="74">
        <v>5500</v>
      </c>
      <c r="K144" s="74">
        <v>0</v>
      </c>
      <c r="L144" s="74">
        <v>5500</v>
      </c>
      <c r="M144" s="75">
        <v>1556</v>
      </c>
    </row>
    <row r="145" spans="1:13" ht="15.75" thickBot="1" x14ac:dyDescent="0.3">
      <c r="A145" s="71" t="s">
        <v>774</v>
      </c>
      <c r="B145" s="72" t="s">
        <v>773</v>
      </c>
      <c r="C145" s="71" t="s">
        <v>17</v>
      </c>
      <c r="D145" s="73" t="s">
        <v>20</v>
      </c>
      <c r="E145" s="73" t="s">
        <v>21</v>
      </c>
      <c r="F145" s="74">
        <v>1</v>
      </c>
      <c r="G145" s="74">
        <v>0</v>
      </c>
      <c r="H145" s="74">
        <v>0</v>
      </c>
      <c r="I145" s="74">
        <v>1</v>
      </c>
      <c r="J145" s="74">
        <v>6400</v>
      </c>
      <c r="K145" s="74">
        <v>0</v>
      </c>
      <c r="L145" s="74">
        <v>6400</v>
      </c>
      <c r="M145" s="75">
        <v>2008</v>
      </c>
    </row>
    <row r="146" spans="1:13" ht="15.75" thickBot="1" x14ac:dyDescent="0.3">
      <c r="A146" s="71" t="s">
        <v>784</v>
      </c>
      <c r="B146" s="72" t="s">
        <v>783</v>
      </c>
      <c r="C146" s="71" t="s">
        <v>17</v>
      </c>
      <c r="D146" s="73" t="s">
        <v>20</v>
      </c>
      <c r="E146" s="73" t="s">
        <v>21</v>
      </c>
      <c r="F146" s="74">
        <v>1</v>
      </c>
      <c r="G146" s="74">
        <v>0</v>
      </c>
      <c r="H146" s="74">
        <v>0</v>
      </c>
      <c r="I146" s="74">
        <v>1</v>
      </c>
      <c r="J146" s="74">
        <v>10272</v>
      </c>
      <c r="K146" s="77">
        <v>0</v>
      </c>
      <c r="L146" s="74">
        <v>10272</v>
      </c>
      <c r="M146" s="75">
        <v>2444</v>
      </c>
    </row>
    <row r="147" spans="1:13" ht="15.75" thickBot="1" x14ac:dyDescent="0.3">
      <c r="A147" s="71" t="s">
        <v>802</v>
      </c>
      <c r="B147" s="72" t="s">
        <v>801</v>
      </c>
      <c r="C147" s="71" t="s">
        <v>17</v>
      </c>
      <c r="D147" s="73" t="s">
        <v>20</v>
      </c>
      <c r="E147" s="73" t="s">
        <v>21</v>
      </c>
      <c r="F147" s="74">
        <v>1</v>
      </c>
      <c r="G147" s="74">
        <v>0</v>
      </c>
      <c r="H147" s="74">
        <v>0</v>
      </c>
      <c r="I147" s="74">
        <v>1</v>
      </c>
      <c r="J147" s="74">
        <v>6600</v>
      </c>
      <c r="K147" s="74">
        <v>0</v>
      </c>
      <c r="L147" s="74">
        <v>6600</v>
      </c>
      <c r="M147" s="75">
        <v>2530</v>
      </c>
    </row>
    <row r="148" spans="1:13" ht="15.75" thickBot="1" x14ac:dyDescent="0.3">
      <c r="A148" s="71" t="s">
        <v>24</v>
      </c>
      <c r="B148" s="72" t="s">
        <v>23</v>
      </c>
      <c r="C148" s="71" t="s">
        <v>25</v>
      </c>
      <c r="D148" s="73" t="s">
        <v>20</v>
      </c>
      <c r="E148" s="73" t="s">
        <v>21</v>
      </c>
      <c r="F148" s="74">
        <v>1</v>
      </c>
      <c r="G148" s="74">
        <v>0</v>
      </c>
      <c r="H148" s="74">
        <v>0</v>
      </c>
      <c r="I148" s="74">
        <v>1</v>
      </c>
      <c r="J148" s="74">
        <v>12000</v>
      </c>
      <c r="K148" s="74">
        <v>0</v>
      </c>
      <c r="L148" s="74">
        <v>12000</v>
      </c>
      <c r="M148" s="75">
        <v>1749</v>
      </c>
    </row>
    <row r="149" spans="1:13" ht="15.75" thickBot="1" x14ac:dyDescent="0.3">
      <c r="A149" s="71" t="s">
        <v>27</v>
      </c>
      <c r="B149" s="72" t="s">
        <v>26</v>
      </c>
      <c r="C149" s="71" t="s">
        <v>25</v>
      </c>
      <c r="D149" s="73" t="s">
        <v>20</v>
      </c>
      <c r="E149" s="73" t="s">
        <v>21</v>
      </c>
      <c r="F149" s="74">
        <v>1</v>
      </c>
      <c r="G149" s="74">
        <v>0</v>
      </c>
      <c r="H149" s="74">
        <v>0</v>
      </c>
      <c r="I149" s="74">
        <v>1</v>
      </c>
      <c r="J149" s="74">
        <v>2177</v>
      </c>
      <c r="K149" s="74">
        <v>0</v>
      </c>
      <c r="L149" s="74">
        <v>2177</v>
      </c>
      <c r="M149" s="75">
        <v>1554</v>
      </c>
    </row>
    <row r="150" spans="1:13" ht="15.75" thickBot="1" x14ac:dyDescent="0.3">
      <c r="A150" s="71" t="s">
        <v>29</v>
      </c>
      <c r="B150" s="72" t="s">
        <v>28</v>
      </c>
      <c r="C150" s="71" t="s">
        <v>25</v>
      </c>
      <c r="D150" s="73" t="s">
        <v>15</v>
      </c>
      <c r="E150" s="73" t="s">
        <v>16</v>
      </c>
      <c r="F150" s="74">
        <v>1</v>
      </c>
      <c r="G150" s="74">
        <v>0</v>
      </c>
      <c r="H150" s="74">
        <v>0</v>
      </c>
      <c r="I150" s="74">
        <v>1</v>
      </c>
      <c r="J150" s="74">
        <v>16898</v>
      </c>
      <c r="K150" s="74">
        <v>0</v>
      </c>
      <c r="L150" s="74">
        <v>16898</v>
      </c>
      <c r="M150" s="75">
        <v>2553</v>
      </c>
    </row>
    <row r="151" spans="1:13" ht="15.75" thickBot="1" x14ac:dyDescent="0.3">
      <c r="A151" s="71" t="s">
        <v>31</v>
      </c>
      <c r="B151" s="72" t="s">
        <v>30</v>
      </c>
      <c r="C151" s="71" t="s">
        <v>25</v>
      </c>
      <c r="D151" s="73" t="s">
        <v>15</v>
      </c>
      <c r="E151" s="73" t="s">
        <v>16</v>
      </c>
      <c r="F151" s="74">
        <v>1</v>
      </c>
      <c r="G151" s="74">
        <v>3</v>
      </c>
      <c r="H151" s="74">
        <v>0</v>
      </c>
      <c r="I151" s="74">
        <v>4</v>
      </c>
      <c r="J151" s="74">
        <v>8200</v>
      </c>
      <c r="K151" s="76">
        <v>3600</v>
      </c>
      <c r="L151" s="74">
        <v>11800</v>
      </c>
      <c r="M151" s="75">
        <v>2795</v>
      </c>
    </row>
    <row r="152" spans="1:13" ht="15.75" thickBot="1" x14ac:dyDescent="0.3">
      <c r="A152" s="71" t="s">
        <v>43</v>
      </c>
      <c r="B152" s="72" t="s">
        <v>42</v>
      </c>
      <c r="C152" s="71" t="s">
        <v>25</v>
      </c>
      <c r="D152" s="73" t="s">
        <v>20</v>
      </c>
      <c r="E152" s="73" t="s">
        <v>21</v>
      </c>
      <c r="F152" s="74">
        <v>1</v>
      </c>
      <c r="G152" s="74">
        <v>0</v>
      </c>
      <c r="H152" s="74">
        <v>0</v>
      </c>
      <c r="I152" s="74">
        <v>1</v>
      </c>
      <c r="J152" s="74">
        <v>26000</v>
      </c>
      <c r="K152" s="74">
        <v>0</v>
      </c>
      <c r="L152" s="74">
        <v>26000</v>
      </c>
      <c r="M152" s="75">
        <v>2497</v>
      </c>
    </row>
    <row r="153" spans="1:13" ht="15.75" thickBot="1" x14ac:dyDescent="0.3">
      <c r="A153" s="71" t="s">
        <v>51</v>
      </c>
      <c r="B153" s="72" t="s">
        <v>50</v>
      </c>
      <c r="C153" s="71" t="s">
        <v>25</v>
      </c>
      <c r="D153" s="73" t="s">
        <v>20</v>
      </c>
      <c r="E153" s="73" t="s">
        <v>21</v>
      </c>
      <c r="F153" s="74">
        <v>1</v>
      </c>
      <c r="G153" s="74">
        <v>0</v>
      </c>
      <c r="H153" s="74">
        <v>0</v>
      </c>
      <c r="I153" s="74">
        <v>1</v>
      </c>
      <c r="J153" s="74">
        <v>13600</v>
      </c>
      <c r="K153" s="74">
        <v>0</v>
      </c>
      <c r="L153" s="74">
        <v>13600</v>
      </c>
      <c r="M153" s="75">
        <v>596</v>
      </c>
    </row>
    <row r="154" spans="1:13" ht="15.75" thickBot="1" x14ac:dyDescent="0.3">
      <c r="A154" s="71" t="s">
        <v>66</v>
      </c>
      <c r="B154" s="72" t="s">
        <v>65</v>
      </c>
      <c r="C154" s="71" t="s">
        <v>25</v>
      </c>
      <c r="D154" s="73" t="s">
        <v>15</v>
      </c>
      <c r="E154" s="73" t="s">
        <v>16</v>
      </c>
      <c r="F154" s="74">
        <v>1</v>
      </c>
      <c r="G154" s="74">
        <v>0</v>
      </c>
      <c r="H154" s="74">
        <v>0</v>
      </c>
      <c r="I154" s="74">
        <v>1</v>
      </c>
      <c r="J154" s="74">
        <v>2300</v>
      </c>
      <c r="K154" s="77">
        <v>0</v>
      </c>
      <c r="L154" s="74">
        <v>2300</v>
      </c>
      <c r="M154" s="75">
        <v>2116</v>
      </c>
    </row>
    <row r="155" spans="1:13" ht="15.75" thickBot="1" x14ac:dyDescent="0.3">
      <c r="A155" s="71" t="s">
        <v>76</v>
      </c>
      <c r="B155" s="72" t="s">
        <v>75</v>
      </c>
      <c r="C155" s="71" t="s">
        <v>25</v>
      </c>
      <c r="D155" s="73" t="s">
        <v>15</v>
      </c>
      <c r="E155" s="73" t="s">
        <v>16</v>
      </c>
      <c r="F155" s="74">
        <v>1</v>
      </c>
      <c r="G155" s="74">
        <v>0</v>
      </c>
      <c r="H155" s="74">
        <v>0</v>
      </c>
      <c r="I155" s="74">
        <v>1</v>
      </c>
      <c r="J155" s="74">
        <v>2400</v>
      </c>
      <c r="K155" s="74">
        <v>0</v>
      </c>
      <c r="L155" s="74">
        <v>2400</v>
      </c>
      <c r="M155" s="75">
        <v>2551</v>
      </c>
    </row>
    <row r="156" spans="1:13" ht="15.75" thickBot="1" x14ac:dyDescent="0.3">
      <c r="A156" s="71" t="s">
        <v>96</v>
      </c>
      <c r="B156" s="72" t="s">
        <v>95</v>
      </c>
      <c r="C156" s="71" t="s">
        <v>25</v>
      </c>
      <c r="D156" s="73" t="s">
        <v>61</v>
      </c>
      <c r="E156" s="73" t="s">
        <v>62</v>
      </c>
      <c r="F156" s="74">
        <v>1</v>
      </c>
      <c r="G156" s="74">
        <v>0</v>
      </c>
      <c r="H156" s="74">
        <v>0</v>
      </c>
      <c r="I156" s="74">
        <v>1</v>
      </c>
      <c r="J156" s="74">
        <v>12250</v>
      </c>
      <c r="K156" s="74">
        <v>0</v>
      </c>
      <c r="L156" s="74">
        <v>12250</v>
      </c>
      <c r="M156" s="75">
        <v>2490</v>
      </c>
    </row>
    <row r="157" spans="1:13" ht="15.75" thickBot="1" x14ac:dyDescent="0.3">
      <c r="A157" s="71" t="s">
        <v>106</v>
      </c>
      <c r="B157" s="72" t="s">
        <v>105</v>
      </c>
      <c r="C157" s="71" t="s">
        <v>25</v>
      </c>
      <c r="D157" s="73" t="s">
        <v>20</v>
      </c>
      <c r="E157" s="73" t="s">
        <v>21</v>
      </c>
      <c r="F157" s="74">
        <v>1</v>
      </c>
      <c r="G157" s="74">
        <v>0</v>
      </c>
      <c r="H157" s="74">
        <v>0</v>
      </c>
      <c r="I157" s="74">
        <v>1</v>
      </c>
      <c r="J157" s="74">
        <v>10825</v>
      </c>
      <c r="K157" s="74">
        <v>0</v>
      </c>
      <c r="L157" s="74">
        <v>10825</v>
      </c>
      <c r="M157" s="75">
        <v>1976</v>
      </c>
    </row>
    <row r="158" spans="1:13" ht="15.75" thickBot="1" x14ac:dyDescent="0.3">
      <c r="A158" s="71" t="s">
        <v>110</v>
      </c>
      <c r="B158" s="72" t="s">
        <v>109</v>
      </c>
      <c r="C158" s="71" t="s">
        <v>25</v>
      </c>
      <c r="D158" s="73" t="s">
        <v>111</v>
      </c>
      <c r="E158" s="73" t="s">
        <v>112</v>
      </c>
      <c r="F158" s="74">
        <v>1</v>
      </c>
      <c r="G158" s="74">
        <v>0</v>
      </c>
      <c r="H158" s="74">
        <v>1</v>
      </c>
      <c r="I158" s="74">
        <v>2</v>
      </c>
      <c r="J158" s="74">
        <v>12000</v>
      </c>
      <c r="K158" s="74">
        <v>0</v>
      </c>
      <c r="L158" s="74">
        <v>12000</v>
      </c>
      <c r="M158" s="75">
        <v>3278</v>
      </c>
    </row>
    <row r="159" spans="1:13" ht="15.75" thickBot="1" x14ac:dyDescent="0.3">
      <c r="A159" s="71" t="s">
        <v>128</v>
      </c>
      <c r="B159" s="72" t="s">
        <v>127</v>
      </c>
      <c r="C159" s="71" t="s">
        <v>25</v>
      </c>
      <c r="D159" s="73" t="s">
        <v>20</v>
      </c>
      <c r="E159" s="73" t="s">
        <v>21</v>
      </c>
      <c r="F159" s="74">
        <v>1</v>
      </c>
      <c r="G159" s="74">
        <v>0</v>
      </c>
      <c r="H159" s="74">
        <v>0</v>
      </c>
      <c r="I159" s="74">
        <v>1</v>
      </c>
      <c r="J159" s="74">
        <v>11509</v>
      </c>
      <c r="K159" s="74">
        <v>0</v>
      </c>
      <c r="L159" s="74">
        <v>11509</v>
      </c>
      <c r="M159" s="75">
        <v>2735</v>
      </c>
    </row>
    <row r="160" spans="1:13" ht="15.75" thickBot="1" x14ac:dyDescent="0.3">
      <c r="A160" s="71" t="s">
        <v>130</v>
      </c>
      <c r="B160" s="72" t="s">
        <v>129</v>
      </c>
      <c r="C160" s="71" t="s">
        <v>25</v>
      </c>
      <c r="D160" s="73" t="s">
        <v>20</v>
      </c>
      <c r="E160" s="73" t="s">
        <v>21</v>
      </c>
      <c r="F160" s="74">
        <v>1</v>
      </c>
      <c r="G160" s="74">
        <v>0</v>
      </c>
      <c r="H160" s="74">
        <v>0</v>
      </c>
      <c r="I160" s="74">
        <v>1</v>
      </c>
      <c r="J160" s="74">
        <v>9100</v>
      </c>
      <c r="K160" s="74">
        <v>0</v>
      </c>
      <c r="L160" s="74">
        <v>9100</v>
      </c>
      <c r="M160" s="75">
        <v>2392</v>
      </c>
    </row>
    <row r="161" spans="1:13" ht="15.75" thickBot="1" x14ac:dyDescent="0.3">
      <c r="A161" s="71" t="s">
        <v>136</v>
      </c>
      <c r="B161" s="72" t="s">
        <v>135</v>
      </c>
      <c r="C161" s="71" t="s">
        <v>25</v>
      </c>
      <c r="D161" s="73" t="s">
        <v>20</v>
      </c>
      <c r="E161" s="73" t="s">
        <v>21</v>
      </c>
      <c r="F161" s="74">
        <v>1</v>
      </c>
      <c r="G161" s="74">
        <v>0</v>
      </c>
      <c r="H161" s="74">
        <v>0</v>
      </c>
      <c r="I161" s="74">
        <v>1</v>
      </c>
      <c r="J161" s="74">
        <v>7380</v>
      </c>
      <c r="K161" s="74">
        <v>0</v>
      </c>
      <c r="L161" s="74">
        <v>7380</v>
      </c>
      <c r="M161" s="75">
        <v>2015</v>
      </c>
    </row>
    <row r="162" spans="1:13" ht="15.75" thickBot="1" x14ac:dyDescent="0.3">
      <c r="A162" s="71" t="s">
        <v>144</v>
      </c>
      <c r="B162" s="72" t="s">
        <v>143</v>
      </c>
      <c r="C162" s="71" t="s">
        <v>25</v>
      </c>
      <c r="D162" s="73" t="s">
        <v>15</v>
      </c>
      <c r="E162" s="73" t="s">
        <v>16</v>
      </c>
      <c r="F162" s="74">
        <v>1</v>
      </c>
      <c r="G162" s="74">
        <v>0</v>
      </c>
      <c r="H162" s="74">
        <v>0</v>
      </c>
      <c r="I162" s="74">
        <v>1</v>
      </c>
      <c r="J162" s="74">
        <v>15000</v>
      </c>
      <c r="K162" s="74">
        <v>0</v>
      </c>
      <c r="L162" s="74">
        <v>15000</v>
      </c>
      <c r="M162" s="75">
        <v>3267</v>
      </c>
    </row>
    <row r="163" spans="1:13" ht="15.75" thickBot="1" x14ac:dyDescent="0.3">
      <c r="A163" s="71" t="s">
        <v>148</v>
      </c>
      <c r="B163" s="72" t="s">
        <v>147</v>
      </c>
      <c r="C163" s="71" t="s">
        <v>25</v>
      </c>
      <c r="D163" s="73" t="s">
        <v>20</v>
      </c>
      <c r="E163" s="73" t="s">
        <v>21</v>
      </c>
      <c r="F163" s="74">
        <v>1</v>
      </c>
      <c r="G163" s="74">
        <v>1</v>
      </c>
      <c r="H163" s="74">
        <v>0</v>
      </c>
      <c r="I163" s="74">
        <v>2</v>
      </c>
      <c r="J163" s="74">
        <v>6400</v>
      </c>
      <c r="K163" s="76">
        <v>2610</v>
      </c>
      <c r="L163" s="74">
        <v>9010</v>
      </c>
      <c r="M163" s="75">
        <v>3071</v>
      </c>
    </row>
    <row r="164" spans="1:13" ht="15.75" thickBot="1" x14ac:dyDescent="0.3">
      <c r="A164" s="71" t="s">
        <v>152</v>
      </c>
      <c r="B164" s="72" t="s">
        <v>151</v>
      </c>
      <c r="C164" s="71" t="s">
        <v>25</v>
      </c>
      <c r="D164" s="73" t="s">
        <v>20</v>
      </c>
      <c r="E164" s="73" t="s">
        <v>21</v>
      </c>
      <c r="F164" s="74">
        <v>1</v>
      </c>
      <c r="G164" s="74">
        <v>0</v>
      </c>
      <c r="H164" s="74">
        <v>0</v>
      </c>
      <c r="I164" s="74">
        <v>1</v>
      </c>
      <c r="J164" s="74">
        <v>10016</v>
      </c>
      <c r="K164" s="74">
        <v>0</v>
      </c>
      <c r="L164" s="74">
        <v>10016</v>
      </c>
      <c r="M164" s="75">
        <v>1650</v>
      </c>
    </row>
    <row r="165" spans="1:13" ht="15.75" thickBot="1" x14ac:dyDescent="0.3">
      <c r="A165" s="71" t="s">
        <v>154</v>
      </c>
      <c r="B165" s="72" t="s">
        <v>153</v>
      </c>
      <c r="C165" s="71" t="s">
        <v>25</v>
      </c>
      <c r="D165" s="73" t="s">
        <v>20</v>
      </c>
      <c r="E165" s="73" t="s">
        <v>21</v>
      </c>
      <c r="F165" s="74">
        <v>1</v>
      </c>
      <c r="G165" s="74">
        <v>0</v>
      </c>
      <c r="H165" s="74">
        <v>0</v>
      </c>
      <c r="I165" s="74">
        <v>1</v>
      </c>
      <c r="J165" s="74">
        <v>7940</v>
      </c>
      <c r="K165" s="74">
        <v>0</v>
      </c>
      <c r="L165" s="74">
        <v>7940</v>
      </c>
      <c r="M165" s="75">
        <v>1680</v>
      </c>
    </row>
    <row r="166" spans="1:13" ht="15.75" thickBot="1" x14ac:dyDescent="0.3">
      <c r="A166" s="71" t="s">
        <v>160</v>
      </c>
      <c r="B166" s="72" t="s">
        <v>159</v>
      </c>
      <c r="C166" s="71" t="s">
        <v>25</v>
      </c>
      <c r="D166" s="73" t="s">
        <v>20</v>
      </c>
      <c r="E166" s="73" t="s">
        <v>21</v>
      </c>
      <c r="F166" s="74">
        <v>1</v>
      </c>
      <c r="G166" s="74">
        <v>0</v>
      </c>
      <c r="H166" s="74">
        <v>0</v>
      </c>
      <c r="I166" s="74">
        <v>1</v>
      </c>
      <c r="J166" s="74">
        <v>34000</v>
      </c>
      <c r="K166" s="74">
        <v>0</v>
      </c>
      <c r="L166" s="74">
        <v>34000</v>
      </c>
      <c r="M166" s="75">
        <v>2188</v>
      </c>
    </row>
    <row r="167" spans="1:13" ht="15.75" thickBot="1" x14ac:dyDescent="0.3">
      <c r="A167" s="71" t="s">
        <v>196</v>
      </c>
      <c r="B167" s="72" t="s">
        <v>195</v>
      </c>
      <c r="C167" s="71" t="s">
        <v>25</v>
      </c>
      <c r="D167" s="73" t="s">
        <v>20</v>
      </c>
      <c r="E167" s="73" t="s">
        <v>21</v>
      </c>
      <c r="F167" s="74">
        <v>1</v>
      </c>
      <c r="G167" s="74">
        <v>0</v>
      </c>
      <c r="H167" s="74">
        <v>0</v>
      </c>
      <c r="I167" s="74">
        <v>1</v>
      </c>
      <c r="J167" s="74">
        <v>9200</v>
      </c>
      <c r="K167" s="76">
        <v>0</v>
      </c>
      <c r="L167" s="74">
        <v>9200</v>
      </c>
      <c r="M167" s="75">
        <v>2184</v>
      </c>
    </row>
    <row r="168" spans="1:13" ht="15.75" thickBot="1" x14ac:dyDescent="0.3">
      <c r="A168" s="71" t="s">
        <v>220</v>
      </c>
      <c r="B168" s="72" t="s">
        <v>219</v>
      </c>
      <c r="C168" s="71" t="s">
        <v>25</v>
      </c>
      <c r="D168" s="73" t="s">
        <v>61</v>
      </c>
      <c r="E168" s="73" t="s">
        <v>62</v>
      </c>
      <c r="F168" s="74">
        <v>1</v>
      </c>
      <c r="G168" s="74">
        <v>0</v>
      </c>
      <c r="H168" s="74">
        <v>0</v>
      </c>
      <c r="I168" s="74">
        <v>1</v>
      </c>
      <c r="J168" s="74">
        <v>7680</v>
      </c>
      <c r="K168" s="74">
        <v>0</v>
      </c>
      <c r="L168" s="74">
        <v>7680</v>
      </c>
      <c r="M168" s="75">
        <v>2392</v>
      </c>
    </row>
    <row r="169" spans="1:13" ht="15.75" thickBot="1" x14ac:dyDescent="0.3">
      <c r="A169" s="71" t="s">
        <v>232</v>
      </c>
      <c r="B169" s="72" t="s">
        <v>231</v>
      </c>
      <c r="C169" s="71" t="s">
        <v>25</v>
      </c>
      <c r="D169" s="73" t="s">
        <v>61</v>
      </c>
      <c r="E169" s="73" t="s">
        <v>62</v>
      </c>
      <c r="F169" s="74">
        <v>1</v>
      </c>
      <c r="G169" s="74">
        <v>0</v>
      </c>
      <c r="H169" s="74">
        <v>0</v>
      </c>
      <c r="I169" s="74">
        <v>1</v>
      </c>
      <c r="J169" s="74">
        <v>7100</v>
      </c>
      <c r="K169" s="74">
        <v>0</v>
      </c>
      <c r="L169" s="74">
        <v>7100</v>
      </c>
      <c r="M169" s="75">
        <v>1921</v>
      </c>
    </row>
    <row r="170" spans="1:13" ht="15.75" thickBot="1" x14ac:dyDescent="0.3">
      <c r="A170" s="71" t="s">
        <v>246</v>
      </c>
      <c r="B170" s="72" t="s">
        <v>245</v>
      </c>
      <c r="C170" s="71" t="s">
        <v>25</v>
      </c>
      <c r="D170" s="73" t="s">
        <v>247</v>
      </c>
      <c r="E170" s="73" t="s">
        <v>248</v>
      </c>
      <c r="F170" s="74">
        <v>1</v>
      </c>
      <c r="G170" s="74">
        <v>0</v>
      </c>
      <c r="H170" s="74">
        <v>0</v>
      </c>
      <c r="I170" s="74">
        <v>1</v>
      </c>
      <c r="J170" s="74">
        <v>7320</v>
      </c>
      <c r="K170" s="74">
        <v>0</v>
      </c>
      <c r="L170" s="74">
        <v>7320</v>
      </c>
      <c r="M170" s="75">
        <v>1772</v>
      </c>
    </row>
    <row r="171" spans="1:13" ht="15.75" thickBot="1" x14ac:dyDescent="0.3">
      <c r="A171" s="71" t="s">
        <v>250</v>
      </c>
      <c r="B171" s="72" t="s">
        <v>249</v>
      </c>
      <c r="C171" s="71" t="s">
        <v>25</v>
      </c>
      <c r="D171" s="73" t="s">
        <v>20</v>
      </c>
      <c r="E171" s="73" t="s">
        <v>21</v>
      </c>
      <c r="F171" s="74">
        <v>1</v>
      </c>
      <c r="G171" s="74">
        <v>0</v>
      </c>
      <c r="H171" s="74">
        <v>0</v>
      </c>
      <c r="I171" s="74">
        <v>1</v>
      </c>
      <c r="J171" s="74">
        <v>7696</v>
      </c>
      <c r="K171" s="74">
        <v>0</v>
      </c>
      <c r="L171" s="74">
        <v>7696</v>
      </c>
      <c r="M171" s="75">
        <v>1080</v>
      </c>
    </row>
    <row r="172" spans="1:13" ht="15.75" thickBot="1" x14ac:dyDescent="0.3">
      <c r="A172" s="71" t="s">
        <v>262</v>
      </c>
      <c r="B172" s="72" t="s">
        <v>261</v>
      </c>
      <c r="C172" s="71" t="s">
        <v>25</v>
      </c>
      <c r="D172" s="73" t="s">
        <v>20</v>
      </c>
      <c r="E172" s="73" t="s">
        <v>21</v>
      </c>
      <c r="F172" s="74">
        <v>1</v>
      </c>
      <c r="G172" s="74">
        <v>0</v>
      </c>
      <c r="H172" s="74">
        <v>0</v>
      </c>
      <c r="I172" s="74">
        <v>1</v>
      </c>
      <c r="J172" s="74">
        <v>9065</v>
      </c>
      <c r="K172" s="74">
        <v>0</v>
      </c>
      <c r="L172" s="74">
        <v>9065</v>
      </c>
      <c r="M172" s="75">
        <v>1599</v>
      </c>
    </row>
    <row r="173" spans="1:13" ht="15.75" thickBot="1" x14ac:dyDescent="0.3">
      <c r="A173" s="71" t="s">
        <v>284</v>
      </c>
      <c r="B173" s="72" t="s">
        <v>283</v>
      </c>
      <c r="C173" s="71" t="s">
        <v>25</v>
      </c>
      <c r="D173" s="73" t="s">
        <v>20</v>
      </c>
      <c r="E173" s="73" t="s">
        <v>21</v>
      </c>
      <c r="F173" s="74">
        <v>1</v>
      </c>
      <c r="G173" s="74">
        <v>0</v>
      </c>
      <c r="H173" s="74">
        <v>0</v>
      </c>
      <c r="I173" s="74">
        <v>1</v>
      </c>
      <c r="J173" s="74">
        <v>14400</v>
      </c>
      <c r="K173" s="74">
        <v>0</v>
      </c>
      <c r="L173" s="74">
        <v>14400</v>
      </c>
      <c r="M173" s="75">
        <v>2262</v>
      </c>
    </row>
    <row r="174" spans="1:13" ht="15.75" thickBot="1" x14ac:dyDescent="0.3">
      <c r="A174" s="71" t="s">
        <v>296</v>
      </c>
      <c r="B174" s="72" t="s">
        <v>295</v>
      </c>
      <c r="C174" s="71" t="s">
        <v>25</v>
      </c>
      <c r="D174" s="73" t="s">
        <v>20</v>
      </c>
      <c r="E174" s="73" t="s">
        <v>21</v>
      </c>
      <c r="F174" s="74">
        <v>1</v>
      </c>
      <c r="G174" s="74">
        <v>0</v>
      </c>
      <c r="H174" s="74">
        <v>0</v>
      </c>
      <c r="I174" s="74">
        <v>1</v>
      </c>
      <c r="J174" s="74">
        <v>5400</v>
      </c>
      <c r="K174" s="74">
        <v>0</v>
      </c>
      <c r="L174" s="74">
        <v>5400</v>
      </c>
      <c r="M174" s="75">
        <v>1136</v>
      </c>
    </row>
    <row r="175" spans="1:13" ht="15.75" thickBot="1" x14ac:dyDescent="0.3">
      <c r="A175" s="71" t="s">
        <v>302</v>
      </c>
      <c r="B175" s="72" t="s">
        <v>301</v>
      </c>
      <c r="C175" s="71" t="s">
        <v>25</v>
      </c>
      <c r="D175" s="73" t="s">
        <v>20</v>
      </c>
      <c r="E175" s="73" t="s">
        <v>21</v>
      </c>
      <c r="F175" s="74">
        <v>1</v>
      </c>
      <c r="G175" s="74">
        <v>0</v>
      </c>
      <c r="H175" s="74">
        <v>0</v>
      </c>
      <c r="I175" s="74">
        <v>1</v>
      </c>
      <c r="J175" s="74">
        <v>16800</v>
      </c>
      <c r="K175" s="74">
        <v>0</v>
      </c>
      <c r="L175" s="74">
        <v>16800</v>
      </c>
      <c r="M175" s="75">
        <v>1664</v>
      </c>
    </row>
    <row r="176" spans="1:13" ht="15.75" thickBot="1" x14ac:dyDescent="0.3">
      <c r="A176" s="71" t="s">
        <v>310</v>
      </c>
      <c r="B176" s="72" t="s">
        <v>309</v>
      </c>
      <c r="C176" s="71" t="s">
        <v>25</v>
      </c>
      <c r="D176" s="73" t="s">
        <v>20</v>
      </c>
      <c r="E176" s="73" t="s">
        <v>21</v>
      </c>
      <c r="F176" s="74">
        <v>1</v>
      </c>
      <c r="G176" s="74">
        <v>0</v>
      </c>
      <c r="H176" s="74">
        <v>0</v>
      </c>
      <c r="I176" s="74">
        <v>1</v>
      </c>
      <c r="J176" s="74">
        <v>3562</v>
      </c>
      <c r="K176" s="74">
        <v>0</v>
      </c>
      <c r="L176" s="74">
        <v>3562</v>
      </c>
      <c r="M176" s="75">
        <v>1682</v>
      </c>
    </row>
    <row r="177" spans="1:13" ht="15.75" thickBot="1" x14ac:dyDescent="0.3">
      <c r="A177" s="71" t="s">
        <v>324</v>
      </c>
      <c r="B177" s="72" t="s">
        <v>323</v>
      </c>
      <c r="C177" s="71" t="s">
        <v>25</v>
      </c>
      <c r="D177" s="73" t="s">
        <v>20</v>
      </c>
      <c r="E177" s="73" t="s">
        <v>21</v>
      </c>
      <c r="F177" s="74">
        <v>1</v>
      </c>
      <c r="G177" s="74">
        <v>0</v>
      </c>
      <c r="H177" s="74">
        <v>0</v>
      </c>
      <c r="I177" s="74">
        <v>1</v>
      </c>
      <c r="J177" s="74">
        <v>15000</v>
      </c>
      <c r="K177" s="74">
        <v>0</v>
      </c>
      <c r="L177" s="74">
        <v>15000</v>
      </c>
      <c r="M177" s="75">
        <v>2500</v>
      </c>
    </row>
    <row r="178" spans="1:13" ht="15.75" thickBot="1" x14ac:dyDescent="0.3">
      <c r="A178" s="71" t="s">
        <v>342</v>
      </c>
      <c r="B178" s="72" t="s">
        <v>341</v>
      </c>
      <c r="C178" s="71" t="s">
        <v>25</v>
      </c>
      <c r="D178" s="73" t="s">
        <v>61</v>
      </c>
      <c r="E178" s="73" t="s">
        <v>62</v>
      </c>
      <c r="F178" s="74">
        <v>1</v>
      </c>
      <c r="G178" s="74">
        <v>0</v>
      </c>
      <c r="H178" s="74">
        <v>0</v>
      </c>
      <c r="I178" s="74">
        <v>1</v>
      </c>
      <c r="J178" s="74">
        <v>7000</v>
      </c>
      <c r="K178" s="74">
        <v>0</v>
      </c>
      <c r="L178" s="74">
        <v>7000</v>
      </c>
      <c r="M178" s="75">
        <v>2517</v>
      </c>
    </row>
    <row r="179" spans="1:13" ht="15.75" thickBot="1" x14ac:dyDescent="0.3">
      <c r="A179" s="71" t="s">
        <v>350</v>
      </c>
      <c r="B179" s="72" t="s">
        <v>349</v>
      </c>
      <c r="C179" s="71" t="s">
        <v>25</v>
      </c>
      <c r="D179" s="73" t="s">
        <v>15</v>
      </c>
      <c r="E179" s="73" t="s">
        <v>16</v>
      </c>
      <c r="F179" s="74">
        <v>1</v>
      </c>
      <c r="G179" s="74">
        <v>0</v>
      </c>
      <c r="H179" s="74">
        <v>0</v>
      </c>
      <c r="I179" s="74">
        <v>1</v>
      </c>
      <c r="J179" s="74">
        <v>4150</v>
      </c>
      <c r="K179" s="74">
        <v>0</v>
      </c>
      <c r="L179" s="74">
        <v>4150</v>
      </c>
      <c r="M179" s="75">
        <v>2652</v>
      </c>
    </row>
    <row r="180" spans="1:13" ht="15.75" thickBot="1" x14ac:dyDescent="0.3">
      <c r="A180" s="71" t="s">
        <v>358</v>
      </c>
      <c r="B180" s="72" t="s">
        <v>357</v>
      </c>
      <c r="C180" s="71" t="s">
        <v>25</v>
      </c>
      <c r="D180" s="73" t="s">
        <v>20</v>
      </c>
      <c r="E180" s="73" t="s">
        <v>21</v>
      </c>
      <c r="F180" s="74">
        <v>1</v>
      </c>
      <c r="G180" s="74">
        <v>0</v>
      </c>
      <c r="H180" s="74">
        <v>0</v>
      </c>
      <c r="I180" s="74">
        <v>1</v>
      </c>
      <c r="J180" s="74">
        <v>17060</v>
      </c>
      <c r="K180" s="74">
        <v>0</v>
      </c>
      <c r="L180" s="74">
        <v>17060</v>
      </c>
      <c r="M180" s="75">
        <v>1560</v>
      </c>
    </row>
    <row r="181" spans="1:13" ht="15.75" thickBot="1" x14ac:dyDescent="0.3">
      <c r="A181" s="71" t="s">
        <v>378</v>
      </c>
      <c r="B181" s="72" t="s">
        <v>377</v>
      </c>
      <c r="C181" s="71" t="s">
        <v>25</v>
      </c>
      <c r="D181" s="73" t="s">
        <v>101</v>
      </c>
      <c r="E181" s="73" t="s">
        <v>102</v>
      </c>
      <c r="F181" s="74">
        <v>1</v>
      </c>
      <c r="G181" s="74">
        <v>0</v>
      </c>
      <c r="H181" s="74">
        <v>0</v>
      </c>
      <c r="I181" s="74">
        <v>1</v>
      </c>
      <c r="J181" s="74">
        <v>10952</v>
      </c>
      <c r="K181" s="74">
        <v>0</v>
      </c>
      <c r="L181" s="74">
        <v>10952</v>
      </c>
      <c r="M181" s="75">
        <v>340</v>
      </c>
    </row>
    <row r="182" spans="1:13" ht="15.75" thickBot="1" x14ac:dyDescent="0.3">
      <c r="A182" s="71" t="s">
        <v>410</v>
      </c>
      <c r="B182" s="72" t="s">
        <v>409</v>
      </c>
      <c r="C182" s="71" t="s">
        <v>25</v>
      </c>
      <c r="D182" s="73" t="s">
        <v>20</v>
      </c>
      <c r="E182" s="73" t="s">
        <v>21</v>
      </c>
      <c r="F182" s="74">
        <v>1</v>
      </c>
      <c r="G182" s="74">
        <v>0</v>
      </c>
      <c r="H182" s="74">
        <v>0</v>
      </c>
      <c r="I182" s="74">
        <v>1</v>
      </c>
      <c r="J182" s="74">
        <v>2000</v>
      </c>
      <c r="K182" s="77">
        <v>0</v>
      </c>
      <c r="L182" s="74">
        <v>2000</v>
      </c>
      <c r="M182" s="75">
        <v>1600</v>
      </c>
    </row>
    <row r="183" spans="1:13" ht="15.75" thickBot="1" x14ac:dyDescent="0.3">
      <c r="A183" s="71" t="s">
        <v>408</v>
      </c>
      <c r="B183" s="72" t="s">
        <v>407</v>
      </c>
      <c r="C183" s="71" t="s">
        <v>25</v>
      </c>
      <c r="D183" s="73" t="s">
        <v>20</v>
      </c>
      <c r="E183" s="73" t="s">
        <v>21</v>
      </c>
      <c r="F183" s="74">
        <v>1</v>
      </c>
      <c r="G183" s="74">
        <v>0</v>
      </c>
      <c r="H183" s="74">
        <v>0</v>
      </c>
      <c r="I183" s="74">
        <v>1</v>
      </c>
      <c r="J183" s="74">
        <v>4416</v>
      </c>
      <c r="K183" s="74">
        <v>0</v>
      </c>
      <c r="L183" s="74">
        <v>4416</v>
      </c>
      <c r="M183" s="75">
        <v>912</v>
      </c>
    </row>
    <row r="184" spans="1:13" ht="15.75" thickBot="1" x14ac:dyDescent="0.3">
      <c r="A184" s="71" t="s">
        <v>433</v>
      </c>
      <c r="B184" s="72" t="s">
        <v>432</v>
      </c>
      <c r="C184" s="71" t="s">
        <v>25</v>
      </c>
      <c r="D184" s="73" t="s">
        <v>20</v>
      </c>
      <c r="E184" s="73" t="s">
        <v>21</v>
      </c>
      <c r="F184" s="74">
        <v>1</v>
      </c>
      <c r="G184" s="74">
        <v>0</v>
      </c>
      <c r="H184" s="74">
        <v>0</v>
      </c>
      <c r="I184" s="74">
        <v>1</v>
      </c>
      <c r="J184" s="74">
        <v>2440</v>
      </c>
      <c r="K184" s="74">
        <v>0</v>
      </c>
      <c r="L184" s="74">
        <v>2440</v>
      </c>
      <c r="M184" s="75">
        <v>1854</v>
      </c>
    </row>
    <row r="185" spans="1:13" ht="15.75" thickBot="1" x14ac:dyDescent="0.3">
      <c r="A185" s="71" t="s">
        <v>446</v>
      </c>
      <c r="B185" s="72" t="s">
        <v>445</v>
      </c>
      <c r="C185" s="71" t="s">
        <v>25</v>
      </c>
      <c r="D185" s="73" t="s">
        <v>20</v>
      </c>
      <c r="E185" s="73" t="s">
        <v>21</v>
      </c>
      <c r="F185" s="74">
        <v>1</v>
      </c>
      <c r="G185" s="74">
        <v>0</v>
      </c>
      <c r="H185" s="74">
        <v>0</v>
      </c>
      <c r="I185" s="74">
        <v>1</v>
      </c>
      <c r="J185" s="74">
        <v>7300</v>
      </c>
      <c r="K185" s="77">
        <v>0</v>
      </c>
      <c r="L185" s="74">
        <v>7300</v>
      </c>
      <c r="M185" s="75">
        <v>2600</v>
      </c>
    </row>
    <row r="186" spans="1:13" ht="15.75" thickBot="1" x14ac:dyDescent="0.3">
      <c r="A186" s="71" t="s">
        <v>468</v>
      </c>
      <c r="B186" s="72" t="s">
        <v>467</v>
      </c>
      <c r="C186" s="71" t="s">
        <v>25</v>
      </c>
      <c r="D186" s="73" t="s">
        <v>469</v>
      </c>
      <c r="E186" s="73" t="s">
        <v>470</v>
      </c>
      <c r="F186" s="74">
        <v>1</v>
      </c>
      <c r="G186" s="74">
        <v>0</v>
      </c>
      <c r="H186" s="74">
        <v>0</v>
      </c>
      <c r="I186" s="74">
        <v>1</v>
      </c>
      <c r="J186" s="74">
        <v>5926</v>
      </c>
      <c r="K186" s="74">
        <v>0</v>
      </c>
      <c r="L186" s="74">
        <v>5926</v>
      </c>
      <c r="M186" s="75">
        <v>2296</v>
      </c>
    </row>
    <row r="187" spans="1:13" ht="15.75" thickBot="1" x14ac:dyDescent="0.3">
      <c r="A187" s="71" t="s">
        <v>474</v>
      </c>
      <c r="B187" s="72" t="s">
        <v>473</v>
      </c>
      <c r="C187" s="71" t="s">
        <v>25</v>
      </c>
      <c r="D187" s="73" t="s">
        <v>20</v>
      </c>
      <c r="E187" s="73" t="s">
        <v>21</v>
      </c>
      <c r="F187" s="74">
        <v>1</v>
      </c>
      <c r="G187" s="74">
        <v>0</v>
      </c>
      <c r="H187" s="74">
        <v>0</v>
      </c>
      <c r="I187" s="74">
        <v>1</v>
      </c>
      <c r="J187" s="74">
        <v>7284</v>
      </c>
      <c r="K187" s="74">
        <v>0</v>
      </c>
      <c r="L187" s="74">
        <v>7284</v>
      </c>
      <c r="M187" s="75">
        <v>2600</v>
      </c>
    </row>
    <row r="188" spans="1:13" ht="15.75" thickBot="1" x14ac:dyDescent="0.3">
      <c r="A188" s="71" t="s">
        <v>492</v>
      </c>
      <c r="B188" s="72" t="s">
        <v>491</v>
      </c>
      <c r="C188" s="71" t="s">
        <v>25</v>
      </c>
      <c r="D188" s="73" t="s">
        <v>101</v>
      </c>
      <c r="E188" s="73" t="s">
        <v>102</v>
      </c>
      <c r="F188" s="74">
        <v>1</v>
      </c>
      <c r="G188" s="74">
        <v>0</v>
      </c>
      <c r="H188" s="74">
        <v>0</v>
      </c>
      <c r="I188" s="74">
        <v>1</v>
      </c>
      <c r="J188" s="74">
        <v>6000</v>
      </c>
      <c r="K188" s="74">
        <v>0</v>
      </c>
      <c r="L188" s="74">
        <v>6000</v>
      </c>
      <c r="M188" s="75">
        <v>829</v>
      </c>
    </row>
    <row r="189" spans="1:13" ht="15.75" thickBot="1" x14ac:dyDescent="0.3">
      <c r="A189" s="71" t="s">
        <v>504</v>
      </c>
      <c r="B189" s="72" t="s">
        <v>503</v>
      </c>
      <c r="C189" s="71" t="s">
        <v>25</v>
      </c>
      <c r="D189" s="73" t="s">
        <v>61</v>
      </c>
      <c r="E189" s="73" t="s">
        <v>62</v>
      </c>
      <c r="F189" s="74">
        <v>1</v>
      </c>
      <c r="G189" s="74">
        <v>0</v>
      </c>
      <c r="H189" s="74">
        <v>0</v>
      </c>
      <c r="I189" s="74">
        <v>1</v>
      </c>
      <c r="J189" s="74">
        <v>5520</v>
      </c>
      <c r="K189" s="74">
        <v>0</v>
      </c>
      <c r="L189" s="74">
        <v>5520</v>
      </c>
      <c r="M189" s="75">
        <v>2828</v>
      </c>
    </row>
    <row r="190" spans="1:13" ht="15.75" thickBot="1" x14ac:dyDescent="0.3">
      <c r="A190" s="71" t="s">
        <v>510</v>
      </c>
      <c r="B190" s="72" t="s">
        <v>509</v>
      </c>
      <c r="C190" s="71" t="s">
        <v>25</v>
      </c>
      <c r="D190" s="73" t="s">
        <v>15</v>
      </c>
      <c r="E190" s="73" t="s">
        <v>16</v>
      </c>
      <c r="F190" s="74">
        <v>1</v>
      </c>
      <c r="G190" s="74">
        <v>2</v>
      </c>
      <c r="H190" s="74">
        <v>0</v>
      </c>
      <c r="I190" s="74">
        <v>3</v>
      </c>
      <c r="J190" s="74">
        <v>1808</v>
      </c>
      <c r="K190" s="76">
        <v>9024</v>
      </c>
      <c r="L190" s="74">
        <v>10832</v>
      </c>
      <c r="M190" s="75">
        <v>6240</v>
      </c>
    </row>
    <row r="191" spans="1:13" ht="15.75" thickBot="1" x14ac:dyDescent="0.3">
      <c r="A191" s="71" t="s">
        <v>520</v>
      </c>
      <c r="B191" s="72" t="s">
        <v>519</v>
      </c>
      <c r="C191" s="71" t="s">
        <v>25</v>
      </c>
      <c r="D191" s="73" t="s">
        <v>20</v>
      </c>
      <c r="E191" s="73" t="s">
        <v>21</v>
      </c>
      <c r="F191" s="74">
        <v>1</v>
      </c>
      <c r="G191" s="74">
        <v>0</v>
      </c>
      <c r="H191" s="74">
        <v>0</v>
      </c>
      <c r="I191" s="74">
        <v>1</v>
      </c>
      <c r="J191" s="74">
        <v>4690</v>
      </c>
      <c r="K191" s="74">
        <v>0</v>
      </c>
      <c r="L191" s="74">
        <v>4690</v>
      </c>
      <c r="M191" s="75">
        <v>1433</v>
      </c>
    </row>
    <row r="192" spans="1:13" ht="15.75" thickBot="1" x14ac:dyDescent="0.3">
      <c r="A192" s="71" t="s">
        <v>524</v>
      </c>
      <c r="B192" s="72" t="s">
        <v>523</v>
      </c>
      <c r="C192" s="71" t="s">
        <v>25</v>
      </c>
      <c r="D192" s="73" t="s">
        <v>15</v>
      </c>
      <c r="E192" s="73" t="s">
        <v>16</v>
      </c>
      <c r="F192" s="74">
        <v>1</v>
      </c>
      <c r="G192" s="74">
        <v>0</v>
      </c>
      <c r="H192" s="74">
        <v>0</v>
      </c>
      <c r="I192" s="74">
        <v>1</v>
      </c>
      <c r="J192" s="74">
        <v>4169</v>
      </c>
      <c r="K192" s="74">
        <v>0</v>
      </c>
      <c r="L192" s="74">
        <v>4169</v>
      </c>
      <c r="M192" s="75">
        <v>2250</v>
      </c>
    </row>
    <row r="193" spans="1:13" ht="15.75" thickBot="1" x14ac:dyDescent="0.3">
      <c r="A193" s="71" t="s">
        <v>536</v>
      </c>
      <c r="B193" s="72" t="s">
        <v>535</v>
      </c>
      <c r="C193" s="71" t="s">
        <v>25</v>
      </c>
      <c r="D193" s="73" t="s">
        <v>20</v>
      </c>
      <c r="E193" s="73" t="s">
        <v>21</v>
      </c>
      <c r="F193" s="74">
        <v>1</v>
      </c>
      <c r="G193" s="74">
        <v>0</v>
      </c>
      <c r="H193" s="74">
        <v>0</v>
      </c>
      <c r="I193" s="74">
        <v>1</v>
      </c>
      <c r="J193" s="74">
        <v>4300</v>
      </c>
      <c r="K193" s="74">
        <v>0</v>
      </c>
      <c r="L193" s="74">
        <v>4300</v>
      </c>
      <c r="M193" s="75">
        <v>1938</v>
      </c>
    </row>
    <row r="194" spans="1:13" ht="15.75" thickBot="1" x14ac:dyDescent="0.3">
      <c r="A194" s="71" t="s">
        <v>554</v>
      </c>
      <c r="B194" s="72" t="s">
        <v>553</v>
      </c>
      <c r="C194" s="71" t="s">
        <v>25</v>
      </c>
      <c r="D194" s="73" t="s">
        <v>15</v>
      </c>
      <c r="E194" s="73" t="s">
        <v>16</v>
      </c>
      <c r="F194" s="74">
        <v>1</v>
      </c>
      <c r="G194" s="74">
        <v>1</v>
      </c>
      <c r="H194" s="74">
        <v>0</v>
      </c>
      <c r="I194" s="74">
        <v>2</v>
      </c>
      <c r="J194" s="74">
        <v>5800</v>
      </c>
      <c r="K194" s="76">
        <v>2500</v>
      </c>
      <c r="L194" s="74">
        <v>8300</v>
      </c>
      <c r="M194" s="75">
        <v>3666</v>
      </c>
    </row>
    <row r="195" spans="1:13" ht="15.75" thickBot="1" x14ac:dyDescent="0.3">
      <c r="A195" s="71" t="s">
        <v>564</v>
      </c>
      <c r="B195" s="72" t="s">
        <v>563</v>
      </c>
      <c r="C195" s="71" t="s">
        <v>25</v>
      </c>
      <c r="D195" s="73" t="s">
        <v>101</v>
      </c>
      <c r="E195" s="73" t="s">
        <v>102</v>
      </c>
      <c r="F195" s="74">
        <v>1</v>
      </c>
      <c r="G195" s="74">
        <v>0</v>
      </c>
      <c r="H195" s="74">
        <v>0</v>
      </c>
      <c r="I195" s="74">
        <v>1</v>
      </c>
      <c r="J195" s="74">
        <v>17350</v>
      </c>
      <c r="K195" s="74">
        <v>0</v>
      </c>
      <c r="L195" s="74">
        <v>17350</v>
      </c>
      <c r="M195" s="75">
        <v>1824</v>
      </c>
    </row>
    <row r="196" spans="1:13" ht="15.75" thickBot="1" x14ac:dyDescent="0.3">
      <c r="A196" s="71" t="s">
        <v>568</v>
      </c>
      <c r="B196" s="72" t="s">
        <v>567</v>
      </c>
      <c r="C196" s="71" t="s">
        <v>25</v>
      </c>
      <c r="D196" s="73" t="s">
        <v>61</v>
      </c>
      <c r="E196" s="73" t="s">
        <v>62</v>
      </c>
      <c r="F196" s="74">
        <v>1</v>
      </c>
      <c r="G196" s="74">
        <v>0</v>
      </c>
      <c r="H196" s="74">
        <v>0</v>
      </c>
      <c r="I196" s="74">
        <v>1</v>
      </c>
      <c r="J196" s="74">
        <v>12000</v>
      </c>
      <c r="K196" s="74">
        <v>0</v>
      </c>
      <c r="L196" s="74">
        <v>12000</v>
      </c>
      <c r="M196" s="75">
        <v>1934</v>
      </c>
    </row>
    <row r="197" spans="1:13" ht="15.75" thickBot="1" x14ac:dyDescent="0.3">
      <c r="A197" s="71" t="s">
        <v>576</v>
      </c>
      <c r="B197" s="72" t="s">
        <v>575</v>
      </c>
      <c r="C197" s="71" t="s">
        <v>25</v>
      </c>
      <c r="D197" s="73" t="s">
        <v>20</v>
      </c>
      <c r="E197" s="73" t="s">
        <v>21</v>
      </c>
      <c r="F197" s="74">
        <v>1</v>
      </c>
      <c r="G197" s="74">
        <v>0</v>
      </c>
      <c r="H197" s="74">
        <v>0</v>
      </c>
      <c r="I197" s="74">
        <v>1</v>
      </c>
      <c r="J197" s="74">
        <v>20000</v>
      </c>
      <c r="K197" s="74">
        <v>0</v>
      </c>
      <c r="L197" s="74">
        <v>20000</v>
      </c>
      <c r="M197" s="75">
        <v>2288</v>
      </c>
    </row>
    <row r="198" spans="1:13" ht="15.75" thickBot="1" x14ac:dyDescent="0.3">
      <c r="A198" s="71" t="s">
        <v>584</v>
      </c>
      <c r="B198" s="72" t="s">
        <v>583</v>
      </c>
      <c r="C198" s="71" t="s">
        <v>25</v>
      </c>
      <c r="D198" s="73" t="s">
        <v>15</v>
      </c>
      <c r="E198" s="73" t="s">
        <v>16</v>
      </c>
      <c r="F198" s="74">
        <v>1</v>
      </c>
      <c r="G198" s="74">
        <v>0</v>
      </c>
      <c r="H198" s="74">
        <v>0</v>
      </c>
      <c r="I198" s="74">
        <v>1</v>
      </c>
      <c r="J198" s="74">
        <v>14321</v>
      </c>
      <c r="K198" s="74">
        <v>0</v>
      </c>
      <c r="L198" s="74">
        <v>14321</v>
      </c>
      <c r="M198" s="75">
        <v>2600</v>
      </c>
    </row>
    <row r="199" spans="1:13" ht="15.75" thickBot="1" x14ac:dyDescent="0.3">
      <c r="A199" s="71" t="s">
        <v>610</v>
      </c>
      <c r="B199" s="72" t="s">
        <v>609</v>
      </c>
      <c r="C199" s="71" t="s">
        <v>25</v>
      </c>
      <c r="D199" s="73" t="s">
        <v>15</v>
      </c>
      <c r="E199" s="73" t="s">
        <v>16</v>
      </c>
      <c r="F199" s="74">
        <v>1</v>
      </c>
      <c r="G199" s="74">
        <v>0</v>
      </c>
      <c r="H199" s="74">
        <v>0</v>
      </c>
      <c r="I199" s="74">
        <v>1</v>
      </c>
      <c r="J199" s="74">
        <v>7500</v>
      </c>
      <c r="K199" s="74">
        <v>0</v>
      </c>
      <c r="L199" s="74">
        <v>7500</v>
      </c>
      <c r="M199" s="75">
        <v>3120</v>
      </c>
    </row>
    <row r="200" spans="1:13" ht="15.75" thickBot="1" x14ac:dyDescent="0.3">
      <c r="A200" s="71" t="s">
        <v>618</v>
      </c>
      <c r="B200" s="72" t="s">
        <v>617</v>
      </c>
      <c r="C200" s="71" t="s">
        <v>25</v>
      </c>
      <c r="D200" s="73" t="s">
        <v>20</v>
      </c>
      <c r="E200" s="73" t="s">
        <v>21</v>
      </c>
      <c r="F200" s="74">
        <v>1</v>
      </c>
      <c r="G200" s="74">
        <v>0</v>
      </c>
      <c r="H200" s="74">
        <v>0</v>
      </c>
      <c r="I200" s="74">
        <v>1</v>
      </c>
      <c r="J200" s="74">
        <v>4649</v>
      </c>
      <c r="K200" s="74">
        <v>0</v>
      </c>
      <c r="L200" s="74">
        <v>4649</v>
      </c>
      <c r="M200" s="75">
        <v>1856</v>
      </c>
    </row>
    <row r="201" spans="1:13" ht="15.75" thickBot="1" x14ac:dyDescent="0.3">
      <c r="A201" s="71" t="s">
        <v>626</v>
      </c>
      <c r="B201" s="72" t="s">
        <v>625</v>
      </c>
      <c r="C201" s="71" t="s">
        <v>25</v>
      </c>
      <c r="D201" s="73" t="s">
        <v>101</v>
      </c>
      <c r="E201" s="73" t="s">
        <v>102</v>
      </c>
      <c r="F201" s="74">
        <v>1</v>
      </c>
      <c r="G201" s="74">
        <v>0</v>
      </c>
      <c r="H201" s="74">
        <v>0</v>
      </c>
      <c r="I201" s="74">
        <v>1</v>
      </c>
      <c r="J201" s="74">
        <v>11000</v>
      </c>
      <c r="K201" s="74">
        <v>0</v>
      </c>
      <c r="L201" s="74">
        <v>11000</v>
      </c>
      <c r="M201" s="75">
        <v>1186</v>
      </c>
    </row>
    <row r="202" spans="1:13" ht="15.75" thickBot="1" x14ac:dyDescent="0.3">
      <c r="A202" s="71" t="s">
        <v>634</v>
      </c>
      <c r="B202" s="72" t="s">
        <v>633</v>
      </c>
      <c r="C202" s="71" t="s">
        <v>25</v>
      </c>
      <c r="D202" s="73" t="s">
        <v>20</v>
      </c>
      <c r="E202" s="73" t="s">
        <v>21</v>
      </c>
      <c r="F202" s="74">
        <v>1</v>
      </c>
      <c r="G202" s="74">
        <v>0</v>
      </c>
      <c r="H202" s="74">
        <v>0</v>
      </c>
      <c r="I202" s="74">
        <v>1</v>
      </c>
      <c r="J202" s="74">
        <v>6400</v>
      </c>
      <c r="K202" s="74">
        <v>0</v>
      </c>
      <c r="L202" s="74">
        <v>6400</v>
      </c>
      <c r="M202" s="75">
        <v>1072</v>
      </c>
    </row>
    <row r="203" spans="1:13" ht="15.75" thickBot="1" x14ac:dyDescent="0.3">
      <c r="A203" s="71" t="s">
        <v>650</v>
      </c>
      <c r="B203" s="72" t="s">
        <v>649</v>
      </c>
      <c r="C203" s="71" t="s">
        <v>25</v>
      </c>
      <c r="D203" s="73" t="s">
        <v>15</v>
      </c>
      <c r="E203" s="73" t="s">
        <v>16</v>
      </c>
      <c r="F203" s="74">
        <v>1</v>
      </c>
      <c r="G203" s="74">
        <v>1</v>
      </c>
      <c r="H203" s="74">
        <v>0</v>
      </c>
      <c r="I203" s="74">
        <v>2</v>
      </c>
      <c r="J203" s="74">
        <v>9400</v>
      </c>
      <c r="K203" s="76">
        <v>800</v>
      </c>
      <c r="L203" s="74">
        <v>10200</v>
      </c>
      <c r="M203" s="75">
        <v>3340</v>
      </c>
    </row>
    <row r="204" spans="1:13" ht="15.75" thickBot="1" x14ac:dyDescent="0.3">
      <c r="A204" s="71" t="s">
        <v>652</v>
      </c>
      <c r="B204" s="72" t="s">
        <v>651</v>
      </c>
      <c r="C204" s="71" t="s">
        <v>25</v>
      </c>
      <c r="D204" s="73" t="s">
        <v>61</v>
      </c>
      <c r="E204" s="73" t="s">
        <v>62</v>
      </c>
      <c r="F204" s="74">
        <v>1</v>
      </c>
      <c r="G204" s="74">
        <v>0</v>
      </c>
      <c r="H204" s="74">
        <v>0</v>
      </c>
      <c r="I204" s="74">
        <v>1</v>
      </c>
      <c r="J204" s="74">
        <v>7986</v>
      </c>
      <c r="K204" s="74">
        <v>0</v>
      </c>
      <c r="L204" s="74">
        <v>7986</v>
      </c>
      <c r="M204" s="75">
        <v>2089</v>
      </c>
    </row>
    <row r="205" spans="1:13" ht="15.75" thickBot="1" x14ac:dyDescent="0.3">
      <c r="A205" s="71" t="s">
        <v>660</v>
      </c>
      <c r="B205" s="72" t="s">
        <v>659</v>
      </c>
      <c r="C205" s="71" t="s">
        <v>25</v>
      </c>
      <c r="D205" s="73" t="s">
        <v>20</v>
      </c>
      <c r="E205" s="73" t="s">
        <v>21</v>
      </c>
      <c r="F205" s="74">
        <v>1</v>
      </c>
      <c r="G205" s="74">
        <v>0</v>
      </c>
      <c r="H205" s="74">
        <v>0</v>
      </c>
      <c r="I205" s="74">
        <v>1</v>
      </c>
      <c r="J205" s="74">
        <v>5600</v>
      </c>
      <c r="K205" s="74">
        <v>0</v>
      </c>
      <c r="L205" s="74">
        <v>5600</v>
      </c>
      <c r="M205" s="75">
        <v>2155</v>
      </c>
    </row>
    <row r="206" spans="1:13" ht="15.75" thickBot="1" x14ac:dyDescent="0.3">
      <c r="A206" s="71" t="s">
        <v>666</v>
      </c>
      <c r="B206" s="72" t="s">
        <v>665</v>
      </c>
      <c r="C206" s="71" t="s">
        <v>25</v>
      </c>
      <c r="D206" s="73" t="s">
        <v>15</v>
      </c>
      <c r="E206" s="73" t="s">
        <v>16</v>
      </c>
      <c r="F206" s="74">
        <v>1</v>
      </c>
      <c r="G206" s="74">
        <v>0</v>
      </c>
      <c r="H206" s="74">
        <v>0</v>
      </c>
      <c r="I206" s="74">
        <v>1</v>
      </c>
      <c r="J206" s="74">
        <v>7500</v>
      </c>
      <c r="K206" s="74">
        <v>0</v>
      </c>
      <c r="L206" s="74">
        <v>7500</v>
      </c>
      <c r="M206" s="75">
        <v>2476</v>
      </c>
    </row>
    <row r="207" spans="1:13" ht="15.75" thickBot="1" x14ac:dyDescent="0.3">
      <c r="A207" s="71" t="s">
        <v>670</v>
      </c>
      <c r="B207" s="72" t="s">
        <v>669</v>
      </c>
      <c r="C207" s="71" t="s">
        <v>25</v>
      </c>
      <c r="D207" s="73" t="s">
        <v>101</v>
      </c>
      <c r="E207" s="73" t="s">
        <v>102</v>
      </c>
      <c r="F207" s="74">
        <v>1</v>
      </c>
      <c r="G207" s="74">
        <v>1</v>
      </c>
      <c r="H207" s="74">
        <v>0</v>
      </c>
      <c r="I207" s="74">
        <v>2</v>
      </c>
      <c r="J207" s="74">
        <v>5537</v>
      </c>
      <c r="K207" s="76">
        <v>3600</v>
      </c>
      <c r="L207" s="74">
        <v>9137</v>
      </c>
      <c r="M207" s="75">
        <v>2854</v>
      </c>
    </row>
    <row r="208" spans="1:13" ht="15.75" thickBot="1" x14ac:dyDescent="0.3">
      <c r="A208" s="71" t="s">
        <v>676</v>
      </c>
      <c r="B208" s="72" t="s">
        <v>675</v>
      </c>
      <c r="C208" s="71" t="s">
        <v>25</v>
      </c>
      <c r="D208" s="73" t="s">
        <v>101</v>
      </c>
      <c r="E208" s="73" t="s">
        <v>102</v>
      </c>
      <c r="F208" s="74">
        <v>1</v>
      </c>
      <c r="G208" s="74">
        <v>0</v>
      </c>
      <c r="H208" s="74">
        <v>0</v>
      </c>
      <c r="I208" s="74">
        <v>1</v>
      </c>
      <c r="J208" s="74">
        <v>6900</v>
      </c>
      <c r="K208" s="74">
        <v>0</v>
      </c>
      <c r="L208" s="74">
        <v>6900</v>
      </c>
      <c r="M208" s="75">
        <v>2008</v>
      </c>
    </row>
    <row r="209" spans="1:13" ht="15.75" thickBot="1" x14ac:dyDescent="0.3">
      <c r="A209" s="71" t="s">
        <v>682</v>
      </c>
      <c r="B209" s="72" t="s">
        <v>681</v>
      </c>
      <c r="C209" s="71" t="s">
        <v>25</v>
      </c>
      <c r="D209" s="73" t="s">
        <v>253</v>
      </c>
      <c r="E209" s="73" t="s">
        <v>254</v>
      </c>
      <c r="F209" s="74">
        <v>1</v>
      </c>
      <c r="G209" s="74">
        <v>0</v>
      </c>
      <c r="H209" s="74">
        <v>0</v>
      </c>
      <c r="I209" s="74">
        <v>1</v>
      </c>
      <c r="J209" s="74">
        <v>8679</v>
      </c>
      <c r="K209" s="74">
        <v>0</v>
      </c>
      <c r="L209" s="74">
        <v>8679</v>
      </c>
      <c r="M209" s="75">
        <v>2640</v>
      </c>
    </row>
    <row r="210" spans="1:13" ht="15.75" thickBot="1" x14ac:dyDescent="0.3">
      <c r="A210" s="71" t="s">
        <v>694</v>
      </c>
      <c r="B210" s="72" t="s">
        <v>693</v>
      </c>
      <c r="C210" s="71" t="s">
        <v>25</v>
      </c>
      <c r="D210" s="73" t="s">
        <v>20</v>
      </c>
      <c r="E210" s="73" t="s">
        <v>21</v>
      </c>
      <c r="F210" s="74">
        <v>1</v>
      </c>
      <c r="G210" s="74">
        <v>0</v>
      </c>
      <c r="H210" s="74">
        <v>0</v>
      </c>
      <c r="I210" s="74">
        <v>1</v>
      </c>
      <c r="J210" s="74">
        <v>11000</v>
      </c>
      <c r="K210" s="74">
        <v>0</v>
      </c>
      <c r="L210" s="74">
        <v>11000</v>
      </c>
      <c r="M210" s="75">
        <v>2808</v>
      </c>
    </row>
    <row r="211" spans="1:13" ht="15.75" thickBot="1" x14ac:dyDescent="0.3">
      <c r="A211" s="71" t="s">
        <v>700</v>
      </c>
      <c r="B211" s="72" t="s">
        <v>699</v>
      </c>
      <c r="C211" s="71" t="s">
        <v>25</v>
      </c>
      <c r="D211" s="73" t="s">
        <v>61</v>
      </c>
      <c r="E211" s="73" t="s">
        <v>62</v>
      </c>
      <c r="F211" s="74">
        <v>1</v>
      </c>
      <c r="G211" s="74">
        <v>0</v>
      </c>
      <c r="H211" s="74">
        <v>0</v>
      </c>
      <c r="I211" s="74">
        <v>1</v>
      </c>
      <c r="J211" s="74">
        <v>8540</v>
      </c>
      <c r="K211" s="74">
        <v>0</v>
      </c>
      <c r="L211" s="74">
        <v>8540</v>
      </c>
      <c r="M211" s="75">
        <v>2340</v>
      </c>
    </row>
    <row r="212" spans="1:13" ht="15.75" thickBot="1" x14ac:dyDescent="0.3">
      <c r="A212" s="71" t="s">
        <v>702</v>
      </c>
      <c r="B212" s="72" t="s">
        <v>701</v>
      </c>
      <c r="C212" s="71" t="s">
        <v>25</v>
      </c>
      <c r="D212" s="73" t="s">
        <v>20</v>
      </c>
      <c r="E212" s="73" t="s">
        <v>21</v>
      </c>
      <c r="F212" s="74">
        <v>1</v>
      </c>
      <c r="G212" s="74">
        <v>0</v>
      </c>
      <c r="H212" s="74">
        <v>0</v>
      </c>
      <c r="I212" s="74">
        <v>1</v>
      </c>
      <c r="J212" s="74">
        <v>17000</v>
      </c>
      <c r="K212" s="74">
        <v>0</v>
      </c>
      <c r="L212" s="74">
        <v>17000</v>
      </c>
      <c r="M212" s="75">
        <v>1805</v>
      </c>
    </row>
    <row r="213" spans="1:13" ht="15.75" thickBot="1" x14ac:dyDescent="0.3">
      <c r="A213" s="71" t="s">
        <v>718</v>
      </c>
      <c r="B213" s="72" t="s">
        <v>717</v>
      </c>
      <c r="C213" s="71" t="s">
        <v>25</v>
      </c>
      <c r="D213" s="73" t="s">
        <v>20</v>
      </c>
      <c r="E213" s="73" t="s">
        <v>21</v>
      </c>
      <c r="F213" s="74">
        <v>1</v>
      </c>
      <c r="G213" s="74">
        <v>0</v>
      </c>
      <c r="H213" s="74">
        <v>0</v>
      </c>
      <c r="I213" s="74">
        <v>1</v>
      </c>
      <c r="J213" s="74">
        <v>6328</v>
      </c>
      <c r="K213" s="74">
        <v>0</v>
      </c>
      <c r="L213" s="74">
        <v>6328</v>
      </c>
      <c r="M213" s="75">
        <v>2600</v>
      </c>
    </row>
    <row r="214" spans="1:13" ht="15.75" thickBot="1" x14ac:dyDescent="0.3">
      <c r="A214" s="71" t="s">
        <v>722</v>
      </c>
      <c r="B214" s="72" t="s">
        <v>721</v>
      </c>
      <c r="C214" s="71" t="s">
        <v>25</v>
      </c>
      <c r="D214" s="73" t="s">
        <v>20</v>
      </c>
      <c r="E214" s="73" t="s">
        <v>21</v>
      </c>
      <c r="F214" s="74">
        <v>1</v>
      </c>
      <c r="G214" s="74">
        <v>0</v>
      </c>
      <c r="H214" s="74">
        <v>0</v>
      </c>
      <c r="I214" s="74">
        <v>1</v>
      </c>
      <c r="J214" s="74">
        <v>4472</v>
      </c>
      <c r="K214" s="74">
        <v>0</v>
      </c>
      <c r="L214" s="74">
        <v>4472</v>
      </c>
      <c r="M214" s="75">
        <v>2205</v>
      </c>
    </row>
    <row r="215" spans="1:13" ht="15.75" thickBot="1" x14ac:dyDescent="0.3">
      <c r="A215" s="71" t="s">
        <v>724</v>
      </c>
      <c r="B215" s="72" t="s">
        <v>723</v>
      </c>
      <c r="C215" s="71" t="s">
        <v>25</v>
      </c>
      <c r="D215" s="73" t="s">
        <v>20</v>
      </c>
      <c r="E215" s="73" t="s">
        <v>21</v>
      </c>
      <c r="F215" s="74">
        <v>1</v>
      </c>
      <c r="G215" s="74">
        <v>0</v>
      </c>
      <c r="H215" s="74">
        <v>0</v>
      </c>
      <c r="I215" s="74">
        <v>1</v>
      </c>
      <c r="J215" s="74">
        <v>15000</v>
      </c>
      <c r="K215" s="77">
        <v>0</v>
      </c>
      <c r="L215" s="74">
        <v>15000</v>
      </c>
      <c r="M215" s="75">
        <v>1799</v>
      </c>
    </row>
    <row r="216" spans="1:13" ht="15.75" thickBot="1" x14ac:dyDescent="0.3">
      <c r="A216" s="71" t="s">
        <v>734</v>
      </c>
      <c r="B216" s="72" t="s">
        <v>733</v>
      </c>
      <c r="C216" s="71" t="s">
        <v>25</v>
      </c>
      <c r="D216" s="73" t="s">
        <v>20</v>
      </c>
      <c r="E216" s="73" t="s">
        <v>21</v>
      </c>
      <c r="F216" s="74">
        <v>1</v>
      </c>
      <c r="G216" s="74">
        <v>0</v>
      </c>
      <c r="H216" s="74">
        <v>0</v>
      </c>
      <c r="I216" s="74">
        <v>1</v>
      </c>
      <c r="J216" s="74">
        <v>5800</v>
      </c>
      <c r="K216" s="74">
        <v>0</v>
      </c>
      <c r="L216" s="74">
        <v>5800</v>
      </c>
      <c r="M216" s="75">
        <v>1869</v>
      </c>
    </row>
    <row r="217" spans="1:13" ht="15.75" thickBot="1" x14ac:dyDescent="0.3">
      <c r="A217" s="71" t="s">
        <v>738</v>
      </c>
      <c r="B217" s="72" t="s">
        <v>737</v>
      </c>
      <c r="C217" s="71" t="s">
        <v>25</v>
      </c>
      <c r="D217" s="73" t="s">
        <v>61</v>
      </c>
      <c r="E217" s="73" t="s">
        <v>62</v>
      </c>
      <c r="F217" s="74">
        <v>1</v>
      </c>
      <c r="G217" s="74">
        <v>0</v>
      </c>
      <c r="H217" s="74">
        <v>0</v>
      </c>
      <c r="I217" s="74">
        <v>1</v>
      </c>
      <c r="J217" s="74">
        <v>14360</v>
      </c>
      <c r="K217" s="74">
        <v>0</v>
      </c>
      <c r="L217" s="74">
        <v>14360</v>
      </c>
      <c r="M217" s="75">
        <v>2736</v>
      </c>
    </row>
    <row r="218" spans="1:13" ht="15.75" thickBot="1" x14ac:dyDescent="0.3">
      <c r="A218" s="71" t="s">
        <v>740</v>
      </c>
      <c r="B218" s="72" t="s">
        <v>739</v>
      </c>
      <c r="C218" s="71" t="s">
        <v>25</v>
      </c>
      <c r="D218" s="73" t="s">
        <v>20</v>
      </c>
      <c r="E218" s="73" t="s">
        <v>21</v>
      </c>
      <c r="F218" s="74">
        <v>1</v>
      </c>
      <c r="G218" s="74">
        <v>0</v>
      </c>
      <c r="H218" s="74">
        <v>0</v>
      </c>
      <c r="I218" s="74">
        <v>1</v>
      </c>
      <c r="J218" s="74">
        <v>6000</v>
      </c>
      <c r="K218" s="74">
        <v>0</v>
      </c>
      <c r="L218" s="74">
        <v>6000</v>
      </c>
      <c r="M218" s="75">
        <v>2252</v>
      </c>
    </row>
    <row r="219" spans="1:13" ht="15.75" thickBot="1" x14ac:dyDescent="0.3">
      <c r="A219" s="71" t="s">
        <v>748</v>
      </c>
      <c r="B219" s="72" t="s">
        <v>747</v>
      </c>
      <c r="C219" s="71" t="s">
        <v>25</v>
      </c>
      <c r="D219" s="73" t="s">
        <v>61</v>
      </c>
      <c r="E219" s="73" t="s">
        <v>62</v>
      </c>
      <c r="F219" s="74">
        <v>1</v>
      </c>
      <c r="G219" s="74">
        <v>0</v>
      </c>
      <c r="H219" s="74">
        <v>0</v>
      </c>
      <c r="I219" s="74">
        <v>1</v>
      </c>
      <c r="J219" s="74">
        <v>9200</v>
      </c>
      <c r="K219" s="74">
        <v>0</v>
      </c>
      <c r="L219" s="74">
        <v>9200</v>
      </c>
      <c r="M219" s="75">
        <v>2250</v>
      </c>
    </row>
    <row r="220" spans="1:13" ht="15.75" thickBot="1" x14ac:dyDescent="0.3">
      <c r="A220" s="71" t="s">
        <v>776</v>
      </c>
      <c r="B220" s="72" t="s">
        <v>775</v>
      </c>
      <c r="C220" s="71" t="s">
        <v>25</v>
      </c>
      <c r="D220" s="73" t="s">
        <v>20</v>
      </c>
      <c r="E220" s="73" t="s">
        <v>21</v>
      </c>
      <c r="F220" s="74">
        <v>1</v>
      </c>
      <c r="G220" s="74">
        <v>0</v>
      </c>
      <c r="H220" s="74">
        <v>0</v>
      </c>
      <c r="I220" s="74">
        <v>1</v>
      </c>
      <c r="J220" s="74">
        <v>2500</v>
      </c>
      <c r="K220" s="77">
        <v>0</v>
      </c>
      <c r="L220" s="74">
        <v>2500</v>
      </c>
      <c r="M220" s="75">
        <v>1741</v>
      </c>
    </row>
    <row r="221" spans="1:13" ht="15.75" thickBot="1" x14ac:dyDescent="0.3">
      <c r="A221" s="71" t="s">
        <v>790</v>
      </c>
      <c r="B221" s="72" t="s">
        <v>789</v>
      </c>
      <c r="C221" s="71" t="s">
        <v>25</v>
      </c>
      <c r="D221" s="73" t="s">
        <v>20</v>
      </c>
      <c r="E221" s="73" t="s">
        <v>21</v>
      </c>
      <c r="F221" s="74">
        <v>1</v>
      </c>
      <c r="G221" s="74">
        <v>0</v>
      </c>
      <c r="H221" s="74">
        <v>0</v>
      </c>
      <c r="I221" s="74">
        <v>1</v>
      </c>
      <c r="J221" s="74">
        <v>9300</v>
      </c>
      <c r="K221" s="74">
        <v>0</v>
      </c>
      <c r="L221" s="74">
        <v>9300</v>
      </c>
      <c r="M221" s="75">
        <v>2418</v>
      </c>
    </row>
    <row r="222" spans="1:13" ht="15.75" thickBot="1" x14ac:dyDescent="0.3">
      <c r="A222" s="71" t="s">
        <v>792</v>
      </c>
      <c r="B222" s="72" t="s">
        <v>791</v>
      </c>
      <c r="C222" s="71" t="s">
        <v>25</v>
      </c>
      <c r="D222" s="73" t="s">
        <v>20</v>
      </c>
      <c r="E222" s="73" t="s">
        <v>21</v>
      </c>
      <c r="F222" s="74">
        <v>1</v>
      </c>
      <c r="G222" s="74">
        <v>0</v>
      </c>
      <c r="H222" s="74">
        <v>0</v>
      </c>
      <c r="I222" s="74">
        <v>1</v>
      </c>
      <c r="J222" s="74">
        <v>10000</v>
      </c>
      <c r="K222" s="74">
        <v>0</v>
      </c>
      <c r="L222" s="74">
        <v>10000</v>
      </c>
      <c r="M222" s="75">
        <v>1824</v>
      </c>
    </row>
    <row r="223" spans="1:13" ht="15.75" thickBot="1" x14ac:dyDescent="0.3">
      <c r="A223" s="71" t="s">
        <v>796</v>
      </c>
      <c r="B223" s="72" t="s">
        <v>795</v>
      </c>
      <c r="C223" s="71" t="s">
        <v>25</v>
      </c>
      <c r="D223" s="73" t="s">
        <v>20</v>
      </c>
      <c r="E223" s="73" t="s">
        <v>21</v>
      </c>
      <c r="F223" s="74">
        <v>1</v>
      </c>
      <c r="G223" s="74">
        <v>0</v>
      </c>
      <c r="H223" s="74">
        <v>0</v>
      </c>
      <c r="I223" s="74">
        <v>1</v>
      </c>
      <c r="J223" s="74">
        <v>5847</v>
      </c>
      <c r="K223" s="74">
        <v>0</v>
      </c>
      <c r="L223" s="74">
        <v>5847</v>
      </c>
      <c r="M223" s="75">
        <v>1692</v>
      </c>
    </row>
    <row r="224" spans="1:13" ht="15.75" thickBot="1" x14ac:dyDescent="0.3">
      <c r="A224" s="71" t="s">
        <v>798</v>
      </c>
      <c r="B224" s="72" t="s">
        <v>797</v>
      </c>
      <c r="C224" s="71" t="s">
        <v>25</v>
      </c>
      <c r="D224" s="73" t="s">
        <v>15</v>
      </c>
      <c r="E224" s="73" t="s">
        <v>16</v>
      </c>
      <c r="F224" s="74">
        <v>1</v>
      </c>
      <c r="G224" s="74">
        <v>0</v>
      </c>
      <c r="H224" s="74">
        <v>0</v>
      </c>
      <c r="I224" s="74">
        <v>1</v>
      </c>
      <c r="J224" s="74">
        <v>11765</v>
      </c>
      <c r="K224" s="74">
        <v>0</v>
      </c>
      <c r="L224" s="74">
        <v>11765</v>
      </c>
      <c r="M224" s="75">
        <v>2653</v>
      </c>
    </row>
    <row r="225" spans="1:13" ht="15.75" thickBot="1" x14ac:dyDescent="0.3">
      <c r="A225" s="71" t="s">
        <v>804</v>
      </c>
      <c r="B225" s="72" t="s">
        <v>803</v>
      </c>
      <c r="C225" s="71" t="s">
        <v>25</v>
      </c>
      <c r="D225" s="73" t="s">
        <v>20</v>
      </c>
      <c r="E225" s="73" t="s">
        <v>21</v>
      </c>
      <c r="F225" s="74">
        <v>1</v>
      </c>
      <c r="G225" s="74">
        <v>0</v>
      </c>
      <c r="H225" s="74">
        <v>0</v>
      </c>
      <c r="I225" s="74">
        <v>1</v>
      </c>
      <c r="J225" s="74">
        <v>3600</v>
      </c>
      <c r="K225" s="74">
        <v>0</v>
      </c>
      <c r="L225" s="74">
        <v>3600</v>
      </c>
      <c r="M225" s="75">
        <v>1532</v>
      </c>
    </row>
    <row r="226" spans="1:13" ht="15.75" thickBot="1" x14ac:dyDescent="0.3">
      <c r="A226" s="71" t="s">
        <v>19</v>
      </c>
      <c r="B226" s="72" t="s">
        <v>18</v>
      </c>
      <c r="C226" s="71" t="s">
        <v>22</v>
      </c>
      <c r="D226" s="73" t="s">
        <v>20</v>
      </c>
      <c r="E226" s="73" t="s">
        <v>21</v>
      </c>
      <c r="F226" s="74">
        <v>1</v>
      </c>
      <c r="G226" s="74">
        <v>0</v>
      </c>
      <c r="H226" s="74">
        <v>0</v>
      </c>
      <c r="I226" s="74">
        <v>1</v>
      </c>
      <c r="J226" s="74">
        <v>37200</v>
      </c>
      <c r="K226" s="74">
        <v>0</v>
      </c>
      <c r="L226" s="74">
        <v>37200</v>
      </c>
      <c r="M226" s="75">
        <v>2012</v>
      </c>
    </row>
    <row r="227" spans="1:13" ht="15.75" thickBot="1" x14ac:dyDescent="0.3">
      <c r="A227" s="71" t="s">
        <v>36</v>
      </c>
      <c r="B227" s="72" t="s">
        <v>35</v>
      </c>
      <c r="C227" s="71" t="s">
        <v>22</v>
      </c>
      <c r="D227" s="73" t="s">
        <v>20</v>
      </c>
      <c r="E227" s="73" t="s">
        <v>21</v>
      </c>
      <c r="F227" s="74">
        <v>1</v>
      </c>
      <c r="G227" s="74">
        <v>0</v>
      </c>
      <c r="H227" s="74">
        <v>0</v>
      </c>
      <c r="I227" s="74">
        <v>1</v>
      </c>
      <c r="J227" s="74">
        <v>21266</v>
      </c>
      <c r="K227" s="74">
        <v>0</v>
      </c>
      <c r="L227" s="74">
        <v>21266</v>
      </c>
      <c r="M227" s="75">
        <v>2014</v>
      </c>
    </row>
    <row r="228" spans="1:13" ht="15.75" thickBot="1" x14ac:dyDescent="0.3">
      <c r="A228" s="71" t="s">
        <v>64</v>
      </c>
      <c r="B228" s="72" t="s">
        <v>63</v>
      </c>
      <c r="C228" s="71" t="s">
        <v>22</v>
      </c>
      <c r="D228" s="73" t="s">
        <v>15</v>
      </c>
      <c r="E228" s="73" t="s">
        <v>16</v>
      </c>
      <c r="F228" s="74">
        <v>1</v>
      </c>
      <c r="G228" s="74">
        <v>0</v>
      </c>
      <c r="H228" s="74">
        <v>0</v>
      </c>
      <c r="I228" s="74">
        <v>1</v>
      </c>
      <c r="J228" s="74">
        <v>20500</v>
      </c>
      <c r="K228" s="74">
        <v>0</v>
      </c>
      <c r="L228" s="74">
        <v>20500</v>
      </c>
      <c r="M228" s="75">
        <v>3018</v>
      </c>
    </row>
    <row r="229" spans="1:13" ht="15.75" thickBot="1" x14ac:dyDescent="0.3">
      <c r="A229" s="71" t="s">
        <v>68</v>
      </c>
      <c r="B229" s="72" t="s">
        <v>67</v>
      </c>
      <c r="C229" s="71" t="s">
        <v>22</v>
      </c>
      <c r="D229" s="73" t="s">
        <v>20</v>
      </c>
      <c r="E229" s="73" t="s">
        <v>21</v>
      </c>
      <c r="F229" s="74">
        <v>1</v>
      </c>
      <c r="G229" s="74">
        <v>0</v>
      </c>
      <c r="H229" s="74">
        <v>0</v>
      </c>
      <c r="I229" s="74">
        <v>1</v>
      </c>
      <c r="J229" s="74">
        <v>15000</v>
      </c>
      <c r="K229" s="74">
        <v>0</v>
      </c>
      <c r="L229" s="74">
        <v>15000</v>
      </c>
      <c r="M229" s="75">
        <v>2097</v>
      </c>
    </row>
    <row r="230" spans="1:13" ht="15.75" thickBot="1" x14ac:dyDescent="0.3">
      <c r="A230" s="71" t="s">
        <v>88</v>
      </c>
      <c r="B230" s="72" t="s">
        <v>87</v>
      </c>
      <c r="C230" s="71" t="s">
        <v>22</v>
      </c>
      <c r="D230" s="73" t="s">
        <v>20</v>
      </c>
      <c r="E230" s="73" t="s">
        <v>21</v>
      </c>
      <c r="F230" s="74">
        <v>1</v>
      </c>
      <c r="G230" s="74">
        <v>0</v>
      </c>
      <c r="H230" s="74">
        <v>0</v>
      </c>
      <c r="I230" s="74">
        <v>1</v>
      </c>
      <c r="J230" s="74">
        <v>25000</v>
      </c>
      <c r="K230" s="74">
        <v>0</v>
      </c>
      <c r="L230" s="74">
        <v>25000</v>
      </c>
      <c r="M230" s="75">
        <v>2513</v>
      </c>
    </row>
    <row r="231" spans="1:13" ht="15.75" thickBot="1" x14ac:dyDescent="0.3">
      <c r="A231" s="71" t="s">
        <v>94</v>
      </c>
      <c r="B231" s="72" t="s">
        <v>93</v>
      </c>
      <c r="C231" s="71" t="s">
        <v>22</v>
      </c>
      <c r="D231" s="73" t="s">
        <v>20</v>
      </c>
      <c r="E231" s="73" t="s">
        <v>21</v>
      </c>
      <c r="F231" s="74">
        <v>1</v>
      </c>
      <c r="G231" s="74">
        <v>0</v>
      </c>
      <c r="H231" s="74">
        <v>0</v>
      </c>
      <c r="I231" s="74">
        <v>1</v>
      </c>
      <c r="J231" s="74">
        <v>15000</v>
      </c>
      <c r="K231" s="74">
        <v>0</v>
      </c>
      <c r="L231" s="74">
        <v>15000</v>
      </c>
      <c r="M231" s="75">
        <v>1961</v>
      </c>
    </row>
    <row r="232" spans="1:13" ht="15.75" thickBot="1" x14ac:dyDescent="0.3">
      <c r="A232" s="71" t="s">
        <v>104</v>
      </c>
      <c r="B232" s="72" t="s">
        <v>103</v>
      </c>
      <c r="C232" s="71" t="s">
        <v>22</v>
      </c>
      <c r="D232" s="73" t="s">
        <v>20</v>
      </c>
      <c r="E232" s="73" t="s">
        <v>21</v>
      </c>
      <c r="F232" s="74">
        <v>1</v>
      </c>
      <c r="G232" s="74">
        <v>0</v>
      </c>
      <c r="H232" s="74">
        <v>0</v>
      </c>
      <c r="I232" s="74">
        <v>1</v>
      </c>
      <c r="J232" s="74">
        <v>13982</v>
      </c>
      <c r="K232" s="74">
        <v>0</v>
      </c>
      <c r="L232" s="74">
        <v>13982</v>
      </c>
      <c r="M232" s="75">
        <v>1502</v>
      </c>
    </row>
    <row r="233" spans="1:13" ht="15.75" thickBot="1" x14ac:dyDescent="0.3">
      <c r="A233" s="71" t="s">
        <v>116</v>
      </c>
      <c r="B233" s="72" t="s">
        <v>115</v>
      </c>
      <c r="C233" s="71" t="s">
        <v>22</v>
      </c>
      <c r="D233" s="73" t="s">
        <v>15</v>
      </c>
      <c r="E233" s="73" t="s">
        <v>16</v>
      </c>
      <c r="F233" s="74">
        <v>1</v>
      </c>
      <c r="G233" s="74">
        <v>0</v>
      </c>
      <c r="H233" s="74">
        <v>0</v>
      </c>
      <c r="I233" s="74">
        <v>1</v>
      </c>
      <c r="J233" s="74">
        <v>19264</v>
      </c>
      <c r="K233" s="74">
        <v>0</v>
      </c>
      <c r="L233" s="74">
        <v>19264</v>
      </c>
      <c r="M233" s="75">
        <v>3224</v>
      </c>
    </row>
    <row r="234" spans="1:13" ht="15.75" thickBot="1" x14ac:dyDescent="0.3">
      <c r="A234" s="71" t="s">
        <v>118</v>
      </c>
      <c r="B234" s="72" t="s">
        <v>117</v>
      </c>
      <c r="C234" s="71" t="s">
        <v>22</v>
      </c>
      <c r="D234" s="73" t="s">
        <v>15</v>
      </c>
      <c r="E234" s="73" t="s">
        <v>16</v>
      </c>
      <c r="F234" s="74">
        <v>1</v>
      </c>
      <c r="G234" s="74">
        <v>0</v>
      </c>
      <c r="H234" s="74">
        <v>0</v>
      </c>
      <c r="I234" s="74">
        <v>1</v>
      </c>
      <c r="J234" s="74">
        <v>13050</v>
      </c>
      <c r="K234" s="74">
        <v>0</v>
      </c>
      <c r="L234" s="74">
        <v>13050</v>
      </c>
      <c r="M234" s="75">
        <v>3040</v>
      </c>
    </row>
    <row r="235" spans="1:13" ht="15.75" thickBot="1" x14ac:dyDescent="0.3">
      <c r="A235" s="71" t="s">
        <v>122</v>
      </c>
      <c r="B235" s="72" t="s">
        <v>121</v>
      </c>
      <c r="C235" s="71" t="s">
        <v>22</v>
      </c>
      <c r="D235" s="73" t="s">
        <v>20</v>
      </c>
      <c r="E235" s="73" t="s">
        <v>21</v>
      </c>
      <c r="F235" s="74">
        <v>1</v>
      </c>
      <c r="G235" s="74">
        <v>0</v>
      </c>
      <c r="H235" s="74">
        <v>0</v>
      </c>
      <c r="I235" s="74">
        <v>1</v>
      </c>
      <c r="J235" s="74">
        <v>9616</v>
      </c>
      <c r="K235" s="74">
        <v>0</v>
      </c>
      <c r="L235" s="74">
        <v>9616</v>
      </c>
      <c r="M235" s="75">
        <v>2009</v>
      </c>
    </row>
    <row r="236" spans="1:13" ht="15.75" thickBot="1" x14ac:dyDescent="0.3">
      <c r="A236" s="71" t="s">
        <v>158</v>
      </c>
      <c r="B236" s="72" t="s">
        <v>157</v>
      </c>
      <c r="C236" s="71" t="s">
        <v>22</v>
      </c>
      <c r="D236" s="73" t="s">
        <v>20</v>
      </c>
      <c r="E236" s="73" t="s">
        <v>21</v>
      </c>
      <c r="F236" s="74">
        <v>1</v>
      </c>
      <c r="G236" s="74">
        <v>0</v>
      </c>
      <c r="H236" s="74">
        <v>0</v>
      </c>
      <c r="I236" s="74">
        <v>1</v>
      </c>
      <c r="J236" s="74">
        <v>9888</v>
      </c>
      <c r="K236" s="74">
        <v>0</v>
      </c>
      <c r="L236" s="74">
        <v>9888</v>
      </c>
      <c r="M236" s="75">
        <v>2600</v>
      </c>
    </row>
    <row r="237" spans="1:13" ht="15.75" thickBot="1" x14ac:dyDescent="0.3">
      <c r="A237" s="71" t="s">
        <v>162</v>
      </c>
      <c r="B237" s="72" t="s">
        <v>161</v>
      </c>
      <c r="C237" s="71" t="s">
        <v>22</v>
      </c>
      <c r="D237" s="73" t="s">
        <v>20</v>
      </c>
      <c r="E237" s="73" t="s">
        <v>21</v>
      </c>
      <c r="F237" s="74">
        <v>1</v>
      </c>
      <c r="G237" s="74">
        <v>0</v>
      </c>
      <c r="H237" s="74">
        <v>0</v>
      </c>
      <c r="I237" s="74">
        <v>1</v>
      </c>
      <c r="J237" s="74">
        <v>12500</v>
      </c>
      <c r="K237" s="74">
        <v>0</v>
      </c>
      <c r="L237" s="74">
        <v>12500</v>
      </c>
      <c r="M237" s="75">
        <v>2860</v>
      </c>
    </row>
    <row r="238" spans="1:13" ht="15.75" thickBot="1" x14ac:dyDescent="0.3">
      <c r="A238" s="71" t="s">
        <v>166</v>
      </c>
      <c r="B238" s="72" t="s">
        <v>165</v>
      </c>
      <c r="C238" s="71" t="s">
        <v>22</v>
      </c>
      <c r="D238" s="73" t="s">
        <v>20</v>
      </c>
      <c r="E238" s="73" t="s">
        <v>21</v>
      </c>
      <c r="F238" s="74">
        <v>1</v>
      </c>
      <c r="G238" s="74">
        <v>0</v>
      </c>
      <c r="H238" s="74">
        <v>0</v>
      </c>
      <c r="I238" s="74">
        <v>1</v>
      </c>
      <c r="J238" s="74">
        <v>27000</v>
      </c>
      <c r="K238" s="74">
        <v>0</v>
      </c>
      <c r="L238" s="74">
        <v>27000</v>
      </c>
      <c r="M238" s="75">
        <v>2360</v>
      </c>
    </row>
    <row r="239" spans="1:13" ht="15.75" thickBot="1" x14ac:dyDescent="0.3">
      <c r="A239" s="71" t="s">
        <v>168</v>
      </c>
      <c r="B239" s="72" t="s">
        <v>167</v>
      </c>
      <c r="C239" s="71" t="s">
        <v>22</v>
      </c>
      <c r="D239" s="73" t="s">
        <v>15</v>
      </c>
      <c r="E239" s="73" t="s">
        <v>16</v>
      </c>
      <c r="F239" s="74">
        <v>1</v>
      </c>
      <c r="G239" s="74">
        <v>0</v>
      </c>
      <c r="H239" s="74">
        <v>0</v>
      </c>
      <c r="I239" s="74">
        <v>1</v>
      </c>
      <c r="J239" s="74">
        <v>30703</v>
      </c>
      <c r="K239" s="74">
        <v>0</v>
      </c>
      <c r="L239" s="74">
        <v>30703</v>
      </c>
      <c r="M239" s="75">
        <v>3192</v>
      </c>
    </row>
    <row r="240" spans="1:13" ht="15.75" thickBot="1" x14ac:dyDescent="0.3">
      <c r="A240" s="71" t="s">
        <v>182</v>
      </c>
      <c r="B240" s="72" t="s">
        <v>181</v>
      </c>
      <c r="C240" s="71" t="s">
        <v>22</v>
      </c>
      <c r="D240" s="73" t="s">
        <v>20</v>
      </c>
      <c r="E240" s="73" t="s">
        <v>21</v>
      </c>
      <c r="F240" s="74">
        <v>1</v>
      </c>
      <c r="G240" s="74">
        <v>0</v>
      </c>
      <c r="H240" s="74">
        <v>0</v>
      </c>
      <c r="I240" s="74">
        <v>1</v>
      </c>
      <c r="J240" s="74">
        <v>18340</v>
      </c>
      <c r="K240" s="74">
        <v>0</v>
      </c>
      <c r="L240" s="74">
        <v>18340</v>
      </c>
      <c r="M240" s="75">
        <v>1943</v>
      </c>
    </row>
    <row r="241" spans="1:13" ht="15.75" thickBot="1" x14ac:dyDescent="0.3">
      <c r="A241" s="71" t="s">
        <v>192</v>
      </c>
      <c r="B241" s="72" t="s">
        <v>191</v>
      </c>
      <c r="C241" s="71" t="s">
        <v>22</v>
      </c>
      <c r="D241" s="73" t="s">
        <v>15</v>
      </c>
      <c r="E241" s="73" t="s">
        <v>16</v>
      </c>
      <c r="F241" s="74">
        <v>1</v>
      </c>
      <c r="G241" s="74">
        <v>0</v>
      </c>
      <c r="H241" s="74">
        <v>0</v>
      </c>
      <c r="I241" s="74">
        <v>1</v>
      </c>
      <c r="J241" s="74">
        <v>11278</v>
      </c>
      <c r="K241" s="74">
        <v>0</v>
      </c>
      <c r="L241" s="74">
        <v>11278</v>
      </c>
      <c r="M241" s="75">
        <v>2892</v>
      </c>
    </row>
    <row r="242" spans="1:13" ht="15.75" thickBot="1" x14ac:dyDescent="0.3">
      <c r="A242" s="71" t="s">
        <v>198</v>
      </c>
      <c r="B242" s="72" t="s">
        <v>197</v>
      </c>
      <c r="C242" s="71" t="s">
        <v>22</v>
      </c>
      <c r="D242" s="73" t="s">
        <v>101</v>
      </c>
      <c r="E242" s="73" t="s">
        <v>102</v>
      </c>
      <c r="F242" s="74">
        <v>1</v>
      </c>
      <c r="G242" s="74">
        <v>1</v>
      </c>
      <c r="H242" s="74">
        <v>0</v>
      </c>
      <c r="I242" s="74">
        <v>2</v>
      </c>
      <c r="J242" s="74">
        <v>10868</v>
      </c>
      <c r="K242" s="76">
        <v>3640</v>
      </c>
      <c r="L242" s="74">
        <v>14508</v>
      </c>
      <c r="M242" s="75">
        <v>3112</v>
      </c>
    </row>
    <row r="243" spans="1:13" ht="15.75" thickBot="1" x14ac:dyDescent="0.3">
      <c r="A243" s="71" t="s">
        <v>224</v>
      </c>
      <c r="B243" s="72" t="s">
        <v>223</v>
      </c>
      <c r="C243" s="71" t="s">
        <v>22</v>
      </c>
      <c r="D243" s="73" t="s">
        <v>20</v>
      </c>
      <c r="E243" s="73" t="s">
        <v>21</v>
      </c>
      <c r="F243" s="74">
        <v>1</v>
      </c>
      <c r="G243" s="74">
        <v>0</v>
      </c>
      <c r="H243" s="74">
        <v>0</v>
      </c>
      <c r="I243" s="74">
        <v>1</v>
      </c>
      <c r="J243" s="74">
        <v>5600</v>
      </c>
      <c r="K243" s="74">
        <v>0</v>
      </c>
      <c r="L243" s="74">
        <v>5600</v>
      </c>
      <c r="M243" s="75">
        <v>1440</v>
      </c>
    </row>
    <row r="244" spans="1:13" ht="15.75" thickBot="1" x14ac:dyDescent="0.3">
      <c r="A244" s="71" t="s">
        <v>226</v>
      </c>
      <c r="B244" s="72" t="s">
        <v>225</v>
      </c>
      <c r="C244" s="71" t="s">
        <v>22</v>
      </c>
      <c r="D244" s="73" t="s">
        <v>101</v>
      </c>
      <c r="E244" s="73" t="s">
        <v>102</v>
      </c>
      <c r="F244" s="74">
        <v>1</v>
      </c>
      <c r="G244" s="74">
        <v>0</v>
      </c>
      <c r="H244" s="74">
        <v>0</v>
      </c>
      <c r="I244" s="74">
        <v>1</v>
      </c>
      <c r="J244" s="74">
        <v>30000</v>
      </c>
      <c r="K244" s="74">
        <v>0</v>
      </c>
      <c r="L244" s="74">
        <v>30000</v>
      </c>
      <c r="M244" s="75">
        <v>2345</v>
      </c>
    </row>
    <row r="245" spans="1:13" ht="15.75" thickBot="1" x14ac:dyDescent="0.3">
      <c r="A245" s="71" t="s">
        <v>234</v>
      </c>
      <c r="B245" s="72" t="s">
        <v>233</v>
      </c>
      <c r="C245" s="71" t="s">
        <v>22</v>
      </c>
      <c r="D245" s="73" t="s">
        <v>101</v>
      </c>
      <c r="E245" s="73" t="s">
        <v>102</v>
      </c>
      <c r="F245" s="74">
        <v>1</v>
      </c>
      <c r="G245" s="74">
        <v>0</v>
      </c>
      <c r="H245" s="74">
        <v>0</v>
      </c>
      <c r="I245" s="74">
        <v>1</v>
      </c>
      <c r="J245" s="74">
        <v>7236</v>
      </c>
      <c r="K245" s="74">
        <v>0</v>
      </c>
      <c r="L245" s="74">
        <v>7236</v>
      </c>
      <c r="M245" s="75">
        <v>1866</v>
      </c>
    </row>
    <row r="246" spans="1:13" ht="15.75" thickBot="1" x14ac:dyDescent="0.3">
      <c r="A246" s="71" t="s">
        <v>244</v>
      </c>
      <c r="B246" s="72" t="s">
        <v>243</v>
      </c>
      <c r="C246" s="71" t="s">
        <v>22</v>
      </c>
      <c r="D246" s="73" t="s">
        <v>20</v>
      </c>
      <c r="E246" s="73" t="s">
        <v>21</v>
      </c>
      <c r="F246" s="74">
        <v>1</v>
      </c>
      <c r="G246" s="74">
        <v>0</v>
      </c>
      <c r="H246" s="74">
        <v>0</v>
      </c>
      <c r="I246" s="74">
        <v>1</v>
      </c>
      <c r="J246" s="74">
        <v>5346</v>
      </c>
      <c r="K246" s="74">
        <v>0</v>
      </c>
      <c r="L246" s="74">
        <v>5346</v>
      </c>
      <c r="M246" s="75">
        <v>1577</v>
      </c>
    </row>
    <row r="247" spans="1:13" ht="15.75" thickBot="1" x14ac:dyDescent="0.3">
      <c r="A247" s="71" t="s">
        <v>260</v>
      </c>
      <c r="B247" s="72" t="s">
        <v>259</v>
      </c>
      <c r="C247" s="71" t="s">
        <v>22</v>
      </c>
      <c r="D247" s="73" t="s">
        <v>20</v>
      </c>
      <c r="E247" s="73" t="s">
        <v>21</v>
      </c>
      <c r="F247" s="74">
        <v>1</v>
      </c>
      <c r="G247" s="74">
        <v>0</v>
      </c>
      <c r="H247" s="74">
        <v>0</v>
      </c>
      <c r="I247" s="74">
        <v>1</v>
      </c>
      <c r="J247" s="74">
        <v>17000</v>
      </c>
      <c r="K247" s="74">
        <v>0</v>
      </c>
      <c r="L247" s="74">
        <v>17000</v>
      </c>
      <c r="M247" s="75">
        <v>1507</v>
      </c>
    </row>
    <row r="248" spans="1:13" ht="15.75" thickBot="1" x14ac:dyDescent="0.3">
      <c r="A248" s="71" t="s">
        <v>268</v>
      </c>
      <c r="B248" s="72" t="s">
        <v>267</v>
      </c>
      <c r="C248" s="71" t="s">
        <v>22</v>
      </c>
      <c r="D248" s="73" t="s">
        <v>101</v>
      </c>
      <c r="E248" s="73" t="s">
        <v>102</v>
      </c>
      <c r="F248" s="74">
        <v>1</v>
      </c>
      <c r="G248" s="74">
        <v>0</v>
      </c>
      <c r="H248" s="74">
        <v>0</v>
      </c>
      <c r="I248" s="74">
        <v>1</v>
      </c>
      <c r="J248" s="74">
        <v>13736</v>
      </c>
      <c r="K248" s="77">
        <v>0</v>
      </c>
      <c r="L248" s="74">
        <v>13736</v>
      </c>
      <c r="M248" s="75">
        <v>2682</v>
      </c>
    </row>
    <row r="249" spans="1:13" ht="15.75" thickBot="1" x14ac:dyDescent="0.3">
      <c r="A249" s="71" t="s">
        <v>270</v>
      </c>
      <c r="B249" s="72" t="s">
        <v>269</v>
      </c>
      <c r="C249" s="71" t="s">
        <v>22</v>
      </c>
      <c r="D249" s="73" t="s">
        <v>20</v>
      </c>
      <c r="E249" s="73" t="s">
        <v>21</v>
      </c>
      <c r="F249" s="74">
        <v>1</v>
      </c>
      <c r="G249" s="74">
        <v>0</v>
      </c>
      <c r="H249" s="74">
        <v>0</v>
      </c>
      <c r="I249" s="74">
        <v>1</v>
      </c>
      <c r="J249" s="74">
        <v>19500</v>
      </c>
      <c r="K249" s="74">
        <v>0</v>
      </c>
      <c r="L249" s="74">
        <v>19500</v>
      </c>
      <c r="M249" s="75">
        <v>2025</v>
      </c>
    </row>
    <row r="250" spans="1:13" ht="15.75" thickBot="1" x14ac:dyDescent="0.3">
      <c r="A250" s="71" t="s">
        <v>274</v>
      </c>
      <c r="B250" s="72" t="s">
        <v>273</v>
      </c>
      <c r="C250" s="71" t="s">
        <v>22</v>
      </c>
      <c r="D250" s="73" t="s">
        <v>20</v>
      </c>
      <c r="E250" s="73" t="s">
        <v>21</v>
      </c>
      <c r="F250" s="74">
        <v>1</v>
      </c>
      <c r="G250" s="74">
        <v>0</v>
      </c>
      <c r="H250" s="74">
        <v>0</v>
      </c>
      <c r="I250" s="74">
        <v>1</v>
      </c>
      <c r="J250" s="74">
        <v>23007</v>
      </c>
      <c r="K250" s="74">
        <v>0</v>
      </c>
      <c r="L250" s="74">
        <v>23007</v>
      </c>
      <c r="M250" s="75">
        <v>2222</v>
      </c>
    </row>
    <row r="251" spans="1:13" ht="15.75" thickBot="1" x14ac:dyDescent="0.3">
      <c r="A251" s="71" t="s">
        <v>276</v>
      </c>
      <c r="B251" s="72" t="s">
        <v>275</v>
      </c>
      <c r="C251" s="71" t="s">
        <v>22</v>
      </c>
      <c r="D251" s="73" t="s">
        <v>20</v>
      </c>
      <c r="E251" s="73" t="s">
        <v>21</v>
      </c>
      <c r="F251" s="74">
        <v>1</v>
      </c>
      <c r="G251" s="74">
        <v>0</v>
      </c>
      <c r="H251" s="74">
        <v>0</v>
      </c>
      <c r="I251" s="74">
        <v>1</v>
      </c>
      <c r="J251" s="74">
        <v>10000</v>
      </c>
      <c r="K251" s="74">
        <v>0</v>
      </c>
      <c r="L251" s="74">
        <v>10000</v>
      </c>
      <c r="M251" s="75">
        <v>2288</v>
      </c>
    </row>
    <row r="252" spans="1:13" ht="15.75" thickBot="1" x14ac:dyDescent="0.3">
      <c r="A252" s="71" t="s">
        <v>282</v>
      </c>
      <c r="B252" s="72" t="s">
        <v>281</v>
      </c>
      <c r="C252" s="71" t="s">
        <v>22</v>
      </c>
      <c r="D252" s="73" t="s">
        <v>20</v>
      </c>
      <c r="E252" s="73" t="s">
        <v>21</v>
      </c>
      <c r="F252" s="74">
        <v>1</v>
      </c>
      <c r="G252" s="74">
        <v>0</v>
      </c>
      <c r="H252" s="74">
        <v>0</v>
      </c>
      <c r="I252" s="74">
        <v>1</v>
      </c>
      <c r="J252" s="74">
        <v>10000</v>
      </c>
      <c r="K252" s="74">
        <v>0</v>
      </c>
      <c r="L252" s="74">
        <v>10000</v>
      </c>
      <c r="M252" s="75">
        <v>2006</v>
      </c>
    </row>
    <row r="253" spans="1:13" ht="15.75" thickBot="1" x14ac:dyDescent="0.3">
      <c r="A253" s="71" t="s">
        <v>288</v>
      </c>
      <c r="B253" s="72" t="s">
        <v>287</v>
      </c>
      <c r="C253" s="71" t="s">
        <v>22</v>
      </c>
      <c r="D253" s="73" t="s">
        <v>20</v>
      </c>
      <c r="E253" s="73" t="s">
        <v>21</v>
      </c>
      <c r="F253" s="74">
        <v>1</v>
      </c>
      <c r="G253" s="74">
        <v>0</v>
      </c>
      <c r="H253" s="74">
        <v>0</v>
      </c>
      <c r="I253" s="74">
        <v>1</v>
      </c>
      <c r="J253" s="74">
        <v>9600</v>
      </c>
      <c r="K253" s="74">
        <v>0</v>
      </c>
      <c r="L253" s="74">
        <v>9600</v>
      </c>
      <c r="M253" s="75">
        <v>1944</v>
      </c>
    </row>
    <row r="254" spans="1:13" ht="15.75" thickBot="1" x14ac:dyDescent="0.3">
      <c r="A254" s="71" t="s">
        <v>292</v>
      </c>
      <c r="B254" s="72" t="s">
        <v>291</v>
      </c>
      <c r="C254" s="71" t="s">
        <v>22</v>
      </c>
      <c r="D254" s="73" t="s">
        <v>15</v>
      </c>
      <c r="E254" s="73" t="s">
        <v>16</v>
      </c>
      <c r="F254" s="74">
        <v>1</v>
      </c>
      <c r="G254" s="74">
        <v>0</v>
      </c>
      <c r="H254" s="74">
        <v>0</v>
      </c>
      <c r="I254" s="74">
        <v>1</v>
      </c>
      <c r="J254" s="74">
        <v>39669</v>
      </c>
      <c r="K254" s="76">
        <v>0</v>
      </c>
      <c r="L254" s="74">
        <v>39669</v>
      </c>
      <c r="M254" s="75">
        <v>2210</v>
      </c>
    </row>
    <row r="255" spans="1:13" ht="15.75" thickBot="1" x14ac:dyDescent="0.3">
      <c r="A255" s="71" t="s">
        <v>294</v>
      </c>
      <c r="B255" s="72" t="s">
        <v>293</v>
      </c>
      <c r="C255" s="71" t="s">
        <v>22</v>
      </c>
      <c r="D255" s="73" t="s">
        <v>61</v>
      </c>
      <c r="E255" s="73" t="s">
        <v>62</v>
      </c>
      <c r="F255" s="74">
        <v>1</v>
      </c>
      <c r="G255" s="74">
        <v>0</v>
      </c>
      <c r="H255" s="74">
        <v>0</v>
      </c>
      <c r="I255" s="74">
        <v>1</v>
      </c>
      <c r="J255" s="74">
        <v>2000</v>
      </c>
      <c r="K255" s="74">
        <v>0</v>
      </c>
      <c r="L255" s="74">
        <v>2000</v>
      </c>
      <c r="M255" s="75">
        <v>1975</v>
      </c>
    </row>
    <row r="256" spans="1:13" ht="15.75" thickBot="1" x14ac:dyDescent="0.3">
      <c r="A256" s="71" t="s">
        <v>312</v>
      </c>
      <c r="B256" s="72" t="s">
        <v>311</v>
      </c>
      <c r="C256" s="71" t="s">
        <v>22</v>
      </c>
      <c r="D256" s="73" t="s">
        <v>15</v>
      </c>
      <c r="E256" s="73" t="s">
        <v>16</v>
      </c>
      <c r="F256" s="74">
        <v>1</v>
      </c>
      <c r="G256" s="74">
        <v>1</v>
      </c>
      <c r="H256" s="74">
        <v>0</v>
      </c>
      <c r="I256" s="74">
        <v>2</v>
      </c>
      <c r="J256" s="74">
        <v>52000</v>
      </c>
      <c r="K256" s="76">
        <v>5506</v>
      </c>
      <c r="L256" s="74">
        <v>57506</v>
      </c>
      <c r="M256" s="75">
        <v>3714</v>
      </c>
    </row>
    <row r="257" spans="1:13" ht="15.75" thickBot="1" x14ac:dyDescent="0.3">
      <c r="A257" s="71" t="s">
        <v>320</v>
      </c>
      <c r="B257" s="72" t="s">
        <v>319</v>
      </c>
      <c r="C257" s="71" t="s">
        <v>22</v>
      </c>
      <c r="D257" s="73" t="s">
        <v>20</v>
      </c>
      <c r="E257" s="73" t="s">
        <v>21</v>
      </c>
      <c r="F257" s="74">
        <v>1</v>
      </c>
      <c r="G257" s="74">
        <v>0</v>
      </c>
      <c r="H257" s="74">
        <v>0</v>
      </c>
      <c r="I257" s="74">
        <v>1</v>
      </c>
      <c r="J257" s="74">
        <v>9098</v>
      </c>
      <c r="K257" s="74">
        <v>0</v>
      </c>
      <c r="L257" s="74">
        <v>9098</v>
      </c>
      <c r="M257" s="75">
        <v>2329</v>
      </c>
    </row>
    <row r="258" spans="1:13" ht="15.75" thickBot="1" x14ac:dyDescent="0.3">
      <c r="A258" s="71" t="s">
        <v>330</v>
      </c>
      <c r="B258" s="72" t="s">
        <v>329</v>
      </c>
      <c r="C258" s="71" t="s">
        <v>22</v>
      </c>
      <c r="D258" s="73" t="s">
        <v>20</v>
      </c>
      <c r="E258" s="73" t="s">
        <v>21</v>
      </c>
      <c r="F258" s="74">
        <v>1</v>
      </c>
      <c r="G258" s="74">
        <v>0</v>
      </c>
      <c r="H258" s="74">
        <v>0</v>
      </c>
      <c r="I258" s="74">
        <v>1</v>
      </c>
      <c r="J258" s="74">
        <v>16500</v>
      </c>
      <c r="K258" s="74">
        <v>0</v>
      </c>
      <c r="L258" s="74">
        <v>16500</v>
      </c>
      <c r="M258" s="75">
        <v>2204</v>
      </c>
    </row>
    <row r="259" spans="1:13" ht="15.75" thickBot="1" x14ac:dyDescent="0.3">
      <c r="A259" s="71" t="s">
        <v>332</v>
      </c>
      <c r="B259" s="72" t="s">
        <v>331</v>
      </c>
      <c r="C259" s="71" t="s">
        <v>22</v>
      </c>
      <c r="D259" s="73" t="s">
        <v>20</v>
      </c>
      <c r="E259" s="73" t="s">
        <v>21</v>
      </c>
      <c r="F259" s="74">
        <v>1</v>
      </c>
      <c r="G259" s="74">
        <v>0</v>
      </c>
      <c r="H259" s="74">
        <v>0</v>
      </c>
      <c r="I259" s="74">
        <v>1</v>
      </c>
      <c r="J259" s="74">
        <v>12000</v>
      </c>
      <c r="K259" s="74">
        <v>0</v>
      </c>
      <c r="L259" s="74">
        <v>12000</v>
      </c>
      <c r="M259" s="75">
        <v>1560</v>
      </c>
    </row>
    <row r="260" spans="1:13" ht="15.75" thickBot="1" x14ac:dyDescent="0.3">
      <c r="A260" s="71" t="s">
        <v>336</v>
      </c>
      <c r="B260" s="72" t="s">
        <v>335</v>
      </c>
      <c r="C260" s="71" t="s">
        <v>22</v>
      </c>
      <c r="D260" s="73" t="s">
        <v>15</v>
      </c>
      <c r="E260" s="73" t="s">
        <v>16</v>
      </c>
      <c r="F260" s="74">
        <v>1</v>
      </c>
      <c r="G260" s="74">
        <v>0</v>
      </c>
      <c r="H260" s="74">
        <v>0</v>
      </c>
      <c r="I260" s="74">
        <v>1</v>
      </c>
      <c r="J260" s="74">
        <v>17500</v>
      </c>
      <c r="K260" s="74">
        <v>0</v>
      </c>
      <c r="L260" s="74">
        <v>17500</v>
      </c>
      <c r="M260" s="75">
        <v>2184</v>
      </c>
    </row>
    <row r="261" spans="1:13" ht="15.75" thickBot="1" x14ac:dyDescent="0.3">
      <c r="A261" s="71" t="s">
        <v>338</v>
      </c>
      <c r="B261" s="72" t="s">
        <v>337</v>
      </c>
      <c r="C261" s="71" t="s">
        <v>22</v>
      </c>
      <c r="D261" s="73" t="s">
        <v>20</v>
      </c>
      <c r="E261" s="73" t="s">
        <v>21</v>
      </c>
      <c r="F261" s="74">
        <v>1</v>
      </c>
      <c r="G261" s="74">
        <v>0</v>
      </c>
      <c r="H261" s="74">
        <v>0</v>
      </c>
      <c r="I261" s="74">
        <v>1</v>
      </c>
      <c r="J261" s="74">
        <v>5524</v>
      </c>
      <c r="K261" s="74">
        <v>0</v>
      </c>
      <c r="L261" s="74">
        <v>5524</v>
      </c>
      <c r="M261" s="75">
        <v>2255</v>
      </c>
    </row>
    <row r="262" spans="1:13" ht="15.75" thickBot="1" x14ac:dyDescent="0.3">
      <c r="A262" s="71" t="s">
        <v>340</v>
      </c>
      <c r="B262" s="72" t="s">
        <v>339</v>
      </c>
      <c r="C262" s="71" t="s">
        <v>22</v>
      </c>
      <c r="D262" s="73" t="s">
        <v>15</v>
      </c>
      <c r="E262" s="73" t="s">
        <v>16</v>
      </c>
      <c r="F262" s="74">
        <v>1</v>
      </c>
      <c r="G262" s="74">
        <v>0</v>
      </c>
      <c r="H262" s="74">
        <v>0</v>
      </c>
      <c r="I262" s="74">
        <v>1</v>
      </c>
      <c r="J262" s="74">
        <v>3900</v>
      </c>
      <c r="K262" s="74">
        <v>0</v>
      </c>
      <c r="L262" s="74">
        <v>3900</v>
      </c>
      <c r="M262" s="75">
        <v>1529</v>
      </c>
    </row>
    <row r="263" spans="1:13" ht="15.75" thickBot="1" x14ac:dyDescent="0.3">
      <c r="A263" s="71" t="s">
        <v>346</v>
      </c>
      <c r="B263" s="72" t="s">
        <v>345</v>
      </c>
      <c r="C263" s="71" t="s">
        <v>22</v>
      </c>
      <c r="D263" s="73" t="s">
        <v>20</v>
      </c>
      <c r="E263" s="73" t="s">
        <v>21</v>
      </c>
      <c r="F263" s="74">
        <v>1</v>
      </c>
      <c r="G263" s="74">
        <v>0</v>
      </c>
      <c r="H263" s="74">
        <v>0</v>
      </c>
      <c r="I263" s="74">
        <v>1</v>
      </c>
      <c r="J263" s="74">
        <v>18000</v>
      </c>
      <c r="K263" s="74">
        <v>0</v>
      </c>
      <c r="L263" s="74">
        <v>18000</v>
      </c>
      <c r="M263" s="75">
        <v>2146</v>
      </c>
    </row>
    <row r="264" spans="1:13" ht="15.75" thickBot="1" x14ac:dyDescent="0.3">
      <c r="A264" s="71" t="s">
        <v>348</v>
      </c>
      <c r="B264" s="72" t="s">
        <v>347</v>
      </c>
      <c r="C264" s="71" t="s">
        <v>22</v>
      </c>
      <c r="D264" s="73" t="s">
        <v>20</v>
      </c>
      <c r="E264" s="73" t="s">
        <v>21</v>
      </c>
      <c r="F264" s="74">
        <v>1</v>
      </c>
      <c r="G264" s="74">
        <v>0</v>
      </c>
      <c r="H264" s="74">
        <v>0</v>
      </c>
      <c r="I264" s="74">
        <v>1</v>
      </c>
      <c r="J264" s="74">
        <v>18760</v>
      </c>
      <c r="K264" s="74">
        <v>0</v>
      </c>
      <c r="L264" s="74">
        <v>18760</v>
      </c>
      <c r="M264" s="75">
        <v>2050</v>
      </c>
    </row>
    <row r="265" spans="1:13" ht="15.75" thickBot="1" x14ac:dyDescent="0.3">
      <c r="A265" s="71" t="s">
        <v>356</v>
      </c>
      <c r="B265" s="72" t="s">
        <v>355</v>
      </c>
      <c r="C265" s="71" t="s">
        <v>22</v>
      </c>
      <c r="D265" s="73" t="s">
        <v>15</v>
      </c>
      <c r="E265" s="73" t="s">
        <v>16</v>
      </c>
      <c r="F265" s="74">
        <v>1</v>
      </c>
      <c r="G265" s="74">
        <v>0</v>
      </c>
      <c r="H265" s="74">
        <v>0</v>
      </c>
      <c r="I265" s="74">
        <v>1</v>
      </c>
      <c r="J265" s="74">
        <v>25050</v>
      </c>
      <c r="K265" s="74">
        <v>0</v>
      </c>
      <c r="L265" s="74">
        <v>25050</v>
      </c>
      <c r="M265" s="75">
        <v>2684</v>
      </c>
    </row>
    <row r="266" spans="1:13" ht="15.75" thickBot="1" x14ac:dyDescent="0.3">
      <c r="A266" s="71" t="s">
        <v>360</v>
      </c>
      <c r="B266" s="72" t="s">
        <v>359</v>
      </c>
      <c r="C266" s="71" t="s">
        <v>22</v>
      </c>
      <c r="D266" s="73" t="s">
        <v>20</v>
      </c>
      <c r="E266" s="73" t="s">
        <v>21</v>
      </c>
      <c r="F266" s="74">
        <v>1</v>
      </c>
      <c r="G266" s="74">
        <v>0</v>
      </c>
      <c r="H266" s="74">
        <v>0</v>
      </c>
      <c r="I266" s="74">
        <v>1</v>
      </c>
      <c r="J266" s="74">
        <v>6007</v>
      </c>
      <c r="K266" s="74">
        <v>0</v>
      </c>
      <c r="L266" s="74">
        <v>6007</v>
      </c>
      <c r="M266" s="75">
        <v>2496</v>
      </c>
    </row>
    <row r="267" spans="1:13" ht="15.75" thickBot="1" x14ac:dyDescent="0.3">
      <c r="A267" s="71" t="s">
        <v>368</v>
      </c>
      <c r="B267" s="72" t="s">
        <v>367</v>
      </c>
      <c r="C267" s="71" t="s">
        <v>22</v>
      </c>
      <c r="D267" s="73" t="s">
        <v>20</v>
      </c>
      <c r="E267" s="73" t="s">
        <v>21</v>
      </c>
      <c r="F267" s="74">
        <v>1</v>
      </c>
      <c r="G267" s="74">
        <v>0</v>
      </c>
      <c r="H267" s="74">
        <v>0</v>
      </c>
      <c r="I267" s="74">
        <v>1</v>
      </c>
      <c r="J267" s="74">
        <v>10865</v>
      </c>
      <c r="K267" s="74">
        <v>0</v>
      </c>
      <c r="L267" s="74">
        <v>10865</v>
      </c>
      <c r="M267" s="75">
        <v>1868</v>
      </c>
    </row>
    <row r="268" spans="1:13" ht="15.75" thickBot="1" x14ac:dyDescent="0.3">
      <c r="A268" s="71" t="s">
        <v>370</v>
      </c>
      <c r="B268" s="72" t="s">
        <v>369</v>
      </c>
      <c r="C268" s="71" t="s">
        <v>22</v>
      </c>
      <c r="D268" s="73" t="s">
        <v>20</v>
      </c>
      <c r="E268" s="73" t="s">
        <v>21</v>
      </c>
      <c r="F268" s="74">
        <v>1</v>
      </c>
      <c r="G268" s="74">
        <v>0</v>
      </c>
      <c r="H268" s="74">
        <v>0</v>
      </c>
      <c r="I268" s="74">
        <v>1</v>
      </c>
      <c r="J268" s="74">
        <v>22900</v>
      </c>
      <c r="K268" s="74">
        <v>0</v>
      </c>
      <c r="L268" s="74">
        <v>22900</v>
      </c>
      <c r="M268" s="75">
        <v>2009</v>
      </c>
    </row>
    <row r="269" spans="1:13" ht="15.75" thickBot="1" x14ac:dyDescent="0.3">
      <c r="A269" s="71" t="s">
        <v>384</v>
      </c>
      <c r="B269" s="72" t="s">
        <v>383</v>
      </c>
      <c r="C269" s="71" t="s">
        <v>22</v>
      </c>
      <c r="D269" s="73" t="s">
        <v>20</v>
      </c>
      <c r="E269" s="73" t="s">
        <v>21</v>
      </c>
      <c r="F269" s="74">
        <v>1</v>
      </c>
      <c r="G269" s="74">
        <v>0</v>
      </c>
      <c r="H269" s="74">
        <v>0</v>
      </c>
      <c r="I269" s="74">
        <v>1</v>
      </c>
      <c r="J269" s="74">
        <v>5500</v>
      </c>
      <c r="K269" s="74">
        <v>0</v>
      </c>
      <c r="L269" s="74">
        <v>5500</v>
      </c>
      <c r="M269" s="75">
        <v>2600</v>
      </c>
    </row>
    <row r="270" spans="1:13" ht="15.75" thickBot="1" x14ac:dyDescent="0.3">
      <c r="A270" s="71" t="s">
        <v>390</v>
      </c>
      <c r="B270" s="72" t="s">
        <v>389</v>
      </c>
      <c r="C270" s="71" t="s">
        <v>22</v>
      </c>
      <c r="D270" s="73" t="s">
        <v>15</v>
      </c>
      <c r="E270" s="73" t="s">
        <v>16</v>
      </c>
      <c r="F270" s="74">
        <v>1</v>
      </c>
      <c r="G270" s="74">
        <v>0</v>
      </c>
      <c r="H270" s="74">
        <v>0</v>
      </c>
      <c r="I270" s="74">
        <v>1</v>
      </c>
      <c r="J270" s="74">
        <v>11500</v>
      </c>
      <c r="K270" s="77">
        <v>0</v>
      </c>
      <c r="L270" s="74">
        <v>11500</v>
      </c>
      <c r="M270" s="75">
        <v>1256</v>
      </c>
    </row>
    <row r="271" spans="1:13" ht="15.75" thickBot="1" x14ac:dyDescent="0.3">
      <c r="A271" s="71" t="s">
        <v>404</v>
      </c>
      <c r="B271" s="72" t="s">
        <v>403</v>
      </c>
      <c r="C271" s="71" t="s">
        <v>22</v>
      </c>
      <c r="D271" s="73" t="s">
        <v>15</v>
      </c>
      <c r="E271" s="73" t="s">
        <v>16</v>
      </c>
      <c r="F271" s="74">
        <v>1</v>
      </c>
      <c r="G271" s="74">
        <v>0</v>
      </c>
      <c r="H271" s="74">
        <v>0</v>
      </c>
      <c r="I271" s="74">
        <v>1</v>
      </c>
      <c r="J271" s="74">
        <v>4928</v>
      </c>
      <c r="K271" s="74">
        <v>0</v>
      </c>
      <c r="L271" s="74">
        <v>4928</v>
      </c>
      <c r="M271" s="75">
        <v>2624</v>
      </c>
    </row>
    <row r="272" spans="1:13" ht="15.75" thickBot="1" x14ac:dyDescent="0.3">
      <c r="A272" s="71" t="s">
        <v>423</v>
      </c>
      <c r="B272" s="72" t="s">
        <v>422</v>
      </c>
      <c r="C272" s="71" t="s">
        <v>22</v>
      </c>
      <c r="D272" s="73" t="s">
        <v>20</v>
      </c>
      <c r="E272" s="73" t="s">
        <v>21</v>
      </c>
      <c r="F272" s="74">
        <v>1</v>
      </c>
      <c r="G272" s="74">
        <v>0</v>
      </c>
      <c r="H272" s="74">
        <v>0</v>
      </c>
      <c r="I272" s="74">
        <v>1</v>
      </c>
      <c r="J272" s="74">
        <v>5900</v>
      </c>
      <c r="K272" s="74">
        <v>0</v>
      </c>
      <c r="L272" s="74">
        <v>5900</v>
      </c>
      <c r="M272" s="75">
        <v>667</v>
      </c>
    </row>
    <row r="273" spans="1:13" ht="15.75" thickBot="1" x14ac:dyDescent="0.3">
      <c r="A273" s="71" t="s">
        <v>439</v>
      </c>
      <c r="B273" s="72" t="s">
        <v>438</v>
      </c>
      <c r="C273" s="71" t="s">
        <v>22</v>
      </c>
      <c r="D273" s="73" t="s">
        <v>61</v>
      </c>
      <c r="E273" s="73" t="s">
        <v>62</v>
      </c>
      <c r="F273" s="74">
        <v>1</v>
      </c>
      <c r="G273" s="74">
        <v>0</v>
      </c>
      <c r="H273" s="74">
        <v>0</v>
      </c>
      <c r="I273" s="74">
        <v>1</v>
      </c>
      <c r="J273" s="74">
        <v>25000</v>
      </c>
      <c r="K273" s="74">
        <v>0</v>
      </c>
      <c r="L273" s="74">
        <v>25000</v>
      </c>
      <c r="M273" s="75">
        <v>2857</v>
      </c>
    </row>
    <row r="274" spans="1:13" ht="15.75" thickBot="1" x14ac:dyDescent="0.3">
      <c r="A274" s="71" t="s">
        <v>452</v>
      </c>
      <c r="B274" s="72" t="s">
        <v>451</v>
      </c>
      <c r="C274" s="71" t="s">
        <v>22</v>
      </c>
      <c r="D274" s="73" t="s">
        <v>15</v>
      </c>
      <c r="E274" s="73" t="s">
        <v>16</v>
      </c>
      <c r="F274" s="74">
        <v>1</v>
      </c>
      <c r="G274" s="74">
        <v>0</v>
      </c>
      <c r="H274" s="74">
        <v>0</v>
      </c>
      <c r="I274" s="74">
        <v>1</v>
      </c>
      <c r="J274" s="74">
        <v>3900</v>
      </c>
      <c r="K274" s="74">
        <v>0</v>
      </c>
      <c r="L274" s="74">
        <v>3900</v>
      </c>
      <c r="M274" s="75">
        <v>3300</v>
      </c>
    </row>
    <row r="275" spans="1:13" ht="15.75" thickBot="1" x14ac:dyDescent="0.3">
      <c r="A275" s="71" t="s">
        <v>458</v>
      </c>
      <c r="B275" s="72" t="s">
        <v>457</v>
      </c>
      <c r="C275" s="71" t="s">
        <v>22</v>
      </c>
      <c r="D275" s="73" t="s">
        <v>20</v>
      </c>
      <c r="E275" s="73" t="s">
        <v>21</v>
      </c>
      <c r="F275" s="74">
        <v>1</v>
      </c>
      <c r="G275" s="74">
        <v>0</v>
      </c>
      <c r="H275" s="74">
        <v>0</v>
      </c>
      <c r="I275" s="74">
        <v>1</v>
      </c>
      <c r="J275" s="74">
        <v>11214</v>
      </c>
      <c r="K275" s="74">
        <v>0</v>
      </c>
      <c r="L275" s="74">
        <v>11214</v>
      </c>
      <c r="M275" s="75">
        <v>2550</v>
      </c>
    </row>
    <row r="276" spans="1:13" ht="15.75" thickBot="1" x14ac:dyDescent="0.3">
      <c r="A276" s="71" t="s">
        <v>472</v>
      </c>
      <c r="B276" s="72" t="s">
        <v>471</v>
      </c>
      <c r="C276" s="71" t="s">
        <v>22</v>
      </c>
      <c r="D276" s="73" t="s">
        <v>101</v>
      </c>
      <c r="E276" s="73" t="s">
        <v>102</v>
      </c>
      <c r="F276" s="74">
        <v>1</v>
      </c>
      <c r="G276" s="74">
        <v>5</v>
      </c>
      <c r="H276" s="74">
        <v>0</v>
      </c>
      <c r="I276" s="74">
        <v>6</v>
      </c>
      <c r="J276" s="74">
        <v>10542</v>
      </c>
      <c r="K276" s="76">
        <v>8791</v>
      </c>
      <c r="L276" s="74">
        <v>19333</v>
      </c>
      <c r="M276" s="75">
        <v>4242</v>
      </c>
    </row>
    <row r="277" spans="1:13" ht="15.75" thickBot="1" x14ac:dyDescent="0.3">
      <c r="A277" s="71" t="s">
        <v>482</v>
      </c>
      <c r="B277" s="72" t="s">
        <v>481</v>
      </c>
      <c r="C277" s="71" t="s">
        <v>22</v>
      </c>
      <c r="D277" s="73" t="s">
        <v>20</v>
      </c>
      <c r="E277" s="73" t="s">
        <v>21</v>
      </c>
      <c r="F277" s="74">
        <v>1</v>
      </c>
      <c r="G277" s="74">
        <v>0</v>
      </c>
      <c r="H277" s="74">
        <v>0</v>
      </c>
      <c r="I277" s="74">
        <v>1</v>
      </c>
      <c r="J277" s="74">
        <v>19000</v>
      </c>
      <c r="K277" s="74">
        <v>0</v>
      </c>
      <c r="L277" s="74">
        <v>19000</v>
      </c>
      <c r="M277" s="75">
        <v>2165</v>
      </c>
    </row>
    <row r="278" spans="1:13" ht="15.75" thickBot="1" x14ac:dyDescent="0.3">
      <c r="A278" s="71" t="s">
        <v>486</v>
      </c>
      <c r="B278" s="72" t="s">
        <v>485</v>
      </c>
      <c r="C278" s="71" t="s">
        <v>22</v>
      </c>
      <c r="D278" s="73" t="s">
        <v>20</v>
      </c>
      <c r="E278" s="73" t="s">
        <v>21</v>
      </c>
      <c r="F278" s="74">
        <v>1</v>
      </c>
      <c r="G278" s="74">
        <v>0</v>
      </c>
      <c r="H278" s="74">
        <v>0</v>
      </c>
      <c r="I278" s="74">
        <v>1</v>
      </c>
      <c r="J278" s="74">
        <v>26291</v>
      </c>
      <c r="K278" s="74">
        <v>0</v>
      </c>
      <c r="L278" s="74">
        <v>26291</v>
      </c>
      <c r="M278" s="75">
        <v>2132</v>
      </c>
    </row>
    <row r="279" spans="1:13" ht="15.75" thickBot="1" x14ac:dyDescent="0.3">
      <c r="A279" s="71" t="s">
        <v>496</v>
      </c>
      <c r="B279" s="72" t="s">
        <v>495</v>
      </c>
      <c r="C279" s="71" t="s">
        <v>22</v>
      </c>
      <c r="D279" s="73" t="s">
        <v>101</v>
      </c>
      <c r="E279" s="73" t="s">
        <v>102</v>
      </c>
      <c r="F279" s="74">
        <v>1</v>
      </c>
      <c r="G279" s="74">
        <v>1</v>
      </c>
      <c r="H279" s="74">
        <v>1</v>
      </c>
      <c r="I279" s="74">
        <v>3</v>
      </c>
      <c r="J279" s="74">
        <v>6760</v>
      </c>
      <c r="K279" s="76">
        <v>800</v>
      </c>
      <c r="L279" s="74">
        <v>7560</v>
      </c>
      <c r="M279" s="75">
        <v>2694</v>
      </c>
    </row>
    <row r="280" spans="1:13" ht="15.75" thickBot="1" x14ac:dyDescent="0.3">
      <c r="A280" s="71" t="s">
        <v>500</v>
      </c>
      <c r="B280" s="72" t="s">
        <v>499</v>
      </c>
      <c r="C280" s="71" t="s">
        <v>22</v>
      </c>
      <c r="D280" s="73" t="s">
        <v>20</v>
      </c>
      <c r="E280" s="73" t="s">
        <v>21</v>
      </c>
      <c r="F280" s="74">
        <v>1</v>
      </c>
      <c r="G280" s="74">
        <v>0</v>
      </c>
      <c r="H280" s="74">
        <v>0</v>
      </c>
      <c r="I280" s="74">
        <v>1</v>
      </c>
      <c r="J280" s="74">
        <v>5130</v>
      </c>
      <c r="K280" s="74">
        <v>0</v>
      </c>
      <c r="L280" s="74">
        <v>5130</v>
      </c>
      <c r="M280" s="75">
        <v>1968</v>
      </c>
    </row>
    <row r="281" spans="1:13" ht="15.75" thickBot="1" x14ac:dyDescent="0.3">
      <c r="A281" s="71" t="s">
        <v>502</v>
      </c>
      <c r="B281" s="72" t="s">
        <v>501</v>
      </c>
      <c r="C281" s="71" t="s">
        <v>22</v>
      </c>
      <c r="D281" s="73" t="s">
        <v>15</v>
      </c>
      <c r="E281" s="73" t="s">
        <v>16</v>
      </c>
      <c r="F281" s="74">
        <v>1</v>
      </c>
      <c r="G281" s="74">
        <v>0</v>
      </c>
      <c r="H281" s="74">
        <v>0</v>
      </c>
      <c r="I281" s="74">
        <v>1</v>
      </c>
      <c r="J281" s="74">
        <v>23500</v>
      </c>
      <c r="K281" s="74">
        <v>0</v>
      </c>
      <c r="L281" s="74">
        <v>23500</v>
      </c>
      <c r="M281" s="75">
        <v>3008</v>
      </c>
    </row>
    <row r="282" spans="1:13" ht="15.75" thickBot="1" x14ac:dyDescent="0.3">
      <c r="A282" s="71" t="s">
        <v>506</v>
      </c>
      <c r="B282" s="72" t="s">
        <v>505</v>
      </c>
      <c r="C282" s="71" t="s">
        <v>22</v>
      </c>
      <c r="D282" s="73" t="s">
        <v>15</v>
      </c>
      <c r="E282" s="73" t="s">
        <v>16</v>
      </c>
      <c r="F282" s="74">
        <v>1</v>
      </c>
      <c r="G282" s="74">
        <v>0</v>
      </c>
      <c r="H282" s="74">
        <v>0</v>
      </c>
      <c r="I282" s="74">
        <v>1</v>
      </c>
      <c r="J282" s="74">
        <v>7438</v>
      </c>
      <c r="K282" s="74">
        <v>0</v>
      </c>
      <c r="L282" s="74">
        <v>7438</v>
      </c>
      <c r="M282" s="75">
        <v>2090</v>
      </c>
    </row>
    <row r="283" spans="1:13" ht="15.75" thickBot="1" x14ac:dyDescent="0.3">
      <c r="A283" s="71" t="s">
        <v>516</v>
      </c>
      <c r="B283" s="72" t="s">
        <v>515</v>
      </c>
      <c r="C283" s="71" t="s">
        <v>22</v>
      </c>
      <c r="D283" s="73" t="s">
        <v>20</v>
      </c>
      <c r="E283" s="73" t="s">
        <v>21</v>
      </c>
      <c r="F283" s="74">
        <v>1</v>
      </c>
      <c r="G283" s="74">
        <v>0</v>
      </c>
      <c r="H283" s="74">
        <v>0</v>
      </c>
      <c r="I283" s="74">
        <v>1</v>
      </c>
      <c r="J283" s="74">
        <v>34000</v>
      </c>
      <c r="K283" s="74">
        <v>0</v>
      </c>
      <c r="L283" s="74">
        <v>34000</v>
      </c>
      <c r="M283" s="75">
        <v>2432</v>
      </c>
    </row>
    <row r="284" spans="1:13" ht="15.75" thickBot="1" x14ac:dyDescent="0.3">
      <c r="A284" s="71" t="s">
        <v>530</v>
      </c>
      <c r="B284" s="72" t="s">
        <v>529</v>
      </c>
      <c r="C284" s="71" t="s">
        <v>22</v>
      </c>
      <c r="D284" s="73" t="s">
        <v>101</v>
      </c>
      <c r="E284" s="73" t="s">
        <v>102</v>
      </c>
      <c r="F284" s="74">
        <v>1</v>
      </c>
      <c r="G284" s="74">
        <v>0</v>
      </c>
      <c r="H284" s="74">
        <v>0</v>
      </c>
      <c r="I284" s="74">
        <v>1</v>
      </c>
      <c r="J284" s="74">
        <v>39855</v>
      </c>
      <c r="K284" s="74">
        <v>0</v>
      </c>
      <c r="L284" s="74">
        <v>39855</v>
      </c>
      <c r="M284" s="75">
        <v>3060</v>
      </c>
    </row>
    <row r="285" spans="1:13" ht="15.75" thickBot="1" x14ac:dyDescent="0.3">
      <c r="A285" s="71" t="s">
        <v>546</v>
      </c>
      <c r="B285" s="72" t="s">
        <v>545</v>
      </c>
      <c r="C285" s="71" t="s">
        <v>22</v>
      </c>
      <c r="D285" s="73" t="s">
        <v>101</v>
      </c>
      <c r="E285" s="73" t="s">
        <v>102</v>
      </c>
      <c r="F285" s="74">
        <v>1</v>
      </c>
      <c r="G285" s="74">
        <v>2</v>
      </c>
      <c r="H285" s="74">
        <v>0</v>
      </c>
      <c r="I285" s="74">
        <v>3</v>
      </c>
      <c r="J285" s="74">
        <v>6440</v>
      </c>
      <c r="K285" s="76">
        <v>3200</v>
      </c>
      <c r="L285" s="74">
        <v>9640</v>
      </c>
      <c r="M285" s="75">
        <v>3448</v>
      </c>
    </row>
    <row r="286" spans="1:13" ht="15.75" thickBot="1" x14ac:dyDescent="0.3">
      <c r="A286" s="71" t="s">
        <v>556</v>
      </c>
      <c r="B286" s="72" t="s">
        <v>555</v>
      </c>
      <c r="C286" s="71" t="s">
        <v>22</v>
      </c>
      <c r="D286" s="73" t="s">
        <v>15</v>
      </c>
      <c r="E286" s="73" t="s">
        <v>16</v>
      </c>
      <c r="F286" s="74">
        <v>1</v>
      </c>
      <c r="G286" s="74">
        <v>2</v>
      </c>
      <c r="H286" s="74">
        <v>0</v>
      </c>
      <c r="I286" s="74">
        <v>3</v>
      </c>
      <c r="J286" s="74">
        <v>24373</v>
      </c>
      <c r="K286" s="76">
        <v>2190</v>
      </c>
      <c r="L286" s="74">
        <v>26563</v>
      </c>
      <c r="M286" s="75">
        <v>4842</v>
      </c>
    </row>
    <row r="287" spans="1:13" ht="15.75" thickBot="1" x14ac:dyDescent="0.3">
      <c r="A287" s="71" t="s">
        <v>558</v>
      </c>
      <c r="B287" s="72" t="s">
        <v>557</v>
      </c>
      <c r="C287" s="71" t="s">
        <v>22</v>
      </c>
      <c r="D287" s="73" t="s">
        <v>15</v>
      </c>
      <c r="E287" s="73" t="s">
        <v>16</v>
      </c>
      <c r="F287" s="74">
        <v>1</v>
      </c>
      <c r="G287" s="74">
        <v>0</v>
      </c>
      <c r="H287" s="74">
        <v>0</v>
      </c>
      <c r="I287" s="74">
        <v>1</v>
      </c>
      <c r="J287" s="74">
        <v>18450</v>
      </c>
      <c r="K287" s="74">
        <v>0</v>
      </c>
      <c r="L287" s="74">
        <v>18450</v>
      </c>
      <c r="M287" s="75">
        <v>2864</v>
      </c>
    </row>
    <row r="288" spans="1:13" ht="15.75" thickBot="1" x14ac:dyDescent="0.3">
      <c r="A288" s="71" t="s">
        <v>562</v>
      </c>
      <c r="B288" s="72" t="s">
        <v>561</v>
      </c>
      <c r="C288" s="71" t="s">
        <v>22</v>
      </c>
      <c r="D288" s="73" t="s">
        <v>15</v>
      </c>
      <c r="E288" s="73" t="s">
        <v>16</v>
      </c>
      <c r="F288" s="74">
        <v>1</v>
      </c>
      <c r="G288" s="74">
        <v>0</v>
      </c>
      <c r="H288" s="74">
        <v>0</v>
      </c>
      <c r="I288" s="74">
        <v>1</v>
      </c>
      <c r="J288" s="74">
        <v>24300</v>
      </c>
      <c r="K288" s="74">
        <v>0</v>
      </c>
      <c r="L288" s="74">
        <v>24300</v>
      </c>
      <c r="M288" s="75">
        <v>3091</v>
      </c>
    </row>
    <row r="289" spans="1:13" ht="15.75" thickBot="1" x14ac:dyDescent="0.3">
      <c r="A289" s="71" t="s">
        <v>570</v>
      </c>
      <c r="B289" s="72" t="s">
        <v>569</v>
      </c>
      <c r="C289" s="71" t="s">
        <v>22</v>
      </c>
      <c r="D289" s="73" t="s">
        <v>15</v>
      </c>
      <c r="E289" s="73" t="s">
        <v>16</v>
      </c>
      <c r="F289" s="74">
        <v>1</v>
      </c>
      <c r="G289" s="74">
        <v>0</v>
      </c>
      <c r="H289" s="74">
        <v>0</v>
      </c>
      <c r="I289" s="74">
        <v>1</v>
      </c>
      <c r="J289" s="74">
        <v>16398</v>
      </c>
      <c r="K289" s="74">
        <v>0</v>
      </c>
      <c r="L289" s="74">
        <v>16398</v>
      </c>
      <c r="M289" s="75">
        <v>2808</v>
      </c>
    </row>
    <row r="290" spans="1:13" ht="15.75" thickBot="1" x14ac:dyDescent="0.3">
      <c r="A290" s="71" t="s">
        <v>580</v>
      </c>
      <c r="B290" s="72" t="s">
        <v>579</v>
      </c>
      <c r="C290" s="71" t="s">
        <v>22</v>
      </c>
      <c r="D290" s="73" t="s">
        <v>15</v>
      </c>
      <c r="E290" s="73" t="s">
        <v>16</v>
      </c>
      <c r="F290" s="74">
        <v>1</v>
      </c>
      <c r="G290" s="74">
        <v>0</v>
      </c>
      <c r="H290" s="74">
        <v>0</v>
      </c>
      <c r="I290" s="74">
        <v>1</v>
      </c>
      <c r="J290" s="74">
        <v>24000</v>
      </c>
      <c r="K290" s="74">
        <v>0</v>
      </c>
      <c r="L290" s="74">
        <v>24000</v>
      </c>
      <c r="M290" s="75">
        <v>2775</v>
      </c>
    </row>
    <row r="291" spans="1:13" ht="15.75" thickBot="1" x14ac:dyDescent="0.3">
      <c r="A291" s="71" t="s">
        <v>596</v>
      </c>
      <c r="B291" s="72" t="s">
        <v>595</v>
      </c>
      <c r="C291" s="71" t="s">
        <v>22</v>
      </c>
      <c r="D291" s="73" t="s">
        <v>20</v>
      </c>
      <c r="E291" s="73" t="s">
        <v>21</v>
      </c>
      <c r="F291" s="74">
        <v>1</v>
      </c>
      <c r="G291" s="74">
        <v>1</v>
      </c>
      <c r="H291" s="74">
        <v>0</v>
      </c>
      <c r="I291" s="74">
        <v>2</v>
      </c>
      <c r="J291" s="74">
        <v>12650</v>
      </c>
      <c r="K291" s="76">
        <v>3733</v>
      </c>
      <c r="L291" s="74">
        <v>16383</v>
      </c>
      <c r="M291" s="75">
        <v>3482</v>
      </c>
    </row>
    <row r="292" spans="1:13" ht="15.75" thickBot="1" x14ac:dyDescent="0.3">
      <c r="A292" s="71" t="s">
        <v>598</v>
      </c>
      <c r="B292" s="72" t="s">
        <v>597</v>
      </c>
      <c r="C292" s="71" t="s">
        <v>22</v>
      </c>
      <c r="D292" s="73" t="s">
        <v>20</v>
      </c>
      <c r="E292" s="73" t="s">
        <v>21</v>
      </c>
      <c r="F292" s="74">
        <v>1</v>
      </c>
      <c r="G292" s="74">
        <v>0</v>
      </c>
      <c r="H292" s="74">
        <v>0</v>
      </c>
      <c r="I292" s="74">
        <v>1</v>
      </c>
      <c r="J292" s="74">
        <v>14400</v>
      </c>
      <c r="K292" s="74">
        <v>0</v>
      </c>
      <c r="L292" s="74">
        <v>14400</v>
      </c>
      <c r="M292" s="75">
        <v>2111</v>
      </c>
    </row>
    <row r="293" spans="1:13" ht="15.75" thickBot="1" x14ac:dyDescent="0.3">
      <c r="A293" s="71" t="s">
        <v>602</v>
      </c>
      <c r="B293" s="72" t="s">
        <v>601</v>
      </c>
      <c r="C293" s="71" t="s">
        <v>22</v>
      </c>
      <c r="D293" s="73" t="s">
        <v>15</v>
      </c>
      <c r="E293" s="73" t="s">
        <v>16</v>
      </c>
      <c r="F293" s="74">
        <v>1</v>
      </c>
      <c r="G293" s="74">
        <v>4</v>
      </c>
      <c r="H293" s="74">
        <v>0</v>
      </c>
      <c r="I293" s="74">
        <v>5</v>
      </c>
      <c r="J293" s="74">
        <v>9937</v>
      </c>
      <c r="K293" s="76">
        <v>10169</v>
      </c>
      <c r="L293" s="74">
        <v>20106</v>
      </c>
      <c r="M293" s="75">
        <v>8272</v>
      </c>
    </row>
    <row r="294" spans="1:13" ht="15.75" thickBot="1" x14ac:dyDescent="0.3">
      <c r="A294" s="71" t="s">
        <v>636</v>
      </c>
      <c r="B294" s="72" t="s">
        <v>635</v>
      </c>
      <c r="C294" s="71" t="s">
        <v>22</v>
      </c>
      <c r="D294" s="73" t="s">
        <v>20</v>
      </c>
      <c r="E294" s="73" t="s">
        <v>21</v>
      </c>
      <c r="F294" s="74">
        <v>1</v>
      </c>
      <c r="G294" s="74">
        <v>0</v>
      </c>
      <c r="H294" s="74">
        <v>0</v>
      </c>
      <c r="I294" s="74">
        <v>1</v>
      </c>
      <c r="J294" s="74">
        <v>14600</v>
      </c>
      <c r="K294" s="74">
        <v>0</v>
      </c>
      <c r="L294" s="74">
        <v>14600</v>
      </c>
      <c r="M294" s="75">
        <v>1330</v>
      </c>
    </row>
    <row r="295" spans="1:13" ht="15.75" thickBot="1" x14ac:dyDescent="0.3">
      <c r="A295" s="71" t="s">
        <v>662</v>
      </c>
      <c r="B295" s="72" t="s">
        <v>661</v>
      </c>
      <c r="C295" s="71" t="s">
        <v>22</v>
      </c>
      <c r="D295" s="73" t="s">
        <v>20</v>
      </c>
      <c r="E295" s="73" t="s">
        <v>21</v>
      </c>
      <c r="F295" s="74">
        <v>1</v>
      </c>
      <c r="G295" s="74">
        <v>0</v>
      </c>
      <c r="H295" s="74">
        <v>0</v>
      </c>
      <c r="I295" s="74">
        <v>1</v>
      </c>
      <c r="J295" s="74">
        <v>22056</v>
      </c>
      <c r="K295" s="74">
        <v>0</v>
      </c>
      <c r="L295" s="74">
        <v>22056</v>
      </c>
      <c r="M295" s="75">
        <v>2446</v>
      </c>
    </row>
    <row r="296" spans="1:13" ht="15.75" thickBot="1" x14ac:dyDescent="0.3">
      <c r="A296" s="71" t="s">
        <v>704</v>
      </c>
      <c r="B296" s="72" t="s">
        <v>703</v>
      </c>
      <c r="C296" s="71" t="s">
        <v>22</v>
      </c>
      <c r="D296" s="73" t="s">
        <v>15</v>
      </c>
      <c r="E296" s="73" t="s">
        <v>16</v>
      </c>
      <c r="F296" s="74">
        <v>1</v>
      </c>
      <c r="G296" s="74">
        <v>0</v>
      </c>
      <c r="H296" s="74">
        <v>0</v>
      </c>
      <c r="I296" s="74">
        <v>1</v>
      </c>
      <c r="J296" s="74">
        <v>34500</v>
      </c>
      <c r="K296" s="74">
        <v>0</v>
      </c>
      <c r="L296" s="74">
        <v>34500</v>
      </c>
      <c r="M296" s="75">
        <v>3052</v>
      </c>
    </row>
    <row r="297" spans="1:13" ht="15.75" thickBot="1" x14ac:dyDescent="0.3">
      <c r="A297" s="71" t="s">
        <v>706</v>
      </c>
      <c r="B297" s="72" t="s">
        <v>705</v>
      </c>
      <c r="C297" s="71" t="s">
        <v>22</v>
      </c>
      <c r="D297" s="73" t="s">
        <v>15</v>
      </c>
      <c r="E297" s="73" t="s">
        <v>16</v>
      </c>
      <c r="F297" s="74">
        <v>1</v>
      </c>
      <c r="G297" s="74">
        <v>0</v>
      </c>
      <c r="H297" s="74">
        <v>0</v>
      </c>
      <c r="I297" s="74">
        <v>1</v>
      </c>
      <c r="J297" s="74">
        <v>14000</v>
      </c>
      <c r="K297" s="77">
        <v>0</v>
      </c>
      <c r="L297" s="74">
        <v>14000</v>
      </c>
      <c r="M297" s="75">
        <v>1826</v>
      </c>
    </row>
    <row r="298" spans="1:13" ht="15.75" thickBot="1" x14ac:dyDescent="0.3">
      <c r="A298" s="71" t="s">
        <v>712</v>
      </c>
      <c r="B298" s="72" t="s">
        <v>711</v>
      </c>
      <c r="C298" s="71" t="s">
        <v>22</v>
      </c>
      <c r="D298" s="73" t="s">
        <v>101</v>
      </c>
      <c r="E298" s="73" t="s">
        <v>102</v>
      </c>
      <c r="F298" s="74">
        <v>1</v>
      </c>
      <c r="G298" s="74">
        <v>0</v>
      </c>
      <c r="H298" s="74">
        <v>0</v>
      </c>
      <c r="I298" s="74">
        <v>1</v>
      </c>
      <c r="J298" s="74">
        <v>15400</v>
      </c>
      <c r="K298" s="74">
        <v>0</v>
      </c>
      <c r="L298" s="74">
        <v>15400</v>
      </c>
      <c r="M298" s="75">
        <v>2012</v>
      </c>
    </row>
    <row r="299" spans="1:13" ht="15.75" thickBot="1" x14ac:dyDescent="0.3">
      <c r="A299" s="71" t="s">
        <v>730</v>
      </c>
      <c r="B299" s="72" t="s">
        <v>729</v>
      </c>
      <c r="C299" s="71" t="s">
        <v>22</v>
      </c>
      <c r="D299" s="73" t="s">
        <v>20</v>
      </c>
      <c r="E299" s="73" t="s">
        <v>21</v>
      </c>
      <c r="F299" s="74">
        <v>1</v>
      </c>
      <c r="G299" s="74">
        <v>0</v>
      </c>
      <c r="H299" s="74">
        <v>0</v>
      </c>
      <c r="I299" s="74">
        <v>1</v>
      </c>
      <c r="J299" s="74">
        <v>16033</v>
      </c>
      <c r="K299" s="74">
        <v>0</v>
      </c>
      <c r="L299" s="74">
        <v>16033</v>
      </c>
      <c r="M299" s="75">
        <v>2378</v>
      </c>
    </row>
    <row r="300" spans="1:13" ht="15.75" thickBot="1" x14ac:dyDescent="0.3">
      <c r="A300" s="71" t="s">
        <v>742</v>
      </c>
      <c r="B300" s="72" t="s">
        <v>741</v>
      </c>
      <c r="C300" s="71" t="s">
        <v>22</v>
      </c>
      <c r="D300" s="73" t="s">
        <v>20</v>
      </c>
      <c r="E300" s="73" t="s">
        <v>21</v>
      </c>
      <c r="F300" s="74">
        <v>1</v>
      </c>
      <c r="G300" s="74">
        <v>0</v>
      </c>
      <c r="H300" s="74">
        <v>0</v>
      </c>
      <c r="I300" s="74">
        <v>1</v>
      </c>
      <c r="J300" s="74">
        <v>8937</v>
      </c>
      <c r="K300" s="74">
        <v>0</v>
      </c>
      <c r="L300" s="74">
        <v>8937</v>
      </c>
      <c r="M300" s="75">
        <v>1785</v>
      </c>
    </row>
    <row r="301" spans="1:13" ht="15.75" thickBot="1" x14ac:dyDescent="0.3">
      <c r="A301" s="71" t="s">
        <v>746</v>
      </c>
      <c r="B301" s="72" t="s">
        <v>745</v>
      </c>
      <c r="C301" s="71" t="s">
        <v>22</v>
      </c>
      <c r="D301" s="73" t="s">
        <v>20</v>
      </c>
      <c r="E301" s="73" t="s">
        <v>21</v>
      </c>
      <c r="F301" s="74">
        <v>1</v>
      </c>
      <c r="G301" s="74">
        <v>0</v>
      </c>
      <c r="H301" s="74">
        <v>0</v>
      </c>
      <c r="I301" s="74">
        <v>1</v>
      </c>
      <c r="J301" s="74">
        <v>20000</v>
      </c>
      <c r="K301" s="77">
        <v>0</v>
      </c>
      <c r="L301" s="74">
        <v>20000</v>
      </c>
      <c r="M301" s="75">
        <v>2018</v>
      </c>
    </row>
    <row r="302" spans="1:13" ht="15.75" thickBot="1" x14ac:dyDescent="0.3">
      <c r="A302" s="71" t="s">
        <v>766</v>
      </c>
      <c r="B302" s="72" t="s">
        <v>765</v>
      </c>
      <c r="C302" s="71" t="s">
        <v>22</v>
      </c>
      <c r="D302" s="73" t="s">
        <v>253</v>
      </c>
      <c r="E302" s="73" t="s">
        <v>415</v>
      </c>
      <c r="F302" s="74">
        <v>1</v>
      </c>
      <c r="G302" s="74">
        <v>0</v>
      </c>
      <c r="H302" s="74">
        <v>0</v>
      </c>
      <c r="I302" s="74">
        <v>1</v>
      </c>
      <c r="J302" s="74">
        <v>10730</v>
      </c>
      <c r="K302" s="74">
        <v>0</v>
      </c>
      <c r="L302" s="74">
        <v>10730</v>
      </c>
      <c r="M302" s="75">
        <v>2916</v>
      </c>
    </row>
    <row r="303" spans="1:13" ht="15.75" thickBot="1" x14ac:dyDescent="0.3">
      <c r="A303" s="71" t="s">
        <v>786</v>
      </c>
      <c r="B303" s="72" t="s">
        <v>785</v>
      </c>
      <c r="C303" s="71" t="s">
        <v>22</v>
      </c>
      <c r="D303" s="73" t="s">
        <v>20</v>
      </c>
      <c r="E303" s="73" t="s">
        <v>21</v>
      </c>
      <c r="F303" s="74">
        <v>1</v>
      </c>
      <c r="G303" s="74">
        <v>0</v>
      </c>
      <c r="H303" s="74">
        <v>0</v>
      </c>
      <c r="I303" s="74">
        <v>1</v>
      </c>
      <c r="J303" s="74">
        <v>24500</v>
      </c>
      <c r="K303" s="74">
        <v>0</v>
      </c>
      <c r="L303" s="74">
        <v>24500</v>
      </c>
      <c r="M303" s="75">
        <v>1400</v>
      </c>
    </row>
    <row r="304" spans="1:13" ht="15.75" thickBot="1" x14ac:dyDescent="0.3">
      <c r="A304" s="71" t="s">
        <v>812</v>
      </c>
      <c r="B304" s="72" t="s">
        <v>811</v>
      </c>
      <c r="C304" s="71" t="s">
        <v>22</v>
      </c>
      <c r="D304" s="73" t="s">
        <v>20</v>
      </c>
      <c r="E304" s="73" t="s">
        <v>21</v>
      </c>
      <c r="F304" s="74">
        <v>1</v>
      </c>
      <c r="G304" s="74">
        <v>0</v>
      </c>
      <c r="H304" s="74">
        <v>0</v>
      </c>
      <c r="I304" s="74">
        <v>1</v>
      </c>
      <c r="J304" s="74">
        <v>14300</v>
      </c>
      <c r="K304" s="74">
        <v>0</v>
      </c>
      <c r="L304" s="74">
        <v>14300</v>
      </c>
      <c r="M304" s="75">
        <v>1861</v>
      </c>
    </row>
    <row r="305" spans="1:13" ht="15.75" thickBot="1" x14ac:dyDescent="0.3">
      <c r="A305" s="71" t="s">
        <v>38</v>
      </c>
      <c r="B305" s="72" t="s">
        <v>37</v>
      </c>
      <c r="C305" s="71" t="s">
        <v>39</v>
      </c>
      <c r="D305" s="73" t="s">
        <v>20</v>
      </c>
      <c r="E305" s="73" t="s">
        <v>21</v>
      </c>
      <c r="F305" s="74">
        <v>1</v>
      </c>
      <c r="G305" s="74">
        <v>0</v>
      </c>
      <c r="H305" s="74">
        <v>0</v>
      </c>
      <c r="I305" s="74">
        <v>1</v>
      </c>
      <c r="J305" s="74">
        <v>13320</v>
      </c>
      <c r="K305" s="74">
        <v>0</v>
      </c>
      <c r="L305" s="74">
        <v>13320</v>
      </c>
      <c r="M305" s="75">
        <v>1709</v>
      </c>
    </row>
    <row r="306" spans="1:13" ht="15.75" thickBot="1" x14ac:dyDescent="0.3">
      <c r="A306" s="71" t="s">
        <v>41</v>
      </c>
      <c r="B306" s="72" t="s">
        <v>40</v>
      </c>
      <c r="C306" s="71" t="s">
        <v>39</v>
      </c>
      <c r="D306" s="73" t="s">
        <v>15</v>
      </c>
      <c r="E306" s="73" t="s">
        <v>16</v>
      </c>
      <c r="F306" s="74">
        <v>1</v>
      </c>
      <c r="G306" s="74">
        <v>0</v>
      </c>
      <c r="H306" s="74">
        <v>0</v>
      </c>
      <c r="I306" s="74">
        <v>1</v>
      </c>
      <c r="J306" s="74">
        <v>8000</v>
      </c>
      <c r="K306" s="74">
        <v>0</v>
      </c>
      <c r="L306" s="74">
        <v>8000</v>
      </c>
      <c r="M306" s="75">
        <v>3120</v>
      </c>
    </row>
    <row r="307" spans="1:13" ht="15.75" thickBot="1" x14ac:dyDescent="0.3">
      <c r="A307" s="71" t="s">
        <v>49</v>
      </c>
      <c r="B307" s="72" t="s">
        <v>48</v>
      </c>
      <c r="C307" s="71" t="s">
        <v>39</v>
      </c>
      <c r="D307" s="73" t="s">
        <v>15</v>
      </c>
      <c r="E307" s="73" t="s">
        <v>16</v>
      </c>
      <c r="F307" s="74">
        <v>1</v>
      </c>
      <c r="G307" s="74">
        <v>1</v>
      </c>
      <c r="H307" s="74">
        <v>0</v>
      </c>
      <c r="I307" s="74">
        <v>2</v>
      </c>
      <c r="J307" s="74">
        <v>26000</v>
      </c>
      <c r="K307" s="76">
        <v>0</v>
      </c>
      <c r="L307" s="74">
        <v>26000</v>
      </c>
      <c r="M307" s="75">
        <v>2775</v>
      </c>
    </row>
    <row r="308" spans="1:13" ht="15.75" thickBot="1" x14ac:dyDescent="0.3">
      <c r="A308" s="71" t="s">
        <v>72</v>
      </c>
      <c r="B308" s="72" t="s">
        <v>71</v>
      </c>
      <c r="C308" s="71" t="s">
        <v>39</v>
      </c>
      <c r="D308" s="73" t="s">
        <v>20</v>
      </c>
      <c r="E308" s="73" t="s">
        <v>21</v>
      </c>
      <c r="F308" s="74">
        <v>1</v>
      </c>
      <c r="G308" s="74">
        <v>0</v>
      </c>
      <c r="H308" s="74">
        <v>0</v>
      </c>
      <c r="I308" s="74">
        <v>1</v>
      </c>
      <c r="J308" s="74">
        <v>42174</v>
      </c>
      <c r="K308" s="74">
        <v>0</v>
      </c>
      <c r="L308" s="74">
        <v>42174</v>
      </c>
      <c r="M308" s="75">
        <v>2391</v>
      </c>
    </row>
    <row r="309" spans="1:13" ht="15.75" thickBot="1" x14ac:dyDescent="0.3">
      <c r="A309" s="71" t="s">
        <v>84</v>
      </c>
      <c r="B309" s="72" t="s">
        <v>83</v>
      </c>
      <c r="C309" s="71" t="s">
        <v>39</v>
      </c>
      <c r="D309" s="73" t="s">
        <v>20</v>
      </c>
      <c r="E309" s="73" t="s">
        <v>21</v>
      </c>
      <c r="F309" s="74">
        <v>1</v>
      </c>
      <c r="G309" s="74">
        <v>1</v>
      </c>
      <c r="H309" s="74">
        <v>0</v>
      </c>
      <c r="I309" s="74">
        <v>2</v>
      </c>
      <c r="J309" s="74">
        <v>31015</v>
      </c>
      <c r="K309" s="76">
        <v>1335</v>
      </c>
      <c r="L309" s="74">
        <v>32350</v>
      </c>
      <c r="M309" s="75">
        <v>2023</v>
      </c>
    </row>
    <row r="310" spans="1:13" ht="15.75" thickBot="1" x14ac:dyDescent="0.3">
      <c r="A310" s="71" t="s">
        <v>108</v>
      </c>
      <c r="B310" s="72" t="s">
        <v>107</v>
      </c>
      <c r="C310" s="71" t="s">
        <v>39</v>
      </c>
      <c r="D310" s="73" t="s">
        <v>61</v>
      </c>
      <c r="E310" s="73" t="s">
        <v>62</v>
      </c>
      <c r="F310" s="74">
        <v>1</v>
      </c>
      <c r="G310" s="74">
        <v>0</v>
      </c>
      <c r="H310" s="74">
        <v>0</v>
      </c>
      <c r="I310" s="74">
        <v>1</v>
      </c>
      <c r="J310" s="74">
        <v>102505</v>
      </c>
      <c r="K310" s="74">
        <v>0</v>
      </c>
      <c r="L310" s="74">
        <v>102505</v>
      </c>
      <c r="M310" s="75">
        <v>3226</v>
      </c>
    </row>
    <row r="311" spans="1:13" ht="15.75" thickBot="1" x14ac:dyDescent="0.3">
      <c r="A311" s="71" t="s">
        <v>114</v>
      </c>
      <c r="B311" s="72" t="s">
        <v>113</v>
      </c>
      <c r="C311" s="71" t="s">
        <v>39</v>
      </c>
      <c r="D311" s="73" t="s">
        <v>15</v>
      </c>
      <c r="E311" s="73" t="s">
        <v>16</v>
      </c>
      <c r="F311" s="74">
        <v>1</v>
      </c>
      <c r="G311" s="74">
        <v>5</v>
      </c>
      <c r="H311" s="74">
        <v>0</v>
      </c>
      <c r="I311" s="74">
        <v>6</v>
      </c>
      <c r="J311" s="74">
        <v>18309</v>
      </c>
      <c r="K311" s="76">
        <v>9129</v>
      </c>
      <c r="L311" s="74">
        <v>27438</v>
      </c>
      <c r="M311" s="75">
        <v>11250</v>
      </c>
    </row>
    <row r="312" spans="1:13" ht="15.75" thickBot="1" x14ac:dyDescent="0.3">
      <c r="A312" s="71" t="s">
        <v>124</v>
      </c>
      <c r="B312" s="72" t="s">
        <v>123</v>
      </c>
      <c r="C312" s="71" t="s">
        <v>39</v>
      </c>
      <c r="D312" s="73" t="s">
        <v>46</v>
      </c>
      <c r="E312" s="73" t="s">
        <v>47</v>
      </c>
      <c r="F312" s="74">
        <v>1</v>
      </c>
      <c r="G312" s="74">
        <v>0</v>
      </c>
      <c r="H312" s="74">
        <v>0</v>
      </c>
      <c r="I312" s="74">
        <v>1</v>
      </c>
      <c r="J312" s="74">
        <v>23100</v>
      </c>
      <c r="K312" s="74">
        <v>0</v>
      </c>
      <c r="L312" s="74">
        <v>23100</v>
      </c>
      <c r="M312" s="75">
        <v>3080</v>
      </c>
    </row>
    <row r="313" spans="1:13" ht="15.75" thickBot="1" x14ac:dyDescent="0.3">
      <c r="A313" s="71" t="s">
        <v>134</v>
      </c>
      <c r="B313" s="72" t="s">
        <v>133</v>
      </c>
      <c r="C313" s="71" t="s">
        <v>39</v>
      </c>
      <c r="D313" s="73" t="s">
        <v>15</v>
      </c>
      <c r="E313" s="73" t="s">
        <v>16</v>
      </c>
      <c r="F313" s="74">
        <v>1</v>
      </c>
      <c r="G313" s="74">
        <v>4</v>
      </c>
      <c r="H313" s="74">
        <v>0</v>
      </c>
      <c r="I313" s="74">
        <v>5</v>
      </c>
      <c r="J313" s="74">
        <v>16000</v>
      </c>
      <c r="K313" s="76">
        <v>7790</v>
      </c>
      <c r="L313" s="74">
        <v>23790</v>
      </c>
      <c r="M313" s="75">
        <v>9605</v>
      </c>
    </row>
    <row r="314" spans="1:13" ht="15.75" thickBot="1" x14ac:dyDescent="0.3">
      <c r="A314" s="71" t="s">
        <v>150</v>
      </c>
      <c r="B314" s="72" t="s">
        <v>149</v>
      </c>
      <c r="C314" s="71" t="s">
        <v>39</v>
      </c>
      <c r="D314" s="73" t="s">
        <v>15</v>
      </c>
      <c r="E314" s="73" t="s">
        <v>16</v>
      </c>
      <c r="F314" s="74">
        <v>1</v>
      </c>
      <c r="G314" s="74">
        <v>4</v>
      </c>
      <c r="H314" s="74">
        <v>0</v>
      </c>
      <c r="I314" s="74">
        <v>5</v>
      </c>
      <c r="J314" s="74">
        <v>17132</v>
      </c>
      <c r="K314" s="76">
        <v>12283</v>
      </c>
      <c r="L314" s="74">
        <v>29415</v>
      </c>
      <c r="M314" s="75">
        <v>11300</v>
      </c>
    </row>
    <row r="315" spans="1:13" ht="15.75" thickBot="1" x14ac:dyDescent="0.3">
      <c r="A315" s="71" t="s">
        <v>170</v>
      </c>
      <c r="B315" s="72" t="s">
        <v>169</v>
      </c>
      <c r="C315" s="71" t="s">
        <v>39</v>
      </c>
      <c r="D315" s="73" t="s">
        <v>15</v>
      </c>
      <c r="E315" s="73" t="s">
        <v>16</v>
      </c>
      <c r="F315" s="74">
        <v>1</v>
      </c>
      <c r="G315" s="74">
        <v>0</v>
      </c>
      <c r="H315" s="74">
        <v>0</v>
      </c>
      <c r="I315" s="74">
        <v>1</v>
      </c>
      <c r="J315" s="74">
        <v>21000</v>
      </c>
      <c r="K315" s="74">
        <v>0</v>
      </c>
      <c r="L315" s="74">
        <v>21000</v>
      </c>
      <c r="M315" s="75">
        <v>2608</v>
      </c>
    </row>
    <row r="316" spans="1:13" ht="15.75" thickBot="1" x14ac:dyDescent="0.3">
      <c r="A316" s="71" t="s">
        <v>174</v>
      </c>
      <c r="B316" s="72" t="s">
        <v>173</v>
      </c>
      <c r="C316" s="71" t="s">
        <v>39</v>
      </c>
      <c r="D316" s="73" t="s">
        <v>15</v>
      </c>
      <c r="E316" s="73" t="s">
        <v>16</v>
      </c>
      <c r="F316" s="74">
        <v>1</v>
      </c>
      <c r="G316" s="74">
        <v>0</v>
      </c>
      <c r="H316" s="74">
        <v>0</v>
      </c>
      <c r="I316" s="74">
        <v>1</v>
      </c>
      <c r="J316" s="74">
        <v>20000</v>
      </c>
      <c r="K316" s="74">
        <v>0</v>
      </c>
      <c r="L316" s="74">
        <v>20000</v>
      </c>
      <c r="M316" s="75">
        <v>3156</v>
      </c>
    </row>
    <row r="317" spans="1:13" ht="15.75" thickBot="1" x14ac:dyDescent="0.3">
      <c r="A317" s="71" t="s">
        <v>188</v>
      </c>
      <c r="B317" s="72" t="s">
        <v>187</v>
      </c>
      <c r="C317" s="71" t="s">
        <v>39</v>
      </c>
      <c r="D317" s="73" t="s">
        <v>15</v>
      </c>
      <c r="E317" s="73" t="s">
        <v>16</v>
      </c>
      <c r="F317" s="74">
        <v>1</v>
      </c>
      <c r="G317" s="74">
        <v>0</v>
      </c>
      <c r="H317" s="74">
        <v>0</v>
      </c>
      <c r="I317" s="74">
        <v>1</v>
      </c>
      <c r="J317" s="74">
        <v>35000</v>
      </c>
      <c r="K317" s="74">
        <v>0</v>
      </c>
      <c r="L317" s="74">
        <v>35000</v>
      </c>
      <c r="M317" s="75">
        <v>3069</v>
      </c>
    </row>
    <row r="318" spans="1:13" ht="15.75" thickBot="1" x14ac:dyDescent="0.3">
      <c r="A318" s="71" t="s">
        <v>190</v>
      </c>
      <c r="B318" s="72" t="s">
        <v>189</v>
      </c>
      <c r="C318" s="71" t="s">
        <v>39</v>
      </c>
      <c r="D318" s="73" t="s">
        <v>20</v>
      </c>
      <c r="E318" s="73" t="s">
        <v>21</v>
      </c>
      <c r="F318" s="74">
        <v>0</v>
      </c>
      <c r="G318" s="74">
        <v>7</v>
      </c>
      <c r="H318" s="74">
        <v>0</v>
      </c>
      <c r="I318" s="74">
        <v>7</v>
      </c>
      <c r="J318" s="74">
        <v>3300</v>
      </c>
      <c r="K318" s="76">
        <v>11336</v>
      </c>
      <c r="L318" s="74">
        <v>14636</v>
      </c>
      <c r="M318" s="75">
        <v>13252</v>
      </c>
    </row>
    <row r="319" spans="1:13" ht="15.75" thickBot="1" x14ac:dyDescent="0.3">
      <c r="A319" s="71" t="s">
        <v>200</v>
      </c>
      <c r="B319" s="72" t="s">
        <v>199</v>
      </c>
      <c r="C319" s="71" t="s">
        <v>39</v>
      </c>
      <c r="D319" s="73" t="s">
        <v>20</v>
      </c>
      <c r="E319" s="73" t="s">
        <v>21</v>
      </c>
      <c r="F319" s="74">
        <v>1</v>
      </c>
      <c r="G319" s="74">
        <v>0</v>
      </c>
      <c r="H319" s="74">
        <v>0</v>
      </c>
      <c r="I319" s="74">
        <v>1</v>
      </c>
      <c r="J319" s="74">
        <v>18820</v>
      </c>
      <c r="K319" s="74">
        <v>0</v>
      </c>
      <c r="L319" s="74">
        <v>18820</v>
      </c>
      <c r="M319" s="75">
        <v>2342</v>
      </c>
    </row>
    <row r="320" spans="1:13" ht="15.75" thickBot="1" x14ac:dyDescent="0.3">
      <c r="A320" s="71" t="s">
        <v>218</v>
      </c>
      <c r="B320" s="72" t="s">
        <v>217</v>
      </c>
      <c r="C320" s="71" t="s">
        <v>39</v>
      </c>
      <c r="D320" s="73" t="s">
        <v>15</v>
      </c>
      <c r="E320" s="73" t="s">
        <v>16</v>
      </c>
      <c r="F320" s="74">
        <v>1</v>
      </c>
      <c r="G320" s="74">
        <v>0</v>
      </c>
      <c r="H320" s="74">
        <v>0</v>
      </c>
      <c r="I320" s="74">
        <v>1</v>
      </c>
      <c r="J320" s="74">
        <v>30100</v>
      </c>
      <c r="K320" s="74">
        <v>0</v>
      </c>
      <c r="L320" s="74">
        <v>30100</v>
      </c>
      <c r="M320" s="75">
        <v>2808</v>
      </c>
    </row>
    <row r="321" spans="1:13" ht="15.75" thickBot="1" x14ac:dyDescent="0.3">
      <c r="A321" s="71" t="s">
        <v>228</v>
      </c>
      <c r="B321" s="72" t="s">
        <v>227</v>
      </c>
      <c r="C321" s="71" t="s">
        <v>39</v>
      </c>
      <c r="D321" s="73" t="s">
        <v>15</v>
      </c>
      <c r="E321" s="73" t="s">
        <v>16</v>
      </c>
      <c r="F321" s="74">
        <v>1</v>
      </c>
      <c r="G321" s="74">
        <v>2</v>
      </c>
      <c r="H321" s="74">
        <v>0</v>
      </c>
      <c r="I321" s="74">
        <v>3</v>
      </c>
      <c r="J321" s="74">
        <v>16310</v>
      </c>
      <c r="K321" s="76">
        <v>2699</v>
      </c>
      <c r="L321" s="74">
        <v>19009</v>
      </c>
      <c r="M321" s="75">
        <v>6609</v>
      </c>
    </row>
    <row r="322" spans="1:13" ht="15.75" thickBot="1" x14ac:dyDescent="0.3">
      <c r="A322" s="71" t="s">
        <v>240</v>
      </c>
      <c r="B322" s="72" t="s">
        <v>239</v>
      </c>
      <c r="C322" s="71" t="s">
        <v>39</v>
      </c>
      <c r="D322" s="73" t="s">
        <v>20</v>
      </c>
      <c r="E322" s="73" t="s">
        <v>21</v>
      </c>
      <c r="F322" s="74">
        <v>1</v>
      </c>
      <c r="G322" s="74">
        <v>0</v>
      </c>
      <c r="H322" s="74">
        <v>0</v>
      </c>
      <c r="I322" s="74">
        <v>1</v>
      </c>
      <c r="J322" s="74">
        <v>25800</v>
      </c>
      <c r="K322" s="74">
        <v>0</v>
      </c>
      <c r="L322" s="74">
        <v>25800</v>
      </c>
      <c r="M322" s="75">
        <v>2472</v>
      </c>
    </row>
    <row r="323" spans="1:13" ht="15.75" thickBot="1" x14ac:dyDescent="0.3">
      <c r="A323" s="71" t="s">
        <v>242</v>
      </c>
      <c r="B323" s="72" t="s">
        <v>241</v>
      </c>
      <c r="C323" s="71" t="s">
        <v>39</v>
      </c>
      <c r="D323" s="73" t="s">
        <v>20</v>
      </c>
      <c r="E323" s="73" t="s">
        <v>21</v>
      </c>
      <c r="F323" s="74">
        <v>1</v>
      </c>
      <c r="G323" s="74">
        <v>0</v>
      </c>
      <c r="H323" s="74">
        <v>0</v>
      </c>
      <c r="I323" s="74">
        <v>1</v>
      </c>
      <c r="J323" s="74">
        <v>13000</v>
      </c>
      <c r="K323" s="74">
        <v>0</v>
      </c>
      <c r="L323" s="74">
        <v>13000</v>
      </c>
      <c r="M323" s="75">
        <v>1670</v>
      </c>
    </row>
    <row r="324" spans="1:13" ht="15.75" thickBot="1" x14ac:dyDescent="0.3">
      <c r="A324" s="71" t="s">
        <v>300</v>
      </c>
      <c r="B324" s="72" t="s">
        <v>299</v>
      </c>
      <c r="C324" s="71" t="s">
        <v>39</v>
      </c>
      <c r="D324" s="73" t="s">
        <v>20</v>
      </c>
      <c r="E324" s="73" t="s">
        <v>21</v>
      </c>
      <c r="F324" s="74">
        <v>1</v>
      </c>
      <c r="G324" s="74">
        <v>0</v>
      </c>
      <c r="H324" s="74">
        <v>0</v>
      </c>
      <c r="I324" s="74">
        <v>1</v>
      </c>
      <c r="J324" s="74">
        <v>6246</v>
      </c>
      <c r="K324" s="74">
        <v>0</v>
      </c>
      <c r="L324" s="74">
        <v>6246</v>
      </c>
      <c r="M324" s="75">
        <v>1825</v>
      </c>
    </row>
    <row r="325" spans="1:13" ht="15.75" thickBot="1" x14ac:dyDescent="0.3">
      <c r="A325" s="71" t="s">
        <v>308</v>
      </c>
      <c r="B325" s="72" t="s">
        <v>307</v>
      </c>
      <c r="C325" s="71" t="s">
        <v>39</v>
      </c>
      <c r="D325" s="73" t="s">
        <v>15</v>
      </c>
      <c r="E325" s="73" t="s">
        <v>16</v>
      </c>
      <c r="F325" s="74">
        <v>1</v>
      </c>
      <c r="G325" s="74">
        <v>0</v>
      </c>
      <c r="H325" s="74">
        <v>0</v>
      </c>
      <c r="I325" s="74">
        <v>1</v>
      </c>
      <c r="J325" s="74">
        <v>31000</v>
      </c>
      <c r="K325" s="74">
        <v>0</v>
      </c>
      <c r="L325" s="74">
        <v>31000</v>
      </c>
      <c r="M325" s="75">
        <v>2714</v>
      </c>
    </row>
    <row r="326" spans="1:13" ht="15.75" thickBot="1" x14ac:dyDescent="0.3">
      <c r="A326" s="71" t="s">
        <v>328</v>
      </c>
      <c r="B326" s="72" t="s">
        <v>327</v>
      </c>
      <c r="C326" s="71" t="s">
        <v>39</v>
      </c>
      <c r="D326" s="73" t="s">
        <v>20</v>
      </c>
      <c r="E326" s="73" t="s">
        <v>21</v>
      </c>
      <c r="F326" s="74">
        <v>1</v>
      </c>
      <c r="G326" s="74">
        <v>0</v>
      </c>
      <c r="H326" s="74">
        <v>0</v>
      </c>
      <c r="I326" s="74">
        <v>1</v>
      </c>
      <c r="J326" s="74">
        <v>43053</v>
      </c>
      <c r="K326" s="74">
        <v>0</v>
      </c>
      <c r="L326" s="74">
        <v>43053</v>
      </c>
      <c r="M326" s="75">
        <v>2184</v>
      </c>
    </row>
    <row r="327" spans="1:13" ht="15.75" thickBot="1" x14ac:dyDescent="0.3">
      <c r="A327" s="71" t="s">
        <v>386</v>
      </c>
      <c r="B327" s="72" t="s">
        <v>385</v>
      </c>
      <c r="C327" s="71" t="s">
        <v>39</v>
      </c>
      <c r="D327" s="73" t="s">
        <v>15</v>
      </c>
      <c r="E327" s="73" t="s">
        <v>16</v>
      </c>
      <c r="F327" s="74">
        <v>0</v>
      </c>
      <c r="G327" s="74">
        <v>8</v>
      </c>
      <c r="H327" s="74">
        <v>0</v>
      </c>
      <c r="I327" s="74">
        <v>8</v>
      </c>
      <c r="J327" s="74">
        <v>3500</v>
      </c>
      <c r="K327" s="76">
        <v>26484</v>
      </c>
      <c r="L327" s="74">
        <v>29984</v>
      </c>
      <c r="M327" s="75">
        <v>17086</v>
      </c>
    </row>
    <row r="328" spans="1:13" ht="15.75" thickBot="1" x14ac:dyDescent="0.3">
      <c r="A328" s="71" t="s">
        <v>431</v>
      </c>
      <c r="B328" s="72" t="s">
        <v>430</v>
      </c>
      <c r="C328" s="71" t="s">
        <v>39</v>
      </c>
      <c r="D328" s="73" t="s">
        <v>15</v>
      </c>
      <c r="E328" s="73" t="s">
        <v>16</v>
      </c>
      <c r="F328" s="74">
        <v>1</v>
      </c>
      <c r="G328" s="74">
        <v>5</v>
      </c>
      <c r="H328" s="74">
        <v>1</v>
      </c>
      <c r="I328" s="74">
        <v>7</v>
      </c>
      <c r="J328" s="74">
        <v>13000</v>
      </c>
      <c r="K328" s="76">
        <v>10500</v>
      </c>
      <c r="L328" s="74">
        <v>23500</v>
      </c>
      <c r="M328" s="75">
        <v>9403</v>
      </c>
    </row>
    <row r="329" spans="1:13" ht="15.75" thickBot="1" x14ac:dyDescent="0.3">
      <c r="A329" s="71" t="s">
        <v>437</v>
      </c>
      <c r="B329" s="72" t="s">
        <v>436</v>
      </c>
      <c r="C329" s="71" t="s">
        <v>39</v>
      </c>
      <c r="D329" s="73" t="s">
        <v>20</v>
      </c>
      <c r="E329" s="73" t="s">
        <v>21</v>
      </c>
      <c r="F329" s="74">
        <v>1</v>
      </c>
      <c r="G329" s="74">
        <v>0</v>
      </c>
      <c r="H329" s="74">
        <v>0</v>
      </c>
      <c r="I329" s="74">
        <v>1</v>
      </c>
      <c r="J329" s="74">
        <v>3000</v>
      </c>
      <c r="K329" s="74">
        <v>0</v>
      </c>
      <c r="L329" s="74">
        <v>3000</v>
      </c>
      <c r="M329" s="75">
        <v>2020</v>
      </c>
    </row>
    <row r="330" spans="1:13" ht="15.75" thickBot="1" x14ac:dyDescent="0.3">
      <c r="A330" s="71" t="s">
        <v>448</v>
      </c>
      <c r="B330" s="72" t="s">
        <v>447</v>
      </c>
      <c r="C330" s="71" t="s">
        <v>39</v>
      </c>
      <c r="D330" s="73" t="s">
        <v>20</v>
      </c>
      <c r="E330" s="73" t="s">
        <v>21</v>
      </c>
      <c r="F330" s="74">
        <v>1</v>
      </c>
      <c r="G330" s="74">
        <v>0</v>
      </c>
      <c r="H330" s="74">
        <v>0</v>
      </c>
      <c r="I330" s="74">
        <v>1</v>
      </c>
      <c r="J330" s="74">
        <v>49793</v>
      </c>
      <c r="K330" s="74">
        <v>0</v>
      </c>
      <c r="L330" s="74">
        <v>49793</v>
      </c>
      <c r="M330" s="75">
        <v>2445</v>
      </c>
    </row>
    <row r="331" spans="1:13" ht="15.75" thickBot="1" x14ac:dyDescent="0.3">
      <c r="A331" s="71" t="s">
        <v>464</v>
      </c>
      <c r="B331" s="72" t="s">
        <v>463</v>
      </c>
      <c r="C331" s="71" t="s">
        <v>39</v>
      </c>
      <c r="D331" s="73" t="s">
        <v>20</v>
      </c>
      <c r="E331" s="73" t="s">
        <v>21</v>
      </c>
      <c r="F331" s="74">
        <v>1</v>
      </c>
      <c r="G331" s="74">
        <v>0</v>
      </c>
      <c r="H331" s="74">
        <v>0</v>
      </c>
      <c r="I331" s="74">
        <v>1</v>
      </c>
      <c r="J331" s="74">
        <v>16885</v>
      </c>
      <c r="K331" s="74">
        <v>0</v>
      </c>
      <c r="L331" s="74">
        <v>16885</v>
      </c>
      <c r="M331" s="75">
        <v>2071</v>
      </c>
    </row>
    <row r="332" spans="1:13" ht="15.75" thickBot="1" x14ac:dyDescent="0.3">
      <c r="A332" s="71" t="s">
        <v>484</v>
      </c>
      <c r="B332" s="72" t="s">
        <v>483</v>
      </c>
      <c r="C332" s="71" t="s">
        <v>39</v>
      </c>
      <c r="D332" s="73" t="s">
        <v>15</v>
      </c>
      <c r="E332" s="73" t="s">
        <v>16</v>
      </c>
      <c r="F332" s="74">
        <v>1</v>
      </c>
      <c r="G332" s="74">
        <v>1</v>
      </c>
      <c r="H332" s="74">
        <v>0</v>
      </c>
      <c r="I332" s="74">
        <v>2</v>
      </c>
      <c r="J332" s="74">
        <v>14548</v>
      </c>
      <c r="K332" s="76">
        <v>6680</v>
      </c>
      <c r="L332" s="74">
        <v>21228</v>
      </c>
      <c r="M332" s="75">
        <v>6248</v>
      </c>
    </row>
    <row r="333" spans="1:13" ht="15.75" thickBot="1" x14ac:dyDescent="0.3">
      <c r="A333" s="71" t="s">
        <v>538</v>
      </c>
      <c r="B333" s="72" t="s">
        <v>537</v>
      </c>
      <c r="C333" s="71" t="s">
        <v>39</v>
      </c>
      <c r="D333" s="73" t="s">
        <v>46</v>
      </c>
      <c r="E333" s="73" t="s">
        <v>47</v>
      </c>
      <c r="F333" s="74">
        <v>1</v>
      </c>
      <c r="G333" s="74">
        <v>0</v>
      </c>
      <c r="H333" s="74">
        <v>0</v>
      </c>
      <c r="I333" s="74">
        <v>1</v>
      </c>
      <c r="J333" s="74">
        <v>28212</v>
      </c>
      <c r="K333" s="74">
        <v>0</v>
      </c>
      <c r="L333" s="74">
        <v>28212</v>
      </c>
      <c r="M333" s="75">
        <v>3050</v>
      </c>
    </row>
    <row r="334" spans="1:13" ht="15.75" thickBot="1" x14ac:dyDescent="0.3">
      <c r="A334" s="71" t="s">
        <v>544</v>
      </c>
      <c r="B334" s="72" t="s">
        <v>543</v>
      </c>
      <c r="C334" s="71" t="s">
        <v>39</v>
      </c>
      <c r="D334" s="73" t="s">
        <v>20</v>
      </c>
      <c r="E334" s="73" t="s">
        <v>21</v>
      </c>
      <c r="F334" s="74">
        <v>1</v>
      </c>
      <c r="G334" s="74">
        <v>0</v>
      </c>
      <c r="H334" s="74">
        <v>0</v>
      </c>
      <c r="I334" s="74">
        <v>1</v>
      </c>
      <c r="J334" s="74">
        <v>16800</v>
      </c>
      <c r="K334" s="74">
        <v>0</v>
      </c>
      <c r="L334" s="74">
        <v>16800</v>
      </c>
      <c r="M334" s="75">
        <v>2704</v>
      </c>
    </row>
    <row r="335" spans="1:13" ht="15.75" thickBot="1" x14ac:dyDescent="0.3">
      <c r="A335" s="71" t="s">
        <v>550</v>
      </c>
      <c r="B335" s="72" t="s">
        <v>549</v>
      </c>
      <c r="C335" s="71" t="s">
        <v>39</v>
      </c>
      <c r="D335" s="73" t="s">
        <v>15</v>
      </c>
      <c r="E335" s="73" t="s">
        <v>16</v>
      </c>
      <c r="F335" s="74">
        <v>1</v>
      </c>
      <c r="G335" s="74">
        <v>1</v>
      </c>
      <c r="H335" s="74">
        <v>0</v>
      </c>
      <c r="I335" s="74">
        <v>2</v>
      </c>
      <c r="J335" s="74">
        <v>30842</v>
      </c>
      <c r="K335" s="74">
        <v>0</v>
      </c>
      <c r="L335" s="74">
        <v>30842</v>
      </c>
      <c r="M335" s="75">
        <v>4412</v>
      </c>
    </row>
    <row r="336" spans="1:13" ht="15.75" thickBot="1" x14ac:dyDescent="0.3">
      <c r="A336" s="71" t="s">
        <v>578</v>
      </c>
      <c r="B336" s="72" t="s">
        <v>577</v>
      </c>
      <c r="C336" s="71" t="s">
        <v>39</v>
      </c>
      <c r="D336" s="73" t="s">
        <v>101</v>
      </c>
      <c r="E336" s="73" t="s">
        <v>102</v>
      </c>
      <c r="F336" s="74">
        <v>1</v>
      </c>
      <c r="G336" s="74">
        <v>0</v>
      </c>
      <c r="H336" s="74">
        <v>0</v>
      </c>
      <c r="I336" s="74">
        <v>1</v>
      </c>
      <c r="J336" s="74">
        <v>63000</v>
      </c>
      <c r="K336" s="74">
        <v>0</v>
      </c>
      <c r="L336" s="74">
        <v>63000</v>
      </c>
      <c r="M336" s="75">
        <v>2060</v>
      </c>
    </row>
    <row r="337" spans="1:13" ht="15.75" thickBot="1" x14ac:dyDescent="0.3">
      <c r="A337" s="71" t="s">
        <v>588</v>
      </c>
      <c r="B337" s="72" t="s">
        <v>587</v>
      </c>
      <c r="C337" s="71" t="s">
        <v>39</v>
      </c>
      <c r="D337" s="73" t="s">
        <v>15</v>
      </c>
      <c r="E337" s="73" t="s">
        <v>16</v>
      </c>
      <c r="F337" s="74">
        <v>1</v>
      </c>
      <c r="G337" s="74">
        <v>0</v>
      </c>
      <c r="H337" s="74">
        <v>0</v>
      </c>
      <c r="I337" s="74">
        <v>1</v>
      </c>
      <c r="J337" s="74">
        <v>52000</v>
      </c>
      <c r="K337" s="74">
        <v>0</v>
      </c>
      <c r="L337" s="74">
        <v>52000</v>
      </c>
      <c r="M337" s="75">
        <v>3329</v>
      </c>
    </row>
    <row r="338" spans="1:13" ht="15.75" thickBot="1" x14ac:dyDescent="0.3">
      <c r="A338" s="71" t="s">
        <v>616</v>
      </c>
      <c r="B338" s="72" t="s">
        <v>615</v>
      </c>
      <c r="C338" s="71" t="s">
        <v>39</v>
      </c>
      <c r="D338" s="73" t="s">
        <v>61</v>
      </c>
      <c r="E338" s="73" t="s">
        <v>62</v>
      </c>
      <c r="F338" s="74">
        <v>1</v>
      </c>
      <c r="G338" s="74">
        <v>0</v>
      </c>
      <c r="H338" s="74">
        <v>0</v>
      </c>
      <c r="I338" s="74">
        <v>1</v>
      </c>
      <c r="J338" s="74">
        <v>65000</v>
      </c>
      <c r="K338" s="74">
        <v>0</v>
      </c>
      <c r="L338" s="74">
        <v>65000</v>
      </c>
      <c r="M338" s="75">
        <v>2796</v>
      </c>
    </row>
    <row r="339" spans="1:13" ht="15.75" thickBot="1" x14ac:dyDescent="0.3">
      <c r="A339" s="71" t="s">
        <v>640</v>
      </c>
      <c r="B339" s="72" t="s">
        <v>639</v>
      </c>
      <c r="C339" s="71" t="s">
        <v>39</v>
      </c>
      <c r="D339" s="73" t="s">
        <v>20</v>
      </c>
      <c r="E339" s="73" t="s">
        <v>21</v>
      </c>
      <c r="F339" s="74">
        <v>1</v>
      </c>
      <c r="G339" s="74">
        <v>1</v>
      </c>
      <c r="H339" s="74">
        <v>0</v>
      </c>
      <c r="I339" s="74">
        <v>2</v>
      </c>
      <c r="J339" s="74">
        <v>24100</v>
      </c>
      <c r="K339" s="76">
        <v>7500</v>
      </c>
      <c r="L339" s="74">
        <v>31600</v>
      </c>
      <c r="M339" s="75">
        <v>4026</v>
      </c>
    </row>
    <row r="340" spans="1:13" ht="15.75" thickBot="1" x14ac:dyDescent="0.3">
      <c r="A340" s="71" t="s">
        <v>642</v>
      </c>
      <c r="B340" s="72" t="s">
        <v>641</v>
      </c>
      <c r="C340" s="71" t="s">
        <v>39</v>
      </c>
      <c r="D340" s="73" t="s">
        <v>20</v>
      </c>
      <c r="E340" s="73" t="s">
        <v>21</v>
      </c>
      <c r="F340" s="74">
        <v>1</v>
      </c>
      <c r="G340" s="74">
        <v>0</v>
      </c>
      <c r="H340" s="74">
        <v>0</v>
      </c>
      <c r="I340" s="74">
        <v>1</v>
      </c>
      <c r="J340" s="74">
        <v>11164</v>
      </c>
      <c r="K340" s="74">
        <v>0</v>
      </c>
      <c r="L340" s="74">
        <v>11164</v>
      </c>
      <c r="M340" s="75">
        <v>2755</v>
      </c>
    </row>
    <row r="341" spans="1:13" ht="15.75" thickBot="1" x14ac:dyDescent="0.3">
      <c r="A341" s="71" t="s">
        <v>646</v>
      </c>
      <c r="B341" s="72" t="s">
        <v>645</v>
      </c>
      <c r="C341" s="71" t="s">
        <v>39</v>
      </c>
      <c r="D341" s="73" t="s">
        <v>20</v>
      </c>
      <c r="E341" s="73" t="s">
        <v>21</v>
      </c>
      <c r="F341" s="74">
        <v>1</v>
      </c>
      <c r="G341" s="74">
        <v>0</v>
      </c>
      <c r="H341" s="74">
        <v>0</v>
      </c>
      <c r="I341" s="74">
        <v>1</v>
      </c>
      <c r="J341" s="74">
        <v>29151</v>
      </c>
      <c r="K341" s="74">
        <v>0</v>
      </c>
      <c r="L341" s="74">
        <v>29151</v>
      </c>
      <c r="M341" s="75">
        <v>1973</v>
      </c>
    </row>
    <row r="342" spans="1:13" ht="15.75" thickBot="1" x14ac:dyDescent="0.3">
      <c r="A342" s="71" t="s">
        <v>664</v>
      </c>
      <c r="B342" s="72" t="s">
        <v>663</v>
      </c>
      <c r="C342" s="71" t="s">
        <v>39</v>
      </c>
      <c r="D342" s="73" t="s">
        <v>46</v>
      </c>
      <c r="E342" s="73" t="s">
        <v>47</v>
      </c>
      <c r="F342" s="74">
        <v>1</v>
      </c>
      <c r="G342" s="74">
        <v>0</v>
      </c>
      <c r="H342" s="74">
        <v>0</v>
      </c>
      <c r="I342" s="74">
        <v>1</v>
      </c>
      <c r="J342" s="74">
        <v>33000</v>
      </c>
      <c r="K342" s="74">
        <v>0</v>
      </c>
      <c r="L342" s="74">
        <v>33000</v>
      </c>
      <c r="M342" s="75">
        <v>3322</v>
      </c>
    </row>
    <row r="343" spans="1:13" ht="15.75" thickBot="1" x14ac:dyDescent="0.3">
      <c r="A343" s="71" t="s">
        <v>688</v>
      </c>
      <c r="B343" s="72" t="s">
        <v>687</v>
      </c>
      <c r="C343" s="71" t="s">
        <v>39</v>
      </c>
      <c r="D343" s="73" t="s">
        <v>46</v>
      </c>
      <c r="E343" s="73" t="s">
        <v>47</v>
      </c>
      <c r="F343" s="74">
        <v>1</v>
      </c>
      <c r="G343" s="74">
        <v>1</v>
      </c>
      <c r="H343" s="74">
        <v>0</v>
      </c>
      <c r="I343" s="74">
        <v>2</v>
      </c>
      <c r="J343" s="74">
        <v>8400</v>
      </c>
      <c r="K343" s="76">
        <v>3300</v>
      </c>
      <c r="L343" s="74">
        <v>11700</v>
      </c>
      <c r="M343" s="75">
        <v>3969</v>
      </c>
    </row>
    <row r="344" spans="1:13" ht="15.75" thickBot="1" x14ac:dyDescent="0.3">
      <c r="A344" s="71" t="s">
        <v>698</v>
      </c>
      <c r="B344" s="72" t="s">
        <v>697</v>
      </c>
      <c r="C344" s="71" t="s">
        <v>39</v>
      </c>
      <c r="D344" s="73" t="s">
        <v>20</v>
      </c>
      <c r="E344" s="73" t="s">
        <v>21</v>
      </c>
      <c r="F344" s="74">
        <v>1</v>
      </c>
      <c r="G344" s="74">
        <v>0</v>
      </c>
      <c r="H344" s="74">
        <v>0</v>
      </c>
      <c r="I344" s="74">
        <v>1</v>
      </c>
      <c r="J344" s="74">
        <v>21000</v>
      </c>
      <c r="K344" s="77">
        <v>0</v>
      </c>
      <c r="L344" s="74">
        <v>21000</v>
      </c>
      <c r="M344" s="75">
        <v>1756</v>
      </c>
    </row>
    <row r="345" spans="1:13" ht="15.75" thickBot="1" x14ac:dyDescent="0.3">
      <c r="A345" s="71" t="s">
        <v>716</v>
      </c>
      <c r="B345" s="72" t="s">
        <v>715</v>
      </c>
      <c r="C345" s="71" t="s">
        <v>39</v>
      </c>
      <c r="D345" s="73" t="s">
        <v>20</v>
      </c>
      <c r="E345" s="73" t="s">
        <v>21</v>
      </c>
      <c r="F345" s="74">
        <v>1</v>
      </c>
      <c r="G345" s="74">
        <v>8</v>
      </c>
      <c r="H345" s="74">
        <v>0</v>
      </c>
      <c r="I345" s="74">
        <v>9</v>
      </c>
      <c r="J345" s="74">
        <v>17200</v>
      </c>
      <c r="K345" s="76">
        <v>22253</v>
      </c>
      <c r="L345" s="74">
        <v>39453</v>
      </c>
      <c r="M345" s="75">
        <v>16784</v>
      </c>
    </row>
    <row r="346" spans="1:13" ht="15.75" thickBot="1" x14ac:dyDescent="0.3">
      <c r="A346" s="71" t="s">
        <v>760</v>
      </c>
      <c r="B346" s="72" t="s">
        <v>759</v>
      </c>
      <c r="C346" s="71" t="s">
        <v>39</v>
      </c>
      <c r="D346" s="73" t="s">
        <v>15</v>
      </c>
      <c r="E346" s="73" t="s">
        <v>16</v>
      </c>
      <c r="F346" s="74">
        <v>1</v>
      </c>
      <c r="G346" s="74">
        <v>6</v>
      </c>
      <c r="H346" s="74">
        <v>0</v>
      </c>
      <c r="I346" s="74">
        <v>7</v>
      </c>
      <c r="J346" s="74">
        <v>15000</v>
      </c>
      <c r="K346" s="76">
        <v>22205</v>
      </c>
      <c r="L346" s="74">
        <v>37205</v>
      </c>
      <c r="M346" s="75">
        <v>16973</v>
      </c>
    </row>
    <row r="347" spans="1:13" ht="15.75" thickBot="1" x14ac:dyDescent="0.3">
      <c r="A347" s="71" t="s">
        <v>800</v>
      </c>
      <c r="B347" s="72" t="s">
        <v>799</v>
      </c>
      <c r="C347" s="71" t="s">
        <v>39</v>
      </c>
      <c r="D347" s="73" t="s">
        <v>15</v>
      </c>
      <c r="E347" s="73" t="s">
        <v>16</v>
      </c>
      <c r="F347" s="74">
        <v>1</v>
      </c>
      <c r="G347" s="74">
        <v>0</v>
      </c>
      <c r="H347" s="74">
        <v>0</v>
      </c>
      <c r="I347" s="74">
        <v>1</v>
      </c>
      <c r="J347" s="74">
        <v>28000</v>
      </c>
      <c r="K347" s="74">
        <v>0</v>
      </c>
      <c r="L347" s="74">
        <v>28000</v>
      </c>
      <c r="M347" s="75">
        <v>2808</v>
      </c>
    </row>
    <row r="348" spans="1:13" ht="15.75" thickBot="1" x14ac:dyDescent="0.3">
      <c r="A348" s="71" t="s">
        <v>53</v>
      </c>
      <c r="B348" s="72" t="s">
        <v>52</v>
      </c>
      <c r="C348" s="71" t="s">
        <v>54</v>
      </c>
      <c r="D348" s="73" t="s">
        <v>20</v>
      </c>
      <c r="E348" s="73" t="s">
        <v>21</v>
      </c>
      <c r="F348" s="74">
        <v>1</v>
      </c>
      <c r="G348" s="74">
        <v>4</v>
      </c>
      <c r="H348" s="74">
        <v>0</v>
      </c>
      <c r="I348" s="74">
        <v>5</v>
      </c>
      <c r="J348" s="74">
        <v>110000</v>
      </c>
      <c r="K348" s="76">
        <v>70000</v>
      </c>
      <c r="L348" s="74">
        <v>180000</v>
      </c>
      <c r="M348" s="75">
        <v>12662</v>
      </c>
    </row>
    <row r="349" spans="1:13" ht="15.75" thickBot="1" x14ac:dyDescent="0.3">
      <c r="A349" s="71" t="s">
        <v>78</v>
      </c>
      <c r="B349" s="72" t="s">
        <v>77</v>
      </c>
      <c r="C349" s="71" t="s">
        <v>54</v>
      </c>
      <c r="D349" s="73" t="s">
        <v>15</v>
      </c>
      <c r="E349" s="73" t="s">
        <v>16</v>
      </c>
      <c r="F349" s="74">
        <v>1</v>
      </c>
      <c r="G349" s="74">
        <v>3</v>
      </c>
      <c r="H349" s="74">
        <v>1</v>
      </c>
      <c r="I349" s="74">
        <v>5</v>
      </c>
      <c r="J349" s="74">
        <v>62000</v>
      </c>
      <c r="K349" s="76">
        <v>44817</v>
      </c>
      <c r="L349" s="74">
        <v>106817</v>
      </c>
      <c r="M349" s="75">
        <v>10245</v>
      </c>
    </row>
    <row r="350" spans="1:13" ht="15.75" thickBot="1" x14ac:dyDescent="0.3">
      <c r="A350" s="71" t="s">
        <v>140</v>
      </c>
      <c r="B350" s="72" t="s">
        <v>139</v>
      </c>
      <c r="C350" s="71" t="s">
        <v>54</v>
      </c>
      <c r="D350" s="73" t="s">
        <v>15</v>
      </c>
      <c r="E350" s="73" t="s">
        <v>16</v>
      </c>
      <c r="F350" s="74">
        <v>1</v>
      </c>
      <c r="G350" s="74">
        <v>0</v>
      </c>
      <c r="H350" s="74">
        <v>0</v>
      </c>
      <c r="I350" s="74">
        <v>1</v>
      </c>
      <c r="J350" s="74">
        <v>53000</v>
      </c>
      <c r="K350" s="74">
        <v>0</v>
      </c>
      <c r="L350" s="74">
        <v>53000</v>
      </c>
      <c r="M350" s="75">
        <v>3591</v>
      </c>
    </row>
    <row r="351" spans="1:13" ht="15.75" thickBot="1" x14ac:dyDescent="0.3">
      <c r="A351" s="71" t="s">
        <v>142</v>
      </c>
      <c r="B351" s="72" t="s">
        <v>141</v>
      </c>
      <c r="C351" s="71" t="s">
        <v>54</v>
      </c>
      <c r="D351" s="73" t="s">
        <v>15</v>
      </c>
      <c r="E351" s="73" t="s">
        <v>16</v>
      </c>
      <c r="F351" s="74">
        <v>1</v>
      </c>
      <c r="G351" s="74">
        <v>12</v>
      </c>
      <c r="H351" s="74">
        <v>1</v>
      </c>
      <c r="I351" s="74">
        <v>14</v>
      </c>
      <c r="J351" s="74">
        <v>75000</v>
      </c>
      <c r="K351" s="76">
        <v>63808</v>
      </c>
      <c r="L351" s="74">
        <v>138808</v>
      </c>
      <c r="M351" s="75">
        <v>33612</v>
      </c>
    </row>
    <row r="352" spans="1:13" ht="15.75" thickBot="1" x14ac:dyDescent="0.3">
      <c r="A352" s="71" t="s">
        <v>172</v>
      </c>
      <c r="B352" s="72" t="s">
        <v>171</v>
      </c>
      <c r="C352" s="71" t="s">
        <v>54</v>
      </c>
      <c r="D352" s="73" t="s">
        <v>15</v>
      </c>
      <c r="E352" s="73" t="s">
        <v>16</v>
      </c>
      <c r="F352" s="74">
        <v>1</v>
      </c>
      <c r="G352" s="74">
        <v>4</v>
      </c>
      <c r="H352" s="74">
        <v>0</v>
      </c>
      <c r="I352" s="74">
        <v>5</v>
      </c>
      <c r="J352" s="74">
        <v>30000</v>
      </c>
      <c r="K352" s="76">
        <v>11300</v>
      </c>
      <c r="L352" s="74">
        <v>41300</v>
      </c>
      <c r="M352" s="75">
        <v>10552</v>
      </c>
    </row>
    <row r="353" spans="1:13" ht="15.75" thickBot="1" x14ac:dyDescent="0.3">
      <c r="A353" s="71" t="s">
        <v>178</v>
      </c>
      <c r="B353" s="72" t="s">
        <v>177</v>
      </c>
      <c r="C353" s="71" t="s">
        <v>54</v>
      </c>
      <c r="D353" s="73" t="s">
        <v>46</v>
      </c>
      <c r="E353" s="73" t="s">
        <v>47</v>
      </c>
      <c r="F353" s="74">
        <v>1</v>
      </c>
      <c r="G353" s="74">
        <v>2</v>
      </c>
      <c r="H353" s="74">
        <v>0</v>
      </c>
      <c r="I353" s="74">
        <v>3</v>
      </c>
      <c r="J353" s="74">
        <v>84000</v>
      </c>
      <c r="K353" s="76">
        <v>33599</v>
      </c>
      <c r="L353" s="74">
        <v>117599</v>
      </c>
      <c r="M353" s="75">
        <v>10608</v>
      </c>
    </row>
    <row r="354" spans="1:13" ht="15.75" thickBot="1" x14ac:dyDescent="0.3">
      <c r="A354" s="71" t="s">
        <v>212</v>
      </c>
      <c r="B354" s="72" t="s">
        <v>211</v>
      </c>
      <c r="C354" s="71" t="s">
        <v>54</v>
      </c>
      <c r="D354" s="73" t="s">
        <v>20</v>
      </c>
      <c r="E354" s="73" t="s">
        <v>21</v>
      </c>
      <c r="F354" s="74">
        <v>1</v>
      </c>
      <c r="G354" s="74">
        <v>1</v>
      </c>
      <c r="H354" s="74">
        <v>0</v>
      </c>
      <c r="I354" s="74">
        <v>2</v>
      </c>
      <c r="J354" s="74">
        <v>32000</v>
      </c>
      <c r="K354" s="76">
        <v>12000</v>
      </c>
      <c r="L354" s="74">
        <v>44000</v>
      </c>
      <c r="M354" s="75">
        <v>3613</v>
      </c>
    </row>
    <row r="355" spans="1:13" ht="15.75" thickBot="1" x14ac:dyDescent="0.3">
      <c r="A355" s="71" t="s">
        <v>214</v>
      </c>
      <c r="B355" s="72" t="s">
        <v>213</v>
      </c>
      <c r="C355" s="71" t="s">
        <v>54</v>
      </c>
      <c r="D355" s="73" t="s">
        <v>20</v>
      </c>
      <c r="E355" s="73" t="s">
        <v>21</v>
      </c>
      <c r="F355" s="74">
        <v>1</v>
      </c>
      <c r="G355" s="74">
        <v>2</v>
      </c>
      <c r="H355" s="74">
        <v>0</v>
      </c>
      <c r="I355" s="74">
        <v>3</v>
      </c>
      <c r="J355" s="74">
        <v>85643</v>
      </c>
      <c r="K355" s="76">
        <v>20134</v>
      </c>
      <c r="L355" s="74">
        <v>105777</v>
      </c>
      <c r="M355" s="75">
        <v>4608</v>
      </c>
    </row>
    <row r="356" spans="1:13" ht="15.75" thickBot="1" x14ac:dyDescent="0.3">
      <c r="A356" s="71" t="s">
        <v>222</v>
      </c>
      <c r="B356" s="72" t="s">
        <v>221</v>
      </c>
      <c r="C356" s="71" t="s">
        <v>54</v>
      </c>
      <c r="D356" s="73" t="s">
        <v>20</v>
      </c>
      <c r="E356" s="73" t="s">
        <v>21</v>
      </c>
      <c r="F356" s="74">
        <v>1</v>
      </c>
      <c r="G356" s="74">
        <v>21</v>
      </c>
      <c r="H356" s="74">
        <v>1</v>
      </c>
      <c r="I356" s="74">
        <v>23</v>
      </c>
      <c r="J356" s="74">
        <v>420000</v>
      </c>
      <c r="K356" s="76">
        <v>211059</v>
      </c>
      <c r="L356" s="74">
        <v>631059</v>
      </c>
      <c r="M356" s="75">
        <v>30684</v>
      </c>
    </row>
    <row r="357" spans="1:13" ht="15.75" thickBot="1" x14ac:dyDescent="0.3">
      <c r="A357" s="71" t="s">
        <v>266</v>
      </c>
      <c r="B357" s="72" t="s">
        <v>265</v>
      </c>
      <c r="C357" s="71" t="s">
        <v>54</v>
      </c>
      <c r="D357" s="73" t="s">
        <v>20</v>
      </c>
      <c r="E357" s="73" t="s">
        <v>21</v>
      </c>
      <c r="F357" s="74">
        <v>1</v>
      </c>
      <c r="G357" s="74">
        <v>1</v>
      </c>
      <c r="H357" s="74">
        <v>0</v>
      </c>
      <c r="I357" s="74">
        <v>2</v>
      </c>
      <c r="J357" s="74">
        <v>72000</v>
      </c>
      <c r="K357" s="76">
        <v>18000</v>
      </c>
      <c r="L357" s="74">
        <v>90000</v>
      </c>
      <c r="M357" s="75">
        <v>4780</v>
      </c>
    </row>
    <row r="358" spans="1:13" ht="15.75" thickBot="1" x14ac:dyDescent="0.3">
      <c r="A358" s="71" t="s">
        <v>278</v>
      </c>
      <c r="B358" s="72" t="s">
        <v>277</v>
      </c>
      <c r="C358" s="71" t="s">
        <v>54</v>
      </c>
      <c r="D358" s="73" t="s">
        <v>20</v>
      </c>
      <c r="E358" s="73" t="s">
        <v>21</v>
      </c>
      <c r="F358" s="74">
        <v>1</v>
      </c>
      <c r="G358" s="74">
        <v>0</v>
      </c>
      <c r="H358" s="74">
        <v>0</v>
      </c>
      <c r="I358" s="74">
        <v>1</v>
      </c>
      <c r="J358" s="74">
        <v>82166</v>
      </c>
      <c r="K358" s="74">
        <v>0</v>
      </c>
      <c r="L358" s="74">
        <v>82166</v>
      </c>
      <c r="M358" s="75">
        <v>1485</v>
      </c>
    </row>
    <row r="359" spans="1:13" ht="15.75" thickBot="1" x14ac:dyDescent="0.3">
      <c r="A359" s="71" t="s">
        <v>304</v>
      </c>
      <c r="B359" s="72" t="s">
        <v>303</v>
      </c>
      <c r="C359" s="71" t="s">
        <v>54</v>
      </c>
      <c r="D359" s="73" t="s">
        <v>15</v>
      </c>
      <c r="E359" s="73" t="s">
        <v>16</v>
      </c>
      <c r="F359" s="74">
        <v>1</v>
      </c>
      <c r="G359" s="74">
        <v>18</v>
      </c>
      <c r="H359" s="74">
        <v>0</v>
      </c>
      <c r="I359" s="74">
        <v>19</v>
      </c>
      <c r="J359" s="74">
        <v>12800</v>
      </c>
      <c r="K359" s="76">
        <v>74915</v>
      </c>
      <c r="L359" s="74">
        <v>87715</v>
      </c>
      <c r="M359" s="75">
        <v>38970</v>
      </c>
    </row>
    <row r="360" spans="1:13" ht="15.75" thickBot="1" x14ac:dyDescent="0.3">
      <c r="A360" s="71" t="s">
        <v>318</v>
      </c>
      <c r="B360" s="72" t="s">
        <v>317</v>
      </c>
      <c r="C360" s="71" t="s">
        <v>54</v>
      </c>
      <c r="D360" s="73" t="s">
        <v>20</v>
      </c>
      <c r="E360" s="73" t="s">
        <v>21</v>
      </c>
      <c r="F360" s="74">
        <v>1</v>
      </c>
      <c r="G360" s="74">
        <v>0</v>
      </c>
      <c r="H360" s="74">
        <v>0</v>
      </c>
      <c r="I360" s="74">
        <v>1</v>
      </c>
      <c r="J360" s="74">
        <v>105000</v>
      </c>
      <c r="K360" s="74">
        <v>0</v>
      </c>
      <c r="L360" s="74">
        <v>105000</v>
      </c>
      <c r="M360" s="75">
        <v>2468</v>
      </c>
    </row>
    <row r="361" spans="1:13" ht="15.75" thickBot="1" x14ac:dyDescent="0.3">
      <c r="A361" s="71" t="s">
        <v>322</v>
      </c>
      <c r="B361" s="72" t="s">
        <v>321</v>
      </c>
      <c r="C361" s="71" t="s">
        <v>54</v>
      </c>
      <c r="D361" s="73" t="s">
        <v>20</v>
      </c>
      <c r="E361" s="73" t="s">
        <v>21</v>
      </c>
      <c r="F361" s="74">
        <v>1</v>
      </c>
      <c r="G361" s="74">
        <v>7</v>
      </c>
      <c r="H361" s="74">
        <v>0</v>
      </c>
      <c r="I361" s="74">
        <v>8</v>
      </c>
      <c r="J361" s="74">
        <v>153000</v>
      </c>
      <c r="K361" s="76">
        <v>58426</v>
      </c>
      <c r="L361" s="74">
        <v>211426</v>
      </c>
      <c r="M361" s="75">
        <v>18140</v>
      </c>
    </row>
    <row r="362" spans="1:13" ht="15.75" thickBot="1" x14ac:dyDescent="0.3">
      <c r="A362" s="71" t="s">
        <v>326</v>
      </c>
      <c r="B362" s="72" t="s">
        <v>325</v>
      </c>
      <c r="C362" s="71" t="s">
        <v>54</v>
      </c>
      <c r="D362" s="73" t="s">
        <v>20</v>
      </c>
      <c r="E362" s="73" t="s">
        <v>21</v>
      </c>
      <c r="F362" s="74">
        <v>1</v>
      </c>
      <c r="G362" s="74">
        <v>2</v>
      </c>
      <c r="H362" s="74">
        <v>0</v>
      </c>
      <c r="I362" s="74">
        <v>3</v>
      </c>
      <c r="J362" s="74">
        <v>18500</v>
      </c>
      <c r="K362" s="76">
        <v>42500</v>
      </c>
      <c r="L362" s="74">
        <v>61000</v>
      </c>
      <c r="M362" s="75">
        <v>9519</v>
      </c>
    </row>
    <row r="363" spans="1:13" ht="15.75" thickBot="1" x14ac:dyDescent="0.3">
      <c r="A363" s="71" t="s">
        <v>352</v>
      </c>
      <c r="B363" s="72" t="s">
        <v>351</v>
      </c>
      <c r="C363" s="71" t="s">
        <v>54</v>
      </c>
      <c r="D363" s="73" t="s">
        <v>20</v>
      </c>
      <c r="E363" s="73" t="s">
        <v>21</v>
      </c>
      <c r="F363" s="74">
        <v>1</v>
      </c>
      <c r="G363" s="74">
        <v>1</v>
      </c>
      <c r="H363" s="74">
        <v>0</v>
      </c>
      <c r="I363" s="74">
        <v>2</v>
      </c>
      <c r="J363" s="74">
        <v>72291</v>
      </c>
      <c r="K363" s="76">
        <v>5000</v>
      </c>
      <c r="L363" s="74">
        <v>77291</v>
      </c>
      <c r="M363" s="75">
        <v>4125</v>
      </c>
    </row>
    <row r="364" spans="1:13" ht="15.75" thickBot="1" x14ac:dyDescent="0.3">
      <c r="A364" s="71" t="s">
        <v>374</v>
      </c>
      <c r="B364" s="72" t="s">
        <v>373</v>
      </c>
      <c r="C364" s="71" t="s">
        <v>54</v>
      </c>
      <c r="D364" s="73" t="s">
        <v>20</v>
      </c>
      <c r="E364" s="73" t="s">
        <v>21</v>
      </c>
      <c r="F364" s="74">
        <v>1</v>
      </c>
      <c r="G364" s="74">
        <v>0</v>
      </c>
      <c r="H364" s="74">
        <v>0</v>
      </c>
      <c r="I364" s="74">
        <v>1</v>
      </c>
      <c r="J364" s="74">
        <v>30100</v>
      </c>
      <c r="K364" s="74">
        <v>0</v>
      </c>
      <c r="L364" s="74">
        <v>30100</v>
      </c>
      <c r="M364" s="75">
        <v>2218</v>
      </c>
    </row>
    <row r="365" spans="1:13" ht="15.75" thickBot="1" x14ac:dyDescent="0.3">
      <c r="A365" s="71" t="s">
        <v>394</v>
      </c>
      <c r="B365" s="72" t="s">
        <v>393</v>
      </c>
      <c r="C365" s="71" t="s">
        <v>54</v>
      </c>
      <c r="D365" s="73" t="s">
        <v>15</v>
      </c>
      <c r="E365" s="73" t="s">
        <v>16</v>
      </c>
      <c r="F365" s="74">
        <v>1</v>
      </c>
      <c r="G365" s="74">
        <v>12</v>
      </c>
      <c r="H365" s="74">
        <v>0</v>
      </c>
      <c r="I365" s="74">
        <v>13</v>
      </c>
      <c r="J365" s="74">
        <v>33250</v>
      </c>
      <c r="K365" s="76">
        <v>45091</v>
      </c>
      <c r="L365" s="74">
        <v>78341</v>
      </c>
      <c r="M365" s="75">
        <v>27523</v>
      </c>
    </row>
    <row r="366" spans="1:13" ht="15.75" thickBot="1" x14ac:dyDescent="0.3">
      <c r="A366" s="71" t="s">
        <v>402</v>
      </c>
      <c r="B366" s="72" t="s">
        <v>401</v>
      </c>
      <c r="C366" s="71" t="s">
        <v>54</v>
      </c>
      <c r="D366" s="73" t="s">
        <v>20</v>
      </c>
      <c r="E366" s="73" t="s">
        <v>21</v>
      </c>
      <c r="F366" s="74">
        <v>1</v>
      </c>
      <c r="G366" s="74">
        <v>4</v>
      </c>
      <c r="H366" s="74">
        <v>0</v>
      </c>
      <c r="I366" s="74">
        <v>5</v>
      </c>
      <c r="J366" s="74">
        <v>98000</v>
      </c>
      <c r="K366" s="76">
        <v>39800</v>
      </c>
      <c r="L366" s="74">
        <v>137800</v>
      </c>
      <c r="M366" s="75">
        <v>7864</v>
      </c>
    </row>
    <row r="367" spans="1:13" ht="15.75" thickBot="1" x14ac:dyDescent="0.3">
      <c r="A367" s="71" t="s">
        <v>406</v>
      </c>
      <c r="B367" s="72" t="s">
        <v>405</v>
      </c>
      <c r="C367" s="71" t="s">
        <v>54</v>
      </c>
      <c r="D367" s="73" t="s">
        <v>15</v>
      </c>
      <c r="E367" s="73" t="s">
        <v>16</v>
      </c>
      <c r="F367" s="74">
        <v>0</v>
      </c>
      <c r="G367" s="74">
        <v>19</v>
      </c>
      <c r="H367" s="74">
        <v>1</v>
      </c>
      <c r="I367" s="74">
        <v>20</v>
      </c>
      <c r="J367" s="74">
        <v>0</v>
      </c>
      <c r="K367" s="76">
        <v>299741</v>
      </c>
      <c r="L367" s="74">
        <v>299741</v>
      </c>
      <c r="M367" s="75">
        <v>47191</v>
      </c>
    </row>
    <row r="368" spans="1:13" ht="15.75" thickBot="1" x14ac:dyDescent="0.3">
      <c r="A368" s="71" t="s">
        <v>417</v>
      </c>
      <c r="B368" s="72" t="s">
        <v>416</v>
      </c>
      <c r="C368" s="71" t="s">
        <v>54</v>
      </c>
      <c r="D368" s="73" t="s">
        <v>15</v>
      </c>
      <c r="E368" s="73" t="s">
        <v>16</v>
      </c>
      <c r="F368" s="74">
        <v>1</v>
      </c>
      <c r="G368" s="74">
        <v>6</v>
      </c>
      <c r="H368" s="74">
        <v>0</v>
      </c>
      <c r="I368" s="74">
        <v>7</v>
      </c>
      <c r="J368" s="74">
        <v>8100</v>
      </c>
      <c r="K368" s="76">
        <v>7615</v>
      </c>
      <c r="L368" s="74">
        <v>15715</v>
      </c>
      <c r="M368" s="75">
        <v>9809</v>
      </c>
    </row>
    <row r="369" spans="1:13" ht="15.75" thickBot="1" x14ac:dyDescent="0.3">
      <c r="A369" s="71" t="s">
        <v>443</v>
      </c>
      <c r="B369" s="72" t="s">
        <v>442</v>
      </c>
      <c r="C369" s="71" t="s">
        <v>54</v>
      </c>
      <c r="D369" s="73" t="s">
        <v>444</v>
      </c>
      <c r="E369" s="73" t="s">
        <v>16</v>
      </c>
      <c r="F369" s="74">
        <v>1</v>
      </c>
      <c r="G369" s="74">
        <v>3</v>
      </c>
      <c r="H369" s="74">
        <v>0</v>
      </c>
      <c r="I369" s="74">
        <v>4</v>
      </c>
      <c r="J369" s="74">
        <v>64500</v>
      </c>
      <c r="K369" s="76">
        <v>21115</v>
      </c>
      <c r="L369" s="74">
        <v>85615</v>
      </c>
      <c r="M369" s="75">
        <v>6440</v>
      </c>
    </row>
    <row r="370" spans="1:13" ht="15.75" thickBot="1" x14ac:dyDescent="0.3">
      <c r="A370" s="71" t="s">
        <v>508</v>
      </c>
      <c r="B370" s="72" t="s">
        <v>507</v>
      </c>
      <c r="C370" s="71" t="s">
        <v>54</v>
      </c>
      <c r="D370" s="73" t="s">
        <v>15</v>
      </c>
      <c r="E370" s="73" t="s">
        <v>16</v>
      </c>
      <c r="F370" s="74">
        <v>1</v>
      </c>
      <c r="G370" s="74">
        <v>15</v>
      </c>
      <c r="H370" s="74">
        <v>1</v>
      </c>
      <c r="I370" s="74">
        <v>17</v>
      </c>
      <c r="J370" s="74">
        <v>33380</v>
      </c>
      <c r="K370" s="76">
        <v>119091</v>
      </c>
      <c r="L370" s="74">
        <v>152471</v>
      </c>
      <c r="M370" s="75">
        <v>38704</v>
      </c>
    </row>
    <row r="371" spans="1:13" ht="15.75" thickBot="1" x14ac:dyDescent="0.3">
      <c r="A371" s="71" t="s">
        <v>522</v>
      </c>
      <c r="B371" s="72" t="s">
        <v>521</v>
      </c>
      <c r="C371" s="71" t="s">
        <v>54</v>
      </c>
      <c r="D371" s="73" t="s">
        <v>15</v>
      </c>
      <c r="E371" s="73" t="s">
        <v>16</v>
      </c>
      <c r="F371" s="74">
        <v>1</v>
      </c>
      <c r="G371" s="74">
        <v>9</v>
      </c>
      <c r="H371" s="74">
        <v>0</v>
      </c>
      <c r="I371" s="74">
        <v>10</v>
      </c>
      <c r="J371" s="74">
        <v>12117</v>
      </c>
      <c r="K371" s="76">
        <v>43592</v>
      </c>
      <c r="L371" s="74">
        <v>55709</v>
      </c>
      <c r="M371" s="75">
        <v>23407</v>
      </c>
    </row>
    <row r="372" spans="1:13" ht="15.75" thickBot="1" x14ac:dyDescent="0.3">
      <c r="A372" s="71" t="s">
        <v>542</v>
      </c>
      <c r="B372" s="72" t="s">
        <v>541</v>
      </c>
      <c r="C372" s="71" t="s">
        <v>54</v>
      </c>
      <c r="D372" s="73" t="s">
        <v>20</v>
      </c>
      <c r="E372" s="73" t="s">
        <v>21</v>
      </c>
      <c r="F372" s="74">
        <v>1</v>
      </c>
      <c r="G372" s="74">
        <v>0</v>
      </c>
      <c r="H372" s="74">
        <v>0</v>
      </c>
      <c r="I372" s="74">
        <v>1</v>
      </c>
      <c r="J372" s="74">
        <v>59314</v>
      </c>
      <c r="K372" s="74">
        <v>0</v>
      </c>
      <c r="L372" s="74">
        <v>59314</v>
      </c>
      <c r="M372" s="75">
        <v>2287</v>
      </c>
    </row>
    <row r="373" spans="1:13" ht="15.75" thickBot="1" x14ac:dyDescent="0.3">
      <c r="A373" s="71" t="s">
        <v>590</v>
      </c>
      <c r="B373" s="72" t="s">
        <v>589</v>
      </c>
      <c r="C373" s="71" t="s">
        <v>54</v>
      </c>
      <c r="D373" s="73" t="s">
        <v>20</v>
      </c>
      <c r="E373" s="73" t="s">
        <v>21</v>
      </c>
      <c r="F373" s="74">
        <v>1</v>
      </c>
      <c r="G373" s="74">
        <v>0</v>
      </c>
      <c r="H373" s="74">
        <v>0</v>
      </c>
      <c r="I373" s="74">
        <v>1</v>
      </c>
      <c r="J373" s="74">
        <v>20250</v>
      </c>
      <c r="K373" s="74">
        <v>0</v>
      </c>
      <c r="L373" s="74">
        <v>20250</v>
      </c>
      <c r="M373" s="75">
        <v>1907</v>
      </c>
    </row>
    <row r="374" spans="1:13" ht="15.75" thickBot="1" x14ac:dyDescent="0.3">
      <c r="A374" s="71" t="s">
        <v>594</v>
      </c>
      <c r="B374" s="72" t="s">
        <v>593</v>
      </c>
      <c r="C374" s="71" t="s">
        <v>54</v>
      </c>
      <c r="D374" s="73" t="s">
        <v>15</v>
      </c>
      <c r="E374" s="73" t="s">
        <v>16</v>
      </c>
      <c r="F374" s="74">
        <v>1</v>
      </c>
      <c r="G374" s="74">
        <v>0</v>
      </c>
      <c r="H374" s="74">
        <v>0</v>
      </c>
      <c r="I374" s="74">
        <v>1</v>
      </c>
      <c r="J374" s="74">
        <v>49000</v>
      </c>
      <c r="K374" s="74">
        <v>0</v>
      </c>
      <c r="L374" s="74">
        <v>49000</v>
      </c>
      <c r="M374" s="75">
        <v>3415</v>
      </c>
    </row>
    <row r="375" spans="1:13" ht="15.75" thickBot="1" x14ac:dyDescent="0.3">
      <c r="A375" s="71" t="s">
        <v>604</v>
      </c>
      <c r="B375" s="72" t="s">
        <v>603</v>
      </c>
      <c r="C375" s="71" t="s">
        <v>54</v>
      </c>
      <c r="D375" s="73" t="s">
        <v>20</v>
      </c>
      <c r="E375" s="73" t="s">
        <v>21</v>
      </c>
      <c r="F375" s="74">
        <v>1</v>
      </c>
      <c r="G375" s="74">
        <v>3</v>
      </c>
      <c r="H375" s="74">
        <v>0</v>
      </c>
      <c r="I375" s="74">
        <v>4</v>
      </c>
      <c r="J375" s="74">
        <v>32553</v>
      </c>
      <c r="K375" s="76">
        <v>42922</v>
      </c>
      <c r="L375" s="74">
        <v>75475</v>
      </c>
      <c r="M375" s="75">
        <v>7392</v>
      </c>
    </row>
    <row r="376" spans="1:13" ht="15.75" thickBot="1" x14ac:dyDescent="0.3">
      <c r="A376" s="71" t="s">
        <v>638</v>
      </c>
      <c r="B376" s="72" t="s">
        <v>637</v>
      </c>
      <c r="C376" s="71" t="s">
        <v>54</v>
      </c>
      <c r="D376" s="73" t="s">
        <v>15</v>
      </c>
      <c r="E376" s="73" t="s">
        <v>16</v>
      </c>
      <c r="F376" s="74">
        <v>1</v>
      </c>
      <c r="G376" s="74">
        <v>0</v>
      </c>
      <c r="H376" s="74">
        <v>2</v>
      </c>
      <c r="I376" s="74">
        <v>3</v>
      </c>
      <c r="J376" s="74">
        <v>76600</v>
      </c>
      <c r="K376" s="76">
        <v>310</v>
      </c>
      <c r="L376" s="74">
        <v>76910</v>
      </c>
      <c r="M376" s="75">
        <v>6600</v>
      </c>
    </row>
    <row r="377" spans="1:13" ht="15.75" thickBot="1" x14ac:dyDescent="0.3">
      <c r="A377" s="71" t="s">
        <v>648</v>
      </c>
      <c r="B377" s="72" t="s">
        <v>647</v>
      </c>
      <c r="C377" s="71" t="s">
        <v>54</v>
      </c>
      <c r="D377" s="73" t="s">
        <v>20</v>
      </c>
      <c r="E377" s="73" t="s">
        <v>21</v>
      </c>
      <c r="F377" s="74">
        <v>1</v>
      </c>
      <c r="G377" s="74">
        <v>0</v>
      </c>
      <c r="H377" s="74">
        <v>0</v>
      </c>
      <c r="I377" s="74">
        <v>1</v>
      </c>
      <c r="J377" s="74">
        <v>42000</v>
      </c>
      <c r="K377" s="74">
        <v>0</v>
      </c>
      <c r="L377" s="74">
        <v>42000</v>
      </c>
      <c r="M377" s="75">
        <v>1818</v>
      </c>
    </row>
    <row r="378" spans="1:13" ht="15.75" thickBot="1" x14ac:dyDescent="0.3">
      <c r="A378" s="71" t="s">
        <v>654</v>
      </c>
      <c r="B378" s="72" t="s">
        <v>653</v>
      </c>
      <c r="C378" s="71" t="s">
        <v>54</v>
      </c>
      <c r="D378" s="73" t="s">
        <v>15</v>
      </c>
      <c r="E378" s="73" t="s">
        <v>16</v>
      </c>
      <c r="F378" s="74">
        <v>1</v>
      </c>
      <c r="G378" s="74">
        <v>10</v>
      </c>
      <c r="H378" s="74">
        <v>0</v>
      </c>
      <c r="I378" s="74">
        <v>11</v>
      </c>
      <c r="J378" s="74">
        <v>29765</v>
      </c>
      <c r="K378" s="76">
        <v>44790</v>
      </c>
      <c r="L378" s="74">
        <v>74555</v>
      </c>
      <c r="M378" s="75">
        <v>29917</v>
      </c>
    </row>
    <row r="379" spans="1:13" ht="15.75" thickBot="1" x14ac:dyDescent="0.3">
      <c r="A379" s="71" t="s">
        <v>656</v>
      </c>
      <c r="B379" s="72" t="s">
        <v>655</v>
      </c>
      <c r="C379" s="71" t="s">
        <v>54</v>
      </c>
      <c r="D379" s="73" t="s">
        <v>20</v>
      </c>
      <c r="E379" s="73" t="s">
        <v>21</v>
      </c>
      <c r="F379" s="74">
        <v>1</v>
      </c>
      <c r="G379" s="74">
        <v>0</v>
      </c>
      <c r="H379" s="74">
        <v>0</v>
      </c>
      <c r="I379" s="74">
        <v>1</v>
      </c>
      <c r="J379" s="74">
        <v>30000</v>
      </c>
      <c r="K379" s="74">
        <v>0</v>
      </c>
      <c r="L379" s="74">
        <v>30000</v>
      </c>
      <c r="M379" s="75">
        <v>2280</v>
      </c>
    </row>
    <row r="380" spans="1:13" ht="15.75" thickBot="1" x14ac:dyDescent="0.3">
      <c r="A380" s="71" t="s">
        <v>684</v>
      </c>
      <c r="B380" s="72" t="s">
        <v>683</v>
      </c>
      <c r="C380" s="71" t="s">
        <v>54</v>
      </c>
      <c r="D380" s="73" t="s">
        <v>15</v>
      </c>
      <c r="E380" s="73" t="s">
        <v>16</v>
      </c>
      <c r="F380" s="74">
        <v>1</v>
      </c>
      <c r="G380" s="74">
        <v>0</v>
      </c>
      <c r="H380" s="74">
        <v>0</v>
      </c>
      <c r="I380" s="74">
        <v>1</v>
      </c>
      <c r="J380" s="74">
        <v>12400</v>
      </c>
      <c r="K380" s="74">
        <v>0</v>
      </c>
      <c r="L380" s="74">
        <v>12400</v>
      </c>
      <c r="M380" s="75">
        <v>2937</v>
      </c>
    </row>
    <row r="381" spans="1:13" ht="15.75" thickBot="1" x14ac:dyDescent="0.3">
      <c r="A381" s="71" t="s">
        <v>696</v>
      </c>
      <c r="B381" s="72" t="s">
        <v>695</v>
      </c>
      <c r="C381" s="71" t="s">
        <v>54</v>
      </c>
      <c r="D381" s="73" t="s">
        <v>20</v>
      </c>
      <c r="E381" s="73" t="s">
        <v>21</v>
      </c>
      <c r="F381" s="74">
        <v>1</v>
      </c>
      <c r="G381" s="74">
        <v>0</v>
      </c>
      <c r="H381" s="74">
        <v>0</v>
      </c>
      <c r="I381" s="74">
        <v>1</v>
      </c>
      <c r="J381" s="74">
        <v>124000</v>
      </c>
      <c r="K381" s="74">
        <v>0</v>
      </c>
      <c r="L381" s="74">
        <v>124000</v>
      </c>
      <c r="M381" s="75">
        <v>2683</v>
      </c>
    </row>
    <row r="382" spans="1:13" ht="15.75" thickBot="1" x14ac:dyDescent="0.3">
      <c r="A382" s="71" t="s">
        <v>710</v>
      </c>
      <c r="B382" s="72" t="s">
        <v>709</v>
      </c>
      <c r="C382" s="71" t="s">
        <v>54</v>
      </c>
      <c r="D382" s="73" t="s">
        <v>20</v>
      </c>
      <c r="E382" s="73" t="s">
        <v>21</v>
      </c>
      <c r="F382" s="74">
        <v>1</v>
      </c>
      <c r="G382" s="74">
        <v>0</v>
      </c>
      <c r="H382" s="74">
        <v>0</v>
      </c>
      <c r="I382" s="74">
        <v>1</v>
      </c>
      <c r="J382" s="74">
        <v>42556</v>
      </c>
      <c r="K382" s="74">
        <v>0</v>
      </c>
      <c r="L382" s="74">
        <v>42556</v>
      </c>
      <c r="M382" s="75">
        <v>2213</v>
      </c>
    </row>
    <row r="383" spans="1:13" ht="15.75" thickBot="1" x14ac:dyDescent="0.3">
      <c r="A383" s="71" t="s">
        <v>726</v>
      </c>
      <c r="B383" s="72" t="s">
        <v>725</v>
      </c>
      <c r="C383" s="71" t="s">
        <v>54</v>
      </c>
      <c r="D383" s="73" t="s">
        <v>20</v>
      </c>
      <c r="E383" s="73" t="s">
        <v>21</v>
      </c>
      <c r="F383" s="74">
        <v>1</v>
      </c>
      <c r="G383" s="74">
        <v>0</v>
      </c>
      <c r="H383" s="74">
        <v>0</v>
      </c>
      <c r="I383" s="74">
        <v>1</v>
      </c>
      <c r="J383" s="74">
        <v>24950</v>
      </c>
      <c r="K383" s="77">
        <v>0</v>
      </c>
      <c r="L383" s="74">
        <v>24950</v>
      </c>
      <c r="M383" s="75">
        <v>2630</v>
      </c>
    </row>
    <row r="384" spans="1:13" ht="15.75" thickBot="1" x14ac:dyDescent="0.3">
      <c r="A384" s="71" t="s">
        <v>752</v>
      </c>
      <c r="B384" s="72" t="s">
        <v>751</v>
      </c>
      <c r="C384" s="71" t="s">
        <v>54</v>
      </c>
      <c r="D384" s="73" t="s">
        <v>15</v>
      </c>
      <c r="E384" s="73" t="s">
        <v>16</v>
      </c>
      <c r="F384" s="74">
        <v>1</v>
      </c>
      <c r="G384" s="74">
        <v>2</v>
      </c>
      <c r="H384" s="74">
        <v>0</v>
      </c>
      <c r="I384" s="74">
        <v>3</v>
      </c>
      <c r="J384" s="74">
        <v>58000</v>
      </c>
      <c r="K384" s="76">
        <v>7300</v>
      </c>
      <c r="L384" s="74">
        <v>65300</v>
      </c>
      <c r="M384" s="75">
        <v>8071</v>
      </c>
    </row>
    <row r="385" spans="1:13" ht="15.75" thickBot="1" x14ac:dyDescent="0.3">
      <c r="A385" s="71" t="s">
        <v>754</v>
      </c>
      <c r="B385" s="72" t="s">
        <v>753</v>
      </c>
      <c r="C385" s="71" t="s">
        <v>54</v>
      </c>
      <c r="D385" s="73" t="s">
        <v>20</v>
      </c>
      <c r="E385" s="73" t="s">
        <v>21</v>
      </c>
      <c r="F385" s="74">
        <v>1</v>
      </c>
      <c r="G385" s="74">
        <v>0</v>
      </c>
      <c r="H385" s="74">
        <v>0</v>
      </c>
      <c r="I385" s="74">
        <v>1</v>
      </c>
      <c r="J385" s="74">
        <v>21500</v>
      </c>
      <c r="K385" s="74">
        <v>0</v>
      </c>
      <c r="L385" s="74">
        <v>21500</v>
      </c>
      <c r="M385" s="75">
        <v>3172</v>
      </c>
    </row>
    <row r="386" spans="1:13" ht="15.75" thickBot="1" x14ac:dyDescent="0.3">
      <c r="A386" s="71" t="s">
        <v>756</v>
      </c>
      <c r="B386" s="72" t="s">
        <v>755</v>
      </c>
      <c r="C386" s="71" t="s">
        <v>54</v>
      </c>
      <c r="D386" s="73" t="s">
        <v>20</v>
      </c>
      <c r="E386" s="73" t="s">
        <v>21</v>
      </c>
      <c r="F386" s="74">
        <v>1</v>
      </c>
      <c r="G386" s="74">
        <v>0</v>
      </c>
      <c r="H386" s="74">
        <v>0</v>
      </c>
      <c r="I386" s="74">
        <v>1</v>
      </c>
      <c r="J386" s="74">
        <v>50000</v>
      </c>
      <c r="K386" s="74">
        <v>0</v>
      </c>
      <c r="L386" s="74">
        <v>50000</v>
      </c>
      <c r="M386" s="75">
        <v>2035</v>
      </c>
    </row>
    <row r="387" spans="1:13" ht="15.75" thickBot="1" x14ac:dyDescent="0.3">
      <c r="A387" s="71" t="s">
        <v>778</v>
      </c>
      <c r="B387" s="72" t="s">
        <v>777</v>
      </c>
      <c r="C387" s="71" t="s">
        <v>54</v>
      </c>
      <c r="D387" s="73" t="s">
        <v>20</v>
      </c>
      <c r="E387" s="73" t="s">
        <v>21</v>
      </c>
      <c r="F387" s="74">
        <v>1</v>
      </c>
      <c r="G387" s="74">
        <v>3</v>
      </c>
      <c r="H387" s="74">
        <v>0</v>
      </c>
      <c r="I387" s="74">
        <v>4</v>
      </c>
      <c r="J387" s="74">
        <v>35000</v>
      </c>
      <c r="K387" s="76">
        <v>33254</v>
      </c>
      <c r="L387" s="74">
        <v>68254</v>
      </c>
      <c r="M387" s="75">
        <v>6710</v>
      </c>
    </row>
    <row r="388" spans="1:13" ht="15.75" thickBot="1" x14ac:dyDescent="0.3">
      <c r="A388" s="71" t="s">
        <v>780</v>
      </c>
      <c r="B388" s="72" t="s">
        <v>779</v>
      </c>
      <c r="C388" s="71" t="s">
        <v>54</v>
      </c>
      <c r="D388" s="73" t="s">
        <v>15</v>
      </c>
      <c r="E388" s="73" t="s">
        <v>16</v>
      </c>
      <c r="F388" s="74">
        <v>1</v>
      </c>
      <c r="G388" s="74">
        <v>0</v>
      </c>
      <c r="H388" s="74">
        <v>0</v>
      </c>
      <c r="I388" s="74">
        <v>1</v>
      </c>
      <c r="J388" s="74">
        <v>27300</v>
      </c>
      <c r="K388" s="74">
        <v>0</v>
      </c>
      <c r="L388" s="74">
        <v>27300</v>
      </c>
      <c r="M388" s="75">
        <v>2915</v>
      </c>
    </row>
    <row r="389" spans="1:13" ht="15.75" thickBot="1" x14ac:dyDescent="0.3">
      <c r="A389" s="71" t="s">
        <v>788</v>
      </c>
      <c r="B389" s="72" t="s">
        <v>787</v>
      </c>
      <c r="C389" s="71" t="s">
        <v>54</v>
      </c>
      <c r="D389" s="73" t="s">
        <v>61</v>
      </c>
      <c r="E389" s="73" t="s">
        <v>62</v>
      </c>
      <c r="F389" s="74">
        <v>1</v>
      </c>
      <c r="G389" s="74">
        <v>1</v>
      </c>
      <c r="H389" s="74">
        <v>0</v>
      </c>
      <c r="I389" s="74">
        <v>2</v>
      </c>
      <c r="J389" s="74">
        <v>64000</v>
      </c>
      <c r="K389" s="76">
        <v>12000</v>
      </c>
      <c r="L389" s="74">
        <v>76000</v>
      </c>
      <c r="M389" s="75">
        <v>7097</v>
      </c>
    </row>
    <row r="390" spans="1:13" ht="15.75" thickBot="1" x14ac:dyDescent="0.3">
      <c r="A390" s="71" t="s">
        <v>808</v>
      </c>
      <c r="B390" s="72" t="s">
        <v>807</v>
      </c>
      <c r="C390" s="71" t="s">
        <v>54</v>
      </c>
      <c r="D390" s="73" t="s">
        <v>20</v>
      </c>
      <c r="E390" s="73" t="s">
        <v>21</v>
      </c>
      <c r="F390" s="74">
        <v>1</v>
      </c>
      <c r="G390" s="74">
        <v>1</v>
      </c>
      <c r="H390" s="74">
        <v>0</v>
      </c>
      <c r="I390" s="74">
        <v>2</v>
      </c>
      <c r="J390" s="74">
        <v>55000</v>
      </c>
      <c r="K390" s="76">
        <v>12000</v>
      </c>
      <c r="L390" s="74">
        <v>67000</v>
      </c>
      <c r="M390" s="75">
        <v>4567</v>
      </c>
    </row>
    <row r="391" spans="1:13" ht="15.75" thickBot="1" x14ac:dyDescent="0.3">
      <c r="A391" s="71" t="s">
        <v>810</v>
      </c>
      <c r="B391" s="72" t="s">
        <v>809</v>
      </c>
      <c r="C391" s="71" t="s">
        <v>54</v>
      </c>
      <c r="D391" s="73" t="s">
        <v>20</v>
      </c>
      <c r="E391" s="73" t="s">
        <v>21</v>
      </c>
      <c r="F391" s="74">
        <v>1</v>
      </c>
      <c r="G391" s="74">
        <v>0</v>
      </c>
      <c r="H391" s="74">
        <v>0</v>
      </c>
      <c r="I391" s="74">
        <v>1</v>
      </c>
      <c r="J391" s="74">
        <v>33450</v>
      </c>
      <c r="K391" s="74">
        <v>0</v>
      </c>
      <c r="L391" s="74">
        <v>33450</v>
      </c>
      <c r="M391" s="75">
        <v>2600</v>
      </c>
    </row>
    <row r="392" spans="1:13" ht="15.75" thickBot="1" x14ac:dyDescent="0.3">
      <c r="A392" s="71" t="s">
        <v>816</v>
      </c>
      <c r="B392" s="72" t="s">
        <v>815</v>
      </c>
      <c r="C392" s="71" t="s">
        <v>54</v>
      </c>
      <c r="D392" s="73" t="s">
        <v>46</v>
      </c>
      <c r="E392" s="73" t="s">
        <v>47</v>
      </c>
      <c r="F392" s="74">
        <v>1</v>
      </c>
      <c r="G392" s="74">
        <v>2</v>
      </c>
      <c r="H392" s="74">
        <v>1</v>
      </c>
      <c r="I392" s="74">
        <v>4</v>
      </c>
      <c r="J392" s="74">
        <v>60000</v>
      </c>
      <c r="K392" s="76">
        <v>12100</v>
      </c>
      <c r="L392" s="74">
        <v>72100</v>
      </c>
      <c r="M392" s="75">
        <v>1460</v>
      </c>
    </row>
    <row r="393" spans="1:13" ht="19.5" thickBot="1" x14ac:dyDescent="0.35">
      <c r="A393" s="35"/>
      <c r="B393" s="40" t="s">
        <v>1599</v>
      </c>
      <c r="C393" s="41">
        <f>SUBTOTAL(103,Table1[Library Class])</f>
        <v>389</v>
      </c>
      <c r="D393" s="36"/>
      <c r="E393" s="38" t="s">
        <v>1600</v>
      </c>
      <c r="F393" s="42">
        <f>SUBTOTAL(109,Table1[Number of Central Libraries])</f>
        <v>386</v>
      </c>
      <c r="G393" s="42">
        <f>SUBTOTAL(109,Table1[Number of Branch Libraries])</f>
        <v>255</v>
      </c>
      <c r="H393" s="42">
        <f>SUBTOTAL(109,Table1[Number of Bookmobiles])</f>
        <v>11</v>
      </c>
      <c r="I393" s="42">
        <f>SUBTOTAL(109,Table1[Total Number of Outlets])</f>
        <v>652</v>
      </c>
      <c r="J393" s="42">
        <f>SUBTOTAL(109,Table1[Central Library(ies) Square Feet])</f>
        <v>6420804</v>
      </c>
      <c r="K393" s="42">
        <f>SUBTOTAL(109,Table1[Branch(es) Square Feet])</f>
        <v>1615626</v>
      </c>
      <c r="L393" s="42">
        <f>SUBTOTAL(109,Table1[Total Square Feet])</f>
        <v>8036430</v>
      </c>
      <c r="M393" s="43">
        <f>SUBTOTAL(109,Table1[Total Annual Public Service Hours])</f>
        <v>1297194</v>
      </c>
    </row>
    <row r="394" spans="1:13" ht="19.5" thickBot="1" x14ac:dyDescent="0.35">
      <c r="B394" s="37"/>
      <c r="C394" s="37"/>
      <c r="D394" s="37"/>
      <c r="E394" s="39" t="s">
        <v>1601</v>
      </c>
      <c r="F394" s="42"/>
      <c r="G394" s="42"/>
      <c r="H394" s="42"/>
      <c r="I394" s="42"/>
      <c r="J394" s="44">
        <f>SUBTOTAL(101,Table1[Central Library(ies) Square Feet])</f>
        <v>16505.922879177378</v>
      </c>
      <c r="K394" s="44"/>
      <c r="L394" s="44">
        <f>SUBTOTAL(101,Table1[Total Square Feet])</f>
        <v>20659.203084832905</v>
      </c>
      <c r="M394" s="45">
        <f>SUBTOTAL(101,Table1[Total Annual Public Service Hours])</f>
        <v>3334.6889460154243</v>
      </c>
    </row>
    <row r="395" spans="1:13" x14ac:dyDescent="0.2">
      <c r="C395" s="46"/>
    </row>
    <row r="396" spans="1:13" ht="15" x14ac:dyDescent="0.25">
      <c r="A396" s="369" t="s">
        <v>3736</v>
      </c>
    </row>
  </sheetData>
  <sortState xmlns:xlrd2="http://schemas.microsoft.com/office/spreadsheetml/2017/richdata2" ref="A4:M392">
    <sortCondition ref="B4:B392"/>
  </sortState>
  <hyperlinks>
    <hyperlink ref="F1" location="'Table of Contents'!A1" display="Return to Table of Contents" xr:uid="{CEA3A189-81FE-4765-9DE3-C305E618ABE8}"/>
  </hyperlinks>
  <printOptions horizontalCentered="1" verticalCentered="1"/>
  <pageMargins left="0.75" right="0.75" top="1" bottom="1" header="0.5" footer="0.5"/>
  <pageSetup orientation="landscape" horizontalDpi="0" verticalDpi="0"/>
  <headerFooter>
    <oddHeader xml:space="preserve">LM_Statistics Outlets, Hours, and SqFt </oddHeader>
    <oddFooter>Counting Opinions (SQUIRE) Ltd.</oddFooter>
  </headerFooter>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CC6D4"/>
  </sheetPr>
  <dimension ref="A1:Q402"/>
  <sheetViews>
    <sheetView workbookViewId="0">
      <pane ySplit="3" topLeftCell="A4" activePane="bottomLeft" state="frozen"/>
      <selection pane="bottomLeft" activeCell="B3" sqref="B3"/>
    </sheetView>
  </sheetViews>
  <sheetFormatPr defaultRowHeight="12.75" x14ac:dyDescent="0.2"/>
  <cols>
    <col min="2" max="2" width="53" customWidth="1"/>
    <col min="3" max="3" width="25.140625" customWidth="1"/>
    <col min="4" max="4" width="11" customWidth="1"/>
    <col min="5" max="5" width="10.7109375" customWidth="1"/>
    <col min="6" max="6" width="9.42578125" customWidth="1"/>
    <col min="7" max="7" width="11.7109375" customWidth="1"/>
    <col min="8" max="8" width="14" customWidth="1"/>
    <col min="9" max="9" width="12.28515625" customWidth="1"/>
    <col min="10" max="10" width="12.140625" customWidth="1"/>
    <col min="11" max="11" width="15.42578125" customWidth="1"/>
    <col min="12" max="12" width="14.85546875" customWidth="1"/>
    <col min="13" max="13" width="11.140625" customWidth="1"/>
    <col min="14" max="14" width="13.140625" customWidth="1"/>
    <col min="15" max="15" width="10.42578125" customWidth="1"/>
    <col min="16" max="16" width="17.5703125" customWidth="1"/>
    <col min="17" max="17" width="14" customWidth="1"/>
  </cols>
  <sheetData>
    <row r="1" spans="1:17" ht="18.75" x14ac:dyDescent="0.3">
      <c r="A1" s="362" t="s">
        <v>3729</v>
      </c>
      <c r="B1" s="365"/>
      <c r="D1" s="364" t="s">
        <v>1587</v>
      </c>
      <c r="F1" s="360" t="s">
        <v>3727</v>
      </c>
    </row>
    <row r="3" spans="1:17" s="34" customFormat="1" ht="63" customHeight="1" thickBot="1" x14ac:dyDescent="0.25">
      <c r="A3" s="51" t="s">
        <v>1</v>
      </c>
      <c r="B3" s="51" t="s">
        <v>0</v>
      </c>
      <c r="C3" s="51" t="s">
        <v>4</v>
      </c>
      <c r="D3" s="51" t="s">
        <v>1602</v>
      </c>
      <c r="E3" s="51" t="s">
        <v>1603</v>
      </c>
      <c r="F3" s="51" t="s">
        <v>1604</v>
      </c>
      <c r="G3" s="51" t="s">
        <v>1605</v>
      </c>
      <c r="H3" s="51" t="s">
        <v>1606</v>
      </c>
      <c r="I3" s="51" t="s">
        <v>1607</v>
      </c>
      <c r="J3" s="51" t="s">
        <v>1608</v>
      </c>
      <c r="K3" s="51" t="s">
        <v>1609</v>
      </c>
      <c r="L3" s="51" t="s">
        <v>1610</v>
      </c>
      <c r="M3" s="51" t="s">
        <v>1616</v>
      </c>
      <c r="N3" s="51" t="s">
        <v>1611</v>
      </c>
      <c r="O3" s="33" t="s">
        <v>1617</v>
      </c>
      <c r="P3" s="33" t="s">
        <v>1618</v>
      </c>
      <c r="Q3" s="33" t="s">
        <v>1619</v>
      </c>
    </row>
    <row r="4" spans="1:17" ht="15.75" thickBot="1" x14ac:dyDescent="0.3">
      <c r="A4" s="79" t="s">
        <v>33</v>
      </c>
      <c r="B4" s="80" t="s">
        <v>32</v>
      </c>
      <c r="C4" s="79" t="s">
        <v>34</v>
      </c>
      <c r="D4" s="81">
        <v>1285</v>
      </c>
      <c r="E4" s="81">
        <v>12328</v>
      </c>
      <c r="F4" s="81">
        <v>966</v>
      </c>
      <c r="G4" s="81">
        <v>1600</v>
      </c>
      <c r="H4" s="81">
        <v>36</v>
      </c>
      <c r="I4" s="81">
        <v>2</v>
      </c>
      <c r="J4" s="81">
        <v>24965</v>
      </c>
      <c r="K4" s="81">
        <v>38552</v>
      </c>
      <c r="L4" s="81">
        <v>13137</v>
      </c>
      <c r="M4" s="81">
        <v>76654</v>
      </c>
      <c r="N4" s="81">
        <v>91548</v>
      </c>
      <c r="O4" s="82">
        <v>59.652918287937744</v>
      </c>
      <c r="P4" s="82">
        <v>11.590661478599221</v>
      </c>
      <c r="Q4" s="82">
        <v>71.243579766536968</v>
      </c>
    </row>
    <row r="5" spans="1:17" ht="15.75" thickBot="1" x14ac:dyDescent="0.3">
      <c r="A5" s="79" t="s">
        <v>58</v>
      </c>
      <c r="B5" s="80" t="s">
        <v>57</v>
      </c>
      <c r="C5" s="79" t="s">
        <v>34</v>
      </c>
      <c r="D5" s="81">
        <v>3248</v>
      </c>
      <c r="E5" s="81">
        <v>10867</v>
      </c>
      <c r="F5" s="81">
        <v>55</v>
      </c>
      <c r="G5" s="81">
        <v>428</v>
      </c>
      <c r="H5" s="81">
        <v>25</v>
      </c>
      <c r="I5" s="81">
        <v>2</v>
      </c>
      <c r="J5" s="81">
        <v>16410</v>
      </c>
      <c r="K5" s="81">
        <v>4256</v>
      </c>
      <c r="L5" s="81">
        <v>0</v>
      </c>
      <c r="M5" s="81">
        <v>20666</v>
      </c>
      <c r="N5" s="81">
        <v>32016</v>
      </c>
      <c r="O5" s="82">
        <v>6.3626847290640391</v>
      </c>
      <c r="P5" s="82">
        <v>3.4944581280788176</v>
      </c>
      <c r="Q5" s="82">
        <v>9.8571428571428577</v>
      </c>
    </row>
    <row r="6" spans="1:17" ht="15.75" thickBot="1" x14ac:dyDescent="0.3">
      <c r="A6" s="79" t="s">
        <v>80</v>
      </c>
      <c r="B6" s="80" t="s">
        <v>79</v>
      </c>
      <c r="C6" s="79" t="s">
        <v>34</v>
      </c>
      <c r="D6" s="81">
        <v>657</v>
      </c>
      <c r="E6" s="81">
        <v>14231</v>
      </c>
      <c r="F6" s="81">
        <v>446</v>
      </c>
      <c r="G6" s="81">
        <v>1973</v>
      </c>
      <c r="H6" s="81">
        <v>20</v>
      </c>
      <c r="I6" s="81">
        <v>0</v>
      </c>
      <c r="J6" s="81">
        <v>26650</v>
      </c>
      <c r="K6" s="81">
        <v>5487</v>
      </c>
      <c r="L6" s="81">
        <v>137</v>
      </c>
      <c r="M6" s="81">
        <v>32274</v>
      </c>
      <c r="N6" s="81">
        <v>48924</v>
      </c>
      <c r="O6" s="82">
        <v>49.123287671232873</v>
      </c>
      <c r="P6" s="82">
        <v>25.342465753424658</v>
      </c>
      <c r="Q6" s="82">
        <v>74.465753424657535</v>
      </c>
    </row>
    <row r="7" spans="1:17" ht="15.75" thickBot="1" x14ac:dyDescent="0.3">
      <c r="A7" s="79" t="s">
        <v>82</v>
      </c>
      <c r="B7" s="80" t="s">
        <v>81</v>
      </c>
      <c r="C7" s="79" t="s">
        <v>34</v>
      </c>
      <c r="D7" s="81">
        <v>3769</v>
      </c>
      <c r="E7" s="81">
        <v>25172</v>
      </c>
      <c r="F7" s="81">
        <v>1224</v>
      </c>
      <c r="G7" s="81">
        <v>1691</v>
      </c>
      <c r="H7" s="81">
        <v>50</v>
      </c>
      <c r="I7" s="81">
        <v>1</v>
      </c>
      <c r="J7" s="81">
        <v>24965</v>
      </c>
      <c r="K7" s="81">
        <v>12544</v>
      </c>
      <c r="L7" s="81">
        <v>0</v>
      </c>
      <c r="M7" s="81">
        <v>37509</v>
      </c>
      <c r="N7" s="81">
        <v>65646</v>
      </c>
      <c r="O7" s="82">
        <v>9.9519766516317318</v>
      </c>
      <c r="P7" s="82">
        <v>7.4521093128150699</v>
      </c>
      <c r="Q7" s="82">
        <v>17.417352082780578</v>
      </c>
    </row>
    <row r="8" spans="1:17" ht="15.75" thickBot="1" x14ac:dyDescent="0.3">
      <c r="A8" s="79" t="s">
        <v>86</v>
      </c>
      <c r="B8" s="80" t="s">
        <v>85</v>
      </c>
      <c r="C8" s="79" t="s">
        <v>34</v>
      </c>
      <c r="D8" s="81">
        <v>3150</v>
      </c>
      <c r="E8" s="81">
        <v>15689</v>
      </c>
      <c r="F8" s="81">
        <v>295</v>
      </c>
      <c r="G8" s="81">
        <v>97</v>
      </c>
      <c r="H8" s="81">
        <v>1</v>
      </c>
      <c r="I8" s="81">
        <v>0</v>
      </c>
      <c r="J8" s="81">
        <v>14002</v>
      </c>
      <c r="K8" s="81">
        <v>3133</v>
      </c>
      <c r="L8" s="81">
        <v>0</v>
      </c>
      <c r="M8" s="81">
        <v>17135</v>
      </c>
      <c r="N8" s="81">
        <v>33216</v>
      </c>
      <c r="O8" s="82">
        <v>5.4396825396825399</v>
      </c>
      <c r="P8" s="82">
        <v>5.1050793650793649</v>
      </c>
      <c r="Q8" s="82">
        <v>10.544761904761904</v>
      </c>
    </row>
    <row r="9" spans="1:17" ht="15.75" thickBot="1" x14ac:dyDescent="0.3">
      <c r="A9" s="79" t="s">
        <v>90</v>
      </c>
      <c r="B9" s="80" t="s">
        <v>89</v>
      </c>
      <c r="C9" s="79" t="s">
        <v>34</v>
      </c>
      <c r="D9" s="81">
        <v>3811</v>
      </c>
      <c r="E9" s="81">
        <v>25606</v>
      </c>
      <c r="F9" s="81">
        <v>418</v>
      </c>
      <c r="G9" s="81">
        <v>2277</v>
      </c>
      <c r="H9" s="81">
        <v>51</v>
      </c>
      <c r="I9" s="81">
        <v>1</v>
      </c>
      <c r="J9" s="81">
        <v>25915</v>
      </c>
      <c r="K9" s="81">
        <v>5600</v>
      </c>
      <c r="L9" s="81">
        <v>337</v>
      </c>
      <c r="M9" s="81">
        <v>31852</v>
      </c>
      <c r="N9" s="81">
        <v>60153</v>
      </c>
      <c r="O9" s="82">
        <v>8.3579113093676192</v>
      </c>
      <c r="P9" s="82">
        <v>7.4261348727368146</v>
      </c>
      <c r="Q9" s="82">
        <v>15.784046182104435</v>
      </c>
    </row>
    <row r="10" spans="1:17" ht="15.75" thickBot="1" x14ac:dyDescent="0.3">
      <c r="A10" s="79" t="s">
        <v>92</v>
      </c>
      <c r="B10" s="80" t="s">
        <v>91</v>
      </c>
      <c r="C10" s="79" t="s">
        <v>34</v>
      </c>
      <c r="D10" s="81">
        <v>3623</v>
      </c>
      <c r="E10" s="81">
        <v>14236</v>
      </c>
      <c r="F10" s="81">
        <v>459</v>
      </c>
      <c r="G10" s="81">
        <v>1586</v>
      </c>
      <c r="H10" s="81">
        <v>11</v>
      </c>
      <c r="I10" s="81">
        <v>0</v>
      </c>
      <c r="J10" s="81">
        <v>24965</v>
      </c>
      <c r="K10" s="81">
        <v>41650</v>
      </c>
      <c r="L10" s="81">
        <v>137</v>
      </c>
      <c r="M10" s="81">
        <v>66752</v>
      </c>
      <c r="N10" s="81">
        <v>83033</v>
      </c>
      <c r="O10" s="82">
        <v>18.424510074523877</v>
      </c>
      <c r="P10" s="82">
        <v>4.4937896770632069</v>
      </c>
      <c r="Q10" s="82">
        <v>22.918299751587082</v>
      </c>
    </row>
    <row r="11" spans="1:17" ht="15.75" thickBot="1" x14ac:dyDescent="0.3">
      <c r="A11" s="79" t="s">
        <v>100</v>
      </c>
      <c r="B11" s="80" t="s">
        <v>99</v>
      </c>
      <c r="C11" s="79" t="s">
        <v>34</v>
      </c>
      <c r="D11" s="81">
        <v>2937</v>
      </c>
      <c r="E11" s="81">
        <v>6006</v>
      </c>
      <c r="F11" s="81">
        <v>366</v>
      </c>
      <c r="G11" s="81">
        <v>808</v>
      </c>
      <c r="H11" s="81">
        <v>12</v>
      </c>
      <c r="I11" s="81">
        <v>0</v>
      </c>
      <c r="J11" s="81">
        <v>25306</v>
      </c>
      <c r="K11" s="81">
        <v>40794</v>
      </c>
      <c r="L11" s="81">
        <v>137</v>
      </c>
      <c r="M11" s="81">
        <v>66237</v>
      </c>
      <c r="N11" s="81">
        <v>73429</v>
      </c>
      <c r="O11" s="82">
        <v>22.552604698672113</v>
      </c>
      <c r="P11" s="82">
        <v>2.4446714334354782</v>
      </c>
      <c r="Q11" s="82">
        <v>25.001361933946203</v>
      </c>
    </row>
    <row r="12" spans="1:17" ht="15.75" thickBot="1" x14ac:dyDescent="0.3">
      <c r="A12" s="79" t="s">
        <v>132</v>
      </c>
      <c r="B12" s="80" t="s">
        <v>131</v>
      </c>
      <c r="C12" s="79" t="s">
        <v>34</v>
      </c>
      <c r="D12" s="81">
        <v>2611</v>
      </c>
      <c r="E12" s="81">
        <v>17237</v>
      </c>
      <c r="F12" s="81">
        <v>300</v>
      </c>
      <c r="G12" s="81">
        <v>400</v>
      </c>
      <c r="H12" s="81">
        <v>19</v>
      </c>
      <c r="I12" s="81">
        <v>0</v>
      </c>
      <c r="J12" s="81">
        <v>0</v>
      </c>
      <c r="K12" s="81">
        <v>0</v>
      </c>
      <c r="L12" s="81">
        <v>0</v>
      </c>
      <c r="M12" s="81">
        <v>0</v>
      </c>
      <c r="N12" s="81">
        <v>17937</v>
      </c>
      <c r="O12" s="82">
        <v>0</v>
      </c>
      <c r="P12" s="82">
        <v>6.8697816928379929</v>
      </c>
      <c r="Q12" s="82">
        <v>6.8697816928379929</v>
      </c>
    </row>
    <row r="13" spans="1:17" ht="15.75" thickBot="1" x14ac:dyDescent="0.3">
      <c r="A13" s="79" t="s">
        <v>146</v>
      </c>
      <c r="B13" s="80" t="s">
        <v>145</v>
      </c>
      <c r="C13" s="79" t="s">
        <v>34</v>
      </c>
      <c r="D13" s="81">
        <v>722</v>
      </c>
      <c r="E13" s="81">
        <v>12838</v>
      </c>
      <c r="F13" s="81">
        <v>101</v>
      </c>
      <c r="G13" s="81">
        <v>907</v>
      </c>
      <c r="H13" s="81">
        <v>10</v>
      </c>
      <c r="I13" s="81">
        <v>0</v>
      </c>
      <c r="J13" s="81">
        <v>8362</v>
      </c>
      <c r="K13" s="81">
        <v>4151</v>
      </c>
      <c r="L13" s="81">
        <v>285</v>
      </c>
      <c r="M13" s="81">
        <v>12798</v>
      </c>
      <c r="N13" s="81">
        <v>26644</v>
      </c>
      <c r="O13" s="82">
        <v>17.725761772853186</v>
      </c>
      <c r="P13" s="82">
        <v>19.177285318559555</v>
      </c>
      <c r="Q13" s="82">
        <v>36.903047091412745</v>
      </c>
    </row>
    <row r="14" spans="1:17" ht="15.75" thickBot="1" x14ac:dyDescent="0.3">
      <c r="A14" s="79" t="s">
        <v>156</v>
      </c>
      <c r="B14" s="80" t="s">
        <v>155</v>
      </c>
      <c r="C14" s="79" t="s">
        <v>34</v>
      </c>
      <c r="D14" s="81">
        <v>3995</v>
      </c>
      <c r="E14" s="81">
        <v>21531</v>
      </c>
      <c r="F14" s="81">
        <v>1471</v>
      </c>
      <c r="G14" s="81">
        <v>1407</v>
      </c>
      <c r="H14" s="81">
        <v>23</v>
      </c>
      <c r="I14" s="81">
        <v>0</v>
      </c>
      <c r="J14" s="81">
        <v>21426</v>
      </c>
      <c r="K14" s="81">
        <v>3602</v>
      </c>
      <c r="L14" s="81">
        <v>134</v>
      </c>
      <c r="M14" s="81">
        <v>25162</v>
      </c>
      <c r="N14" s="81">
        <v>49594</v>
      </c>
      <c r="O14" s="82">
        <v>6.2983729662077597</v>
      </c>
      <c r="P14" s="82">
        <v>6.1098873591989991</v>
      </c>
      <c r="Q14" s="82">
        <v>12.414017521902379</v>
      </c>
    </row>
    <row r="15" spans="1:17" ht="15.75" thickBot="1" x14ac:dyDescent="0.3">
      <c r="A15" s="79" t="s">
        <v>164</v>
      </c>
      <c r="B15" s="80" t="s">
        <v>163</v>
      </c>
      <c r="C15" s="79" t="s">
        <v>34</v>
      </c>
      <c r="D15" s="81">
        <v>1854</v>
      </c>
      <c r="E15" s="81">
        <v>34747</v>
      </c>
      <c r="F15" s="81">
        <v>373</v>
      </c>
      <c r="G15" s="81">
        <v>875</v>
      </c>
      <c r="H15" s="81">
        <v>7</v>
      </c>
      <c r="I15" s="81">
        <v>0</v>
      </c>
      <c r="J15" s="81">
        <v>0</v>
      </c>
      <c r="K15" s="81">
        <v>0</v>
      </c>
      <c r="L15" s="81">
        <v>0</v>
      </c>
      <c r="M15" s="81">
        <v>0</v>
      </c>
      <c r="N15" s="81">
        <v>35995</v>
      </c>
      <c r="O15" s="82">
        <v>0</v>
      </c>
      <c r="P15" s="82">
        <v>19.414778856526429</v>
      </c>
      <c r="Q15" s="82">
        <v>19.414778856526429</v>
      </c>
    </row>
    <row r="16" spans="1:17" ht="15.75" thickBot="1" x14ac:dyDescent="0.3">
      <c r="A16" s="79" t="s">
        <v>176</v>
      </c>
      <c r="B16" s="80" t="s">
        <v>175</v>
      </c>
      <c r="C16" s="79" t="s">
        <v>34</v>
      </c>
      <c r="D16" s="81">
        <v>3604</v>
      </c>
      <c r="E16" s="81">
        <v>33058</v>
      </c>
      <c r="F16" s="81">
        <v>1677</v>
      </c>
      <c r="G16" s="81">
        <v>3050</v>
      </c>
      <c r="H16" s="81">
        <v>39</v>
      </c>
      <c r="I16" s="81">
        <v>3</v>
      </c>
      <c r="J16" s="81">
        <v>19445</v>
      </c>
      <c r="K16" s="81">
        <v>4253</v>
      </c>
      <c r="L16" s="81">
        <v>0</v>
      </c>
      <c r="M16" s="81">
        <v>23698</v>
      </c>
      <c r="N16" s="81">
        <v>61483</v>
      </c>
      <c r="O16" s="82">
        <v>6.5754716981132075</v>
      </c>
      <c r="P16" s="82">
        <v>10.484184239733629</v>
      </c>
      <c r="Q16" s="82">
        <v>17.059655937846838</v>
      </c>
    </row>
    <row r="17" spans="1:17" ht="15.75" thickBot="1" x14ac:dyDescent="0.3">
      <c r="A17" s="79" t="s">
        <v>184</v>
      </c>
      <c r="B17" s="80" t="s">
        <v>183</v>
      </c>
      <c r="C17" s="79" t="s">
        <v>34</v>
      </c>
      <c r="D17" s="81">
        <v>3803</v>
      </c>
      <c r="E17" s="81">
        <v>22795</v>
      </c>
      <c r="F17" s="81">
        <v>1111</v>
      </c>
      <c r="G17" s="81">
        <v>1442</v>
      </c>
      <c r="H17" s="81">
        <v>6</v>
      </c>
      <c r="I17" s="81">
        <v>0</v>
      </c>
      <c r="J17" s="81" t="s">
        <v>1624</v>
      </c>
      <c r="K17" s="81" t="s">
        <v>1624</v>
      </c>
      <c r="L17" s="81" t="s">
        <v>1624</v>
      </c>
      <c r="M17" s="81" t="s">
        <v>1624</v>
      </c>
      <c r="N17" s="81" t="s">
        <v>1625</v>
      </c>
      <c r="O17" s="81" t="s">
        <v>1625</v>
      </c>
      <c r="P17" s="82">
        <v>6.6652642650539047</v>
      </c>
      <c r="Q17" s="81" t="s">
        <v>1625</v>
      </c>
    </row>
    <row r="18" spans="1:17" ht="15.75" thickBot="1" x14ac:dyDescent="0.3">
      <c r="A18" s="79" t="s">
        <v>186</v>
      </c>
      <c r="B18" s="80" t="s">
        <v>185</v>
      </c>
      <c r="C18" s="79" t="s">
        <v>34</v>
      </c>
      <c r="D18" s="81">
        <v>2373</v>
      </c>
      <c r="E18" s="81">
        <v>14532</v>
      </c>
      <c r="F18" s="81">
        <v>263</v>
      </c>
      <c r="G18" s="81">
        <v>2118</v>
      </c>
      <c r="H18" s="81">
        <v>9</v>
      </c>
      <c r="I18" s="81">
        <v>1</v>
      </c>
      <c r="J18" s="81">
        <v>20745</v>
      </c>
      <c r="K18" s="81">
        <v>4604</v>
      </c>
      <c r="L18" s="81">
        <v>0</v>
      </c>
      <c r="M18" s="81">
        <v>25349</v>
      </c>
      <c r="N18" s="81">
        <v>42262</v>
      </c>
      <c r="O18" s="82">
        <v>10.682258744205647</v>
      </c>
      <c r="P18" s="82">
        <v>7.1272650653181628</v>
      </c>
      <c r="Q18" s="82">
        <v>17.80952380952381</v>
      </c>
    </row>
    <row r="19" spans="1:17" ht="15.75" thickBot="1" x14ac:dyDescent="0.3">
      <c r="A19" s="79" t="s">
        <v>202</v>
      </c>
      <c r="B19" s="80" t="s">
        <v>201</v>
      </c>
      <c r="C19" s="79" t="s">
        <v>34</v>
      </c>
      <c r="D19" s="81">
        <v>3953</v>
      </c>
      <c r="E19" s="81">
        <v>17335</v>
      </c>
      <c r="F19" s="81">
        <v>943</v>
      </c>
      <c r="G19" s="81">
        <v>1762</v>
      </c>
      <c r="H19" s="81">
        <v>19</v>
      </c>
      <c r="I19" s="81">
        <v>1</v>
      </c>
      <c r="J19" s="81" t="s">
        <v>1624</v>
      </c>
      <c r="K19" s="81" t="s">
        <v>1624</v>
      </c>
      <c r="L19" s="81" t="s">
        <v>1624</v>
      </c>
      <c r="M19" s="81" t="s">
        <v>1624</v>
      </c>
      <c r="N19" s="81" t="s">
        <v>1625</v>
      </c>
      <c r="O19" s="81" t="s">
        <v>1625</v>
      </c>
      <c r="P19" s="82">
        <v>5.0695674171515304</v>
      </c>
      <c r="Q19" s="81" t="s">
        <v>1625</v>
      </c>
    </row>
    <row r="20" spans="1:17" ht="15.75" thickBot="1" x14ac:dyDescent="0.3">
      <c r="A20" s="79" t="s">
        <v>204</v>
      </c>
      <c r="B20" s="80" t="s">
        <v>203</v>
      </c>
      <c r="C20" s="79" t="s">
        <v>34</v>
      </c>
      <c r="D20" s="81">
        <v>3228</v>
      </c>
      <c r="E20" s="81">
        <v>12119</v>
      </c>
      <c r="F20" s="81">
        <v>516</v>
      </c>
      <c r="G20" s="81">
        <v>1678</v>
      </c>
      <c r="H20" s="81">
        <v>29</v>
      </c>
      <c r="I20" s="81">
        <v>0</v>
      </c>
      <c r="J20" s="81">
        <v>8506</v>
      </c>
      <c r="K20" s="81">
        <v>3464</v>
      </c>
      <c r="L20" s="81">
        <v>0</v>
      </c>
      <c r="M20" s="81">
        <v>11970</v>
      </c>
      <c r="N20" s="81">
        <v>26283</v>
      </c>
      <c r="O20" s="82">
        <v>3.7081784386617098</v>
      </c>
      <c r="P20" s="82">
        <v>4.4340148698884763</v>
      </c>
      <c r="Q20" s="82">
        <v>8.1421933085501852</v>
      </c>
    </row>
    <row r="21" spans="1:17" ht="15.75" thickBot="1" x14ac:dyDescent="0.3">
      <c r="A21" s="79" t="s">
        <v>206</v>
      </c>
      <c r="B21" s="80" t="s">
        <v>205</v>
      </c>
      <c r="C21" s="79" t="s">
        <v>34</v>
      </c>
      <c r="D21" s="81">
        <v>3453</v>
      </c>
      <c r="E21" s="81">
        <v>12961</v>
      </c>
      <c r="F21" s="81">
        <v>1939</v>
      </c>
      <c r="G21" s="81">
        <v>3344</v>
      </c>
      <c r="H21" s="81">
        <v>97</v>
      </c>
      <c r="I21" s="81">
        <v>1</v>
      </c>
      <c r="J21" s="81">
        <v>8064</v>
      </c>
      <c r="K21" s="81">
        <v>3968</v>
      </c>
      <c r="L21" s="81">
        <v>285</v>
      </c>
      <c r="M21" s="81">
        <v>12317</v>
      </c>
      <c r="N21" s="81">
        <v>30561</v>
      </c>
      <c r="O21" s="82">
        <v>3.5670431508832898</v>
      </c>
      <c r="P21" s="82">
        <v>5.2835215754416449</v>
      </c>
      <c r="Q21" s="82">
        <v>8.8505647263249347</v>
      </c>
    </row>
    <row r="22" spans="1:17" ht="15.75" thickBot="1" x14ac:dyDescent="0.3">
      <c r="A22" s="79" t="s">
        <v>208</v>
      </c>
      <c r="B22" s="80" t="s">
        <v>207</v>
      </c>
      <c r="C22" s="79" t="s">
        <v>34</v>
      </c>
      <c r="D22" s="81">
        <v>1236</v>
      </c>
      <c r="E22" s="81">
        <v>11666</v>
      </c>
      <c r="F22" s="81">
        <v>347</v>
      </c>
      <c r="G22" s="81">
        <v>1801</v>
      </c>
      <c r="H22" s="81">
        <v>1</v>
      </c>
      <c r="I22" s="81">
        <v>0</v>
      </c>
      <c r="J22" s="81">
        <v>8064</v>
      </c>
      <c r="K22" s="81">
        <v>3968</v>
      </c>
      <c r="L22" s="81">
        <v>285</v>
      </c>
      <c r="M22" s="81">
        <v>12317</v>
      </c>
      <c r="N22" s="81">
        <v>26131</v>
      </c>
      <c r="O22" s="82">
        <v>9.9652103559870557</v>
      </c>
      <c r="P22" s="82">
        <v>11.176375404530745</v>
      </c>
      <c r="Q22" s="82">
        <v>21.141585760517799</v>
      </c>
    </row>
    <row r="23" spans="1:17" ht="15.75" thickBot="1" x14ac:dyDescent="0.3">
      <c r="A23" s="79" t="s">
        <v>210</v>
      </c>
      <c r="B23" s="80" t="s">
        <v>209</v>
      </c>
      <c r="C23" s="79" t="s">
        <v>34</v>
      </c>
      <c r="D23" s="81">
        <v>3179</v>
      </c>
      <c r="E23" s="81">
        <v>11291</v>
      </c>
      <c r="F23" s="81">
        <v>880</v>
      </c>
      <c r="G23" s="81">
        <v>3497</v>
      </c>
      <c r="H23" s="81">
        <v>18</v>
      </c>
      <c r="I23" s="81">
        <v>0</v>
      </c>
      <c r="J23" s="81">
        <v>21108</v>
      </c>
      <c r="K23" s="81">
        <v>3476</v>
      </c>
      <c r="L23" s="81">
        <v>134</v>
      </c>
      <c r="M23" s="81">
        <v>24718</v>
      </c>
      <c r="N23" s="81">
        <v>40386</v>
      </c>
      <c r="O23" s="82">
        <v>7.7754010695187166</v>
      </c>
      <c r="P23" s="82">
        <v>4.9285938974520294</v>
      </c>
      <c r="Q23" s="82">
        <v>12.703994966970745</v>
      </c>
    </row>
    <row r="24" spans="1:17" ht="15.75" thickBot="1" x14ac:dyDescent="0.3">
      <c r="A24" s="79" t="s">
        <v>256</v>
      </c>
      <c r="B24" s="80" t="s">
        <v>255</v>
      </c>
      <c r="C24" s="79" t="s">
        <v>34</v>
      </c>
      <c r="D24" s="81">
        <v>2769</v>
      </c>
      <c r="E24" s="81">
        <v>17315</v>
      </c>
      <c r="F24" s="81">
        <v>160</v>
      </c>
      <c r="G24" s="81">
        <v>120</v>
      </c>
      <c r="H24" s="81">
        <v>23</v>
      </c>
      <c r="I24" s="81">
        <v>0</v>
      </c>
      <c r="J24" s="81">
        <v>0</v>
      </c>
      <c r="K24" s="81">
        <v>0</v>
      </c>
      <c r="L24" s="81">
        <v>0</v>
      </c>
      <c r="M24" s="81">
        <v>0</v>
      </c>
      <c r="N24" s="81">
        <v>17595</v>
      </c>
      <c r="O24" s="82">
        <v>0</v>
      </c>
      <c r="P24" s="82">
        <v>6.3542795232936076</v>
      </c>
      <c r="Q24" s="82">
        <v>6.3542795232936076</v>
      </c>
    </row>
    <row r="25" spans="1:17" ht="15.75" thickBot="1" x14ac:dyDescent="0.3">
      <c r="A25" s="79" t="s">
        <v>258</v>
      </c>
      <c r="B25" s="80" t="s">
        <v>257</v>
      </c>
      <c r="C25" s="79" t="s">
        <v>34</v>
      </c>
      <c r="D25" s="81">
        <v>3738</v>
      </c>
      <c r="E25" s="81">
        <v>25251</v>
      </c>
      <c r="F25" s="81">
        <v>35</v>
      </c>
      <c r="G25" s="81">
        <v>2557</v>
      </c>
      <c r="H25" s="81">
        <v>67</v>
      </c>
      <c r="I25" s="81">
        <v>0</v>
      </c>
      <c r="J25" s="81">
        <v>0</v>
      </c>
      <c r="K25" s="81">
        <v>0</v>
      </c>
      <c r="L25" s="81">
        <v>0</v>
      </c>
      <c r="M25" s="81">
        <v>0</v>
      </c>
      <c r="N25" s="81">
        <v>27843</v>
      </c>
      <c r="O25" s="82">
        <v>0</v>
      </c>
      <c r="P25" s="82">
        <v>7.4486356340288928</v>
      </c>
      <c r="Q25" s="82">
        <v>7.4486356340288928</v>
      </c>
    </row>
    <row r="26" spans="1:17" ht="15.75" thickBot="1" x14ac:dyDescent="0.3">
      <c r="A26" s="79" t="s">
        <v>264</v>
      </c>
      <c r="B26" s="80" t="s">
        <v>263</v>
      </c>
      <c r="C26" s="79" t="s">
        <v>34</v>
      </c>
      <c r="D26" s="81">
        <v>3112</v>
      </c>
      <c r="E26" s="81">
        <v>22213</v>
      </c>
      <c r="F26" s="81">
        <v>0</v>
      </c>
      <c r="G26" s="81">
        <v>4044</v>
      </c>
      <c r="H26" s="81">
        <v>5</v>
      </c>
      <c r="I26" s="81">
        <v>0</v>
      </c>
      <c r="J26" s="81">
        <v>20745</v>
      </c>
      <c r="K26" s="81">
        <v>4604</v>
      </c>
      <c r="L26" s="81">
        <v>0</v>
      </c>
      <c r="M26" s="81">
        <v>25349</v>
      </c>
      <c r="N26" s="81">
        <v>51606</v>
      </c>
      <c r="O26" s="82">
        <v>8.1455655526992281</v>
      </c>
      <c r="P26" s="82">
        <v>8.4373393316195369</v>
      </c>
      <c r="Q26" s="82">
        <v>16.582904884318765</v>
      </c>
    </row>
    <row r="27" spans="1:17" ht="15.75" thickBot="1" x14ac:dyDescent="0.3">
      <c r="A27" s="79" t="s">
        <v>272</v>
      </c>
      <c r="B27" s="80" t="s">
        <v>271</v>
      </c>
      <c r="C27" s="79" t="s">
        <v>34</v>
      </c>
      <c r="D27" s="81">
        <v>2791</v>
      </c>
      <c r="E27" s="81">
        <v>16822</v>
      </c>
      <c r="F27" s="81">
        <v>421</v>
      </c>
      <c r="G27" s="81">
        <v>2276</v>
      </c>
      <c r="H27" s="81">
        <v>23</v>
      </c>
      <c r="I27" s="81">
        <v>0</v>
      </c>
      <c r="J27" s="81">
        <v>0</v>
      </c>
      <c r="K27" s="81">
        <v>0</v>
      </c>
      <c r="L27" s="81">
        <v>0</v>
      </c>
      <c r="M27" s="81">
        <v>0</v>
      </c>
      <c r="N27" s="81">
        <v>19519</v>
      </c>
      <c r="O27" s="82">
        <v>0</v>
      </c>
      <c r="P27" s="82">
        <v>6.9935506986743103</v>
      </c>
      <c r="Q27" s="82">
        <v>6.9935506986743103</v>
      </c>
    </row>
    <row r="28" spans="1:17" ht="15.75" thickBot="1" x14ac:dyDescent="0.3">
      <c r="A28" s="79" t="s">
        <v>286</v>
      </c>
      <c r="B28" s="80" t="s">
        <v>285</v>
      </c>
      <c r="C28" s="79" t="s">
        <v>34</v>
      </c>
      <c r="D28" s="81">
        <v>3150</v>
      </c>
      <c r="E28" s="81">
        <v>14886</v>
      </c>
      <c r="F28" s="81">
        <v>642</v>
      </c>
      <c r="G28" s="81">
        <v>1678</v>
      </c>
      <c r="H28" s="81">
        <v>47</v>
      </c>
      <c r="I28" s="81">
        <v>0</v>
      </c>
      <c r="J28" s="81">
        <v>43686</v>
      </c>
      <c r="K28" s="81">
        <v>19883</v>
      </c>
      <c r="L28" s="81">
        <v>852</v>
      </c>
      <c r="M28" s="81">
        <v>64421</v>
      </c>
      <c r="N28" s="81">
        <v>81674</v>
      </c>
      <c r="O28" s="82">
        <v>20.451111111111111</v>
      </c>
      <c r="P28" s="82">
        <v>5.4622222222222225</v>
      </c>
      <c r="Q28" s="82">
        <v>25.928253968253969</v>
      </c>
    </row>
    <row r="29" spans="1:17" ht="15.75" thickBot="1" x14ac:dyDescent="0.3">
      <c r="A29" s="79" t="s">
        <v>298</v>
      </c>
      <c r="B29" s="80" t="s">
        <v>297</v>
      </c>
      <c r="C29" s="79" t="s">
        <v>34</v>
      </c>
      <c r="D29" s="81">
        <v>3043</v>
      </c>
      <c r="E29" s="81">
        <v>37830</v>
      </c>
      <c r="F29" s="81">
        <v>773</v>
      </c>
      <c r="G29" s="81">
        <v>2121</v>
      </c>
      <c r="H29" s="81">
        <v>31</v>
      </c>
      <c r="I29" s="81">
        <v>1</v>
      </c>
      <c r="J29" s="81">
        <v>17684</v>
      </c>
      <c r="K29" s="81">
        <v>4171</v>
      </c>
      <c r="L29" s="81">
        <v>291</v>
      </c>
      <c r="M29" s="81">
        <v>22146</v>
      </c>
      <c r="N29" s="81">
        <v>62870</v>
      </c>
      <c r="O29" s="82">
        <v>7.2776864935918502</v>
      </c>
      <c r="P29" s="82">
        <v>13.382845875780479</v>
      </c>
      <c r="Q29" s="82">
        <v>20.66053236937233</v>
      </c>
    </row>
    <row r="30" spans="1:17" ht="15.75" thickBot="1" x14ac:dyDescent="0.3">
      <c r="A30" s="79" t="s">
        <v>306</v>
      </c>
      <c r="B30" s="80" t="s">
        <v>305</v>
      </c>
      <c r="C30" s="79" t="s">
        <v>34</v>
      </c>
      <c r="D30" s="81">
        <v>2047</v>
      </c>
      <c r="E30" s="81">
        <v>11921</v>
      </c>
      <c r="F30" s="81">
        <v>152</v>
      </c>
      <c r="G30" s="81">
        <v>704</v>
      </c>
      <c r="H30" s="81">
        <v>2</v>
      </c>
      <c r="I30" s="81">
        <v>0</v>
      </c>
      <c r="J30" s="81">
        <v>0</v>
      </c>
      <c r="K30" s="81">
        <v>0</v>
      </c>
      <c r="L30" s="81">
        <v>0</v>
      </c>
      <c r="M30" s="81">
        <v>0</v>
      </c>
      <c r="N30" s="81">
        <v>12777</v>
      </c>
      <c r="O30" s="82">
        <v>0</v>
      </c>
      <c r="P30" s="82">
        <v>6.2418172936003904</v>
      </c>
      <c r="Q30" s="82">
        <v>6.2418172936003904</v>
      </c>
    </row>
    <row r="31" spans="1:17" ht="15.75" thickBot="1" x14ac:dyDescent="0.3">
      <c r="A31" s="79" t="s">
        <v>314</v>
      </c>
      <c r="B31" s="80" t="s">
        <v>313</v>
      </c>
      <c r="C31" s="79" t="s">
        <v>34</v>
      </c>
      <c r="D31" s="81">
        <v>3650</v>
      </c>
      <c r="E31" s="81">
        <v>20142</v>
      </c>
      <c r="F31" s="81">
        <v>3673</v>
      </c>
      <c r="G31" s="81">
        <v>4816</v>
      </c>
      <c r="H31" s="81">
        <v>50</v>
      </c>
      <c r="I31" s="81">
        <v>5</v>
      </c>
      <c r="J31" s="81">
        <v>24373</v>
      </c>
      <c r="K31" s="81">
        <v>4338</v>
      </c>
      <c r="L31" s="81">
        <v>24204</v>
      </c>
      <c r="M31" s="81">
        <v>52915</v>
      </c>
      <c r="N31" s="81">
        <v>81546</v>
      </c>
      <c r="O31" s="82">
        <v>14.497260273972604</v>
      </c>
      <c r="P31" s="82">
        <v>7.8441095890410955</v>
      </c>
      <c r="Q31" s="82">
        <v>22.3413698630137</v>
      </c>
    </row>
    <row r="32" spans="1:17" ht="15.75" thickBot="1" x14ac:dyDescent="0.3">
      <c r="A32" s="79" t="s">
        <v>316</v>
      </c>
      <c r="B32" s="80" t="s">
        <v>315</v>
      </c>
      <c r="C32" s="79" t="s">
        <v>34</v>
      </c>
      <c r="D32" s="81">
        <v>1828</v>
      </c>
      <c r="E32" s="81">
        <v>6693</v>
      </c>
      <c r="F32" s="81">
        <v>62</v>
      </c>
      <c r="G32" s="81">
        <v>723</v>
      </c>
      <c r="H32" s="81">
        <v>2</v>
      </c>
      <c r="I32" s="81">
        <v>1</v>
      </c>
      <c r="J32" s="81">
        <v>1</v>
      </c>
      <c r="K32" s="81">
        <v>0</v>
      </c>
      <c r="L32" s="81">
        <v>0</v>
      </c>
      <c r="M32" s="81">
        <v>1</v>
      </c>
      <c r="N32" s="81">
        <v>7481</v>
      </c>
      <c r="O32" s="82">
        <v>5.4704595185995622E-4</v>
      </c>
      <c r="P32" s="82">
        <v>4.0908096280087527</v>
      </c>
      <c r="Q32" s="82">
        <v>4.0924507658643323</v>
      </c>
    </row>
    <row r="33" spans="1:17" ht="15.75" thickBot="1" x14ac:dyDescent="0.3">
      <c r="A33" s="79" t="s">
        <v>364</v>
      </c>
      <c r="B33" s="80" t="s">
        <v>363</v>
      </c>
      <c r="C33" s="79" t="s">
        <v>34</v>
      </c>
      <c r="D33" s="81">
        <v>3926</v>
      </c>
      <c r="E33" s="81">
        <v>30834</v>
      </c>
      <c r="F33" s="81">
        <v>944</v>
      </c>
      <c r="G33" s="81">
        <v>863</v>
      </c>
      <c r="H33" s="81">
        <v>25</v>
      </c>
      <c r="I33" s="81">
        <v>1</v>
      </c>
      <c r="J33" s="81">
        <v>16830</v>
      </c>
      <c r="K33" s="81">
        <v>0</v>
      </c>
      <c r="L33" s="81">
        <v>0</v>
      </c>
      <c r="M33" s="81">
        <v>16830</v>
      </c>
      <c r="N33" s="81">
        <v>49471</v>
      </c>
      <c r="O33" s="82">
        <v>4.2868059093224655</v>
      </c>
      <c r="P33" s="82">
        <v>8.3140601120733564</v>
      </c>
      <c r="Q33" s="82">
        <v>12.600866021395822</v>
      </c>
    </row>
    <row r="34" spans="1:17" ht="15.75" thickBot="1" x14ac:dyDescent="0.3">
      <c r="A34" s="79" t="s">
        <v>380</v>
      </c>
      <c r="B34" s="80" t="s">
        <v>379</v>
      </c>
      <c r="C34" s="79" t="s">
        <v>34</v>
      </c>
      <c r="D34" s="81">
        <v>3038</v>
      </c>
      <c r="E34" s="81">
        <v>30178</v>
      </c>
      <c r="F34" s="81">
        <v>1046</v>
      </c>
      <c r="G34" s="81">
        <v>2345</v>
      </c>
      <c r="H34" s="81">
        <v>52</v>
      </c>
      <c r="I34" s="81">
        <v>0</v>
      </c>
      <c r="J34" s="81">
        <v>25412</v>
      </c>
      <c r="K34" s="81">
        <v>4832</v>
      </c>
      <c r="L34" s="81">
        <v>137</v>
      </c>
      <c r="M34" s="81">
        <v>30381</v>
      </c>
      <c r="N34" s="81">
        <v>63950</v>
      </c>
      <c r="O34" s="82">
        <v>10.000329163923634</v>
      </c>
      <c r="P34" s="82">
        <v>11.04970375246873</v>
      </c>
      <c r="Q34" s="82">
        <v>21.050032916392365</v>
      </c>
    </row>
    <row r="35" spans="1:17" ht="15.75" thickBot="1" x14ac:dyDescent="0.3">
      <c r="A35" s="79" t="s">
        <v>412</v>
      </c>
      <c r="B35" s="80" t="s">
        <v>411</v>
      </c>
      <c r="C35" s="79" t="s">
        <v>34</v>
      </c>
      <c r="D35" s="81">
        <v>3730</v>
      </c>
      <c r="E35" s="81">
        <v>15725</v>
      </c>
      <c r="F35" s="81">
        <v>42</v>
      </c>
      <c r="G35" s="81">
        <v>174</v>
      </c>
      <c r="H35" s="81">
        <v>25</v>
      </c>
      <c r="I35" s="81">
        <v>0</v>
      </c>
      <c r="J35" s="81">
        <v>8543</v>
      </c>
      <c r="K35" s="81">
        <v>3883</v>
      </c>
      <c r="L35" s="81">
        <v>285</v>
      </c>
      <c r="M35" s="81">
        <v>12711</v>
      </c>
      <c r="N35" s="81">
        <v>28652</v>
      </c>
      <c r="O35" s="82">
        <v>3.4077747989276141</v>
      </c>
      <c r="P35" s="82">
        <v>4.2737265415549599</v>
      </c>
      <c r="Q35" s="82">
        <v>7.6815013404825736</v>
      </c>
    </row>
    <row r="36" spans="1:17" ht="15.75" thickBot="1" x14ac:dyDescent="0.3">
      <c r="A36" s="79" t="s">
        <v>419</v>
      </c>
      <c r="B36" s="80" t="s">
        <v>418</v>
      </c>
      <c r="C36" s="79" t="s">
        <v>34</v>
      </c>
      <c r="D36" s="81">
        <v>2735</v>
      </c>
      <c r="E36" s="81">
        <v>13815</v>
      </c>
      <c r="F36" s="81">
        <v>644</v>
      </c>
      <c r="G36" s="81">
        <v>2222</v>
      </c>
      <c r="H36" s="81">
        <v>12</v>
      </c>
      <c r="I36" s="81">
        <v>0</v>
      </c>
      <c r="J36" s="81">
        <v>0</v>
      </c>
      <c r="K36" s="81">
        <v>0</v>
      </c>
      <c r="L36" s="81">
        <v>0</v>
      </c>
      <c r="M36" s="81">
        <v>0</v>
      </c>
      <c r="N36" s="81">
        <v>16681</v>
      </c>
      <c r="O36" s="82">
        <v>0</v>
      </c>
      <c r="P36" s="82">
        <v>6.0990859232175501</v>
      </c>
      <c r="Q36" s="82">
        <v>6.0990859232175501</v>
      </c>
    </row>
    <row r="37" spans="1:17" ht="15.75" thickBot="1" x14ac:dyDescent="0.3">
      <c r="A37" s="79" t="s">
        <v>421</v>
      </c>
      <c r="B37" s="80" t="s">
        <v>420</v>
      </c>
      <c r="C37" s="79" t="s">
        <v>34</v>
      </c>
      <c r="D37" s="81">
        <v>1900</v>
      </c>
      <c r="E37" s="81">
        <v>26418</v>
      </c>
      <c r="F37" s="81">
        <v>273</v>
      </c>
      <c r="G37" s="81">
        <v>1586</v>
      </c>
      <c r="H37" s="81">
        <v>28</v>
      </c>
      <c r="I37" s="81">
        <v>0</v>
      </c>
      <c r="J37" s="81">
        <v>9852</v>
      </c>
      <c r="K37" s="81">
        <v>3054</v>
      </c>
      <c r="L37" s="81">
        <v>291</v>
      </c>
      <c r="M37" s="81">
        <v>13197</v>
      </c>
      <c r="N37" s="81">
        <v>41474</v>
      </c>
      <c r="O37" s="82">
        <v>6.9457894736842105</v>
      </c>
      <c r="P37" s="82">
        <v>14.882631578947368</v>
      </c>
      <c r="Q37" s="82">
        <v>21.82842105263158</v>
      </c>
    </row>
    <row r="38" spans="1:17" ht="15.75" thickBot="1" x14ac:dyDescent="0.3">
      <c r="A38" s="79" t="s">
        <v>425</v>
      </c>
      <c r="B38" s="80" t="s">
        <v>424</v>
      </c>
      <c r="C38" s="79" t="s">
        <v>34</v>
      </c>
      <c r="D38" s="81">
        <v>2027</v>
      </c>
      <c r="E38" s="81">
        <v>16179</v>
      </c>
      <c r="F38" s="81">
        <v>2111</v>
      </c>
      <c r="G38" s="81">
        <v>2828</v>
      </c>
      <c r="H38" s="81">
        <v>67</v>
      </c>
      <c r="I38" s="81">
        <v>2</v>
      </c>
      <c r="J38" s="81">
        <v>21648</v>
      </c>
      <c r="K38" s="81">
        <v>36624</v>
      </c>
      <c r="L38" s="81">
        <v>0</v>
      </c>
      <c r="M38" s="81">
        <v>58272</v>
      </c>
      <c r="N38" s="81">
        <v>79390</v>
      </c>
      <c r="O38" s="82">
        <v>28.747903305377406</v>
      </c>
      <c r="P38" s="82">
        <v>10.418352244696596</v>
      </c>
      <c r="Q38" s="82">
        <v>39.166255550073998</v>
      </c>
    </row>
    <row r="39" spans="1:17" ht="15.75" thickBot="1" x14ac:dyDescent="0.3">
      <c r="A39" s="79" t="s">
        <v>435</v>
      </c>
      <c r="B39" s="80" t="s">
        <v>434</v>
      </c>
      <c r="C39" s="79" t="s">
        <v>34</v>
      </c>
      <c r="D39" s="81">
        <v>2835</v>
      </c>
      <c r="E39" s="81">
        <v>18509</v>
      </c>
      <c r="F39" s="81">
        <v>57</v>
      </c>
      <c r="G39" s="81">
        <v>177</v>
      </c>
      <c r="H39" s="81">
        <v>37</v>
      </c>
      <c r="I39" s="81">
        <v>25</v>
      </c>
      <c r="J39" s="81">
        <v>26</v>
      </c>
      <c r="K39" s="81">
        <v>8450</v>
      </c>
      <c r="L39" s="81">
        <v>0</v>
      </c>
      <c r="M39" s="81">
        <v>8476</v>
      </c>
      <c r="N39" s="81">
        <v>27219</v>
      </c>
      <c r="O39" s="82">
        <v>2.9897707231040562</v>
      </c>
      <c r="P39" s="82">
        <v>6.6112874779541446</v>
      </c>
      <c r="Q39" s="82">
        <v>9.6010582010582013</v>
      </c>
    </row>
    <row r="40" spans="1:17" ht="15.75" thickBot="1" x14ac:dyDescent="0.3">
      <c r="A40" s="79" t="s">
        <v>441</v>
      </c>
      <c r="B40" s="80" t="s">
        <v>440</v>
      </c>
      <c r="C40" s="79" t="s">
        <v>34</v>
      </c>
      <c r="D40" s="81">
        <v>2372</v>
      </c>
      <c r="E40" s="81">
        <v>17983</v>
      </c>
      <c r="F40" s="81">
        <v>780</v>
      </c>
      <c r="G40" s="81">
        <v>2245</v>
      </c>
      <c r="H40" s="81">
        <v>0</v>
      </c>
      <c r="I40" s="81">
        <v>0</v>
      </c>
      <c r="J40" s="81">
        <v>0</v>
      </c>
      <c r="K40" s="81">
        <v>12621</v>
      </c>
      <c r="L40" s="81">
        <v>0</v>
      </c>
      <c r="M40" s="81">
        <v>12621</v>
      </c>
      <c r="N40" s="81">
        <v>33629</v>
      </c>
      <c r="O40" s="82">
        <v>5.3208263069139967</v>
      </c>
      <c r="P40" s="82">
        <v>8.8566610455311974</v>
      </c>
      <c r="Q40" s="82">
        <v>14.177487352445194</v>
      </c>
    </row>
    <row r="41" spans="1:17" ht="15.75" thickBot="1" x14ac:dyDescent="0.3">
      <c r="A41" s="79" t="s">
        <v>454</v>
      </c>
      <c r="B41" s="80" t="s">
        <v>453</v>
      </c>
      <c r="C41" s="79" t="s">
        <v>34</v>
      </c>
      <c r="D41" s="81">
        <v>3667</v>
      </c>
      <c r="E41" s="81">
        <v>14390</v>
      </c>
      <c r="F41" s="81">
        <v>451</v>
      </c>
      <c r="G41" s="81">
        <v>1636</v>
      </c>
      <c r="H41" s="81">
        <v>23</v>
      </c>
      <c r="I41" s="81">
        <v>1</v>
      </c>
      <c r="J41" s="81">
        <v>0</v>
      </c>
      <c r="K41" s="81">
        <v>0</v>
      </c>
      <c r="L41" s="81">
        <v>0</v>
      </c>
      <c r="M41" s="81">
        <v>0</v>
      </c>
      <c r="N41" s="81">
        <v>16477</v>
      </c>
      <c r="O41" s="82">
        <v>0</v>
      </c>
      <c r="P41" s="82">
        <v>4.4933187892009814</v>
      </c>
      <c r="Q41" s="82">
        <v>4.4933187892009814</v>
      </c>
    </row>
    <row r="42" spans="1:17" ht="15.75" thickBot="1" x14ac:dyDescent="0.3">
      <c r="A42" s="79" t="s">
        <v>460</v>
      </c>
      <c r="B42" s="80" t="s">
        <v>459</v>
      </c>
      <c r="C42" s="79" t="s">
        <v>34</v>
      </c>
      <c r="D42" s="81">
        <v>492</v>
      </c>
      <c r="E42" s="81">
        <v>12883</v>
      </c>
      <c r="F42" s="81">
        <v>266</v>
      </c>
      <c r="G42" s="81">
        <v>740</v>
      </c>
      <c r="H42" s="81">
        <v>27</v>
      </c>
      <c r="I42" s="81">
        <v>0</v>
      </c>
      <c r="J42" s="81">
        <v>8362</v>
      </c>
      <c r="K42" s="81">
        <v>4151</v>
      </c>
      <c r="L42" s="81">
        <v>285</v>
      </c>
      <c r="M42" s="81">
        <v>12798</v>
      </c>
      <c r="N42" s="81">
        <v>26687</v>
      </c>
      <c r="O42" s="82">
        <v>26.012195121951219</v>
      </c>
      <c r="P42" s="82">
        <v>28.229674796747968</v>
      </c>
      <c r="Q42" s="82">
        <v>54.241869918699187</v>
      </c>
    </row>
    <row r="43" spans="1:17" ht="15.75" thickBot="1" x14ac:dyDescent="0.3">
      <c r="A43" s="79" t="s">
        <v>476</v>
      </c>
      <c r="B43" s="80" t="s">
        <v>475</v>
      </c>
      <c r="C43" s="79" t="s">
        <v>34</v>
      </c>
      <c r="D43" s="81">
        <v>3115</v>
      </c>
      <c r="E43" s="81">
        <v>9768</v>
      </c>
      <c r="F43" s="81">
        <v>158</v>
      </c>
      <c r="G43" s="81">
        <v>1128</v>
      </c>
      <c r="H43" s="81">
        <v>24</v>
      </c>
      <c r="I43" s="81">
        <v>0</v>
      </c>
      <c r="J43" s="81">
        <v>0</v>
      </c>
      <c r="K43" s="81">
        <v>0</v>
      </c>
      <c r="L43" s="81">
        <v>0</v>
      </c>
      <c r="M43" s="81">
        <v>0</v>
      </c>
      <c r="N43" s="81">
        <v>11078</v>
      </c>
      <c r="O43" s="82">
        <v>0</v>
      </c>
      <c r="P43" s="82">
        <v>3.5486356340288925</v>
      </c>
      <c r="Q43" s="82">
        <v>3.5563402889245586</v>
      </c>
    </row>
    <row r="44" spans="1:17" ht="15.75" thickBot="1" x14ac:dyDescent="0.3">
      <c r="A44" s="79" t="s">
        <v>498</v>
      </c>
      <c r="B44" s="80" t="s">
        <v>497</v>
      </c>
      <c r="C44" s="79" t="s">
        <v>34</v>
      </c>
      <c r="D44" s="81">
        <v>3433</v>
      </c>
      <c r="E44" s="81">
        <v>13574</v>
      </c>
      <c r="F44" s="81">
        <v>55</v>
      </c>
      <c r="G44" s="81">
        <v>315</v>
      </c>
      <c r="H44" s="81">
        <v>20</v>
      </c>
      <c r="I44" s="81">
        <v>0</v>
      </c>
      <c r="J44" s="81">
        <v>0</v>
      </c>
      <c r="K44" s="81">
        <v>0</v>
      </c>
      <c r="L44" s="81">
        <v>0</v>
      </c>
      <c r="M44" s="81">
        <v>0</v>
      </c>
      <c r="N44" s="81">
        <v>13944</v>
      </c>
      <c r="O44" s="82">
        <v>0</v>
      </c>
      <c r="P44" s="82">
        <v>4.0617535683076023</v>
      </c>
      <c r="Q44" s="82">
        <v>4.0617535683076023</v>
      </c>
    </row>
    <row r="45" spans="1:17" ht="15.75" thickBot="1" x14ac:dyDescent="0.3">
      <c r="A45" s="79" t="s">
        <v>518</v>
      </c>
      <c r="B45" s="80" t="s">
        <v>517</v>
      </c>
      <c r="C45" s="79" t="s">
        <v>34</v>
      </c>
      <c r="D45" s="81">
        <v>1848</v>
      </c>
      <c r="E45" s="81">
        <v>8451</v>
      </c>
      <c r="F45" s="81">
        <v>165</v>
      </c>
      <c r="G45" s="81">
        <v>2421</v>
      </c>
      <c r="H45" s="81">
        <v>14</v>
      </c>
      <c r="I45" s="81">
        <v>0</v>
      </c>
      <c r="J45" s="81">
        <v>0</v>
      </c>
      <c r="K45" s="81">
        <v>0</v>
      </c>
      <c r="L45" s="81">
        <v>0</v>
      </c>
      <c r="M45" s="81">
        <v>0</v>
      </c>
      <c r="N45" s="81">
        <v>11037</v>
      </c>
      <c r="O45" s="82">
        <v>0</v>
      </c>
      <c r="P45" s="82">
        <v>5.9724025974025974</v>
      </c>
      <c r="Q45" s="82">
        <v>5.9724025974025974</v>
      </c>
    </row>
    <row r="46" spans="1:17" ht="15.75" thickBot="1" x14ac:dyDescent="0.3">
      <c r="A46" s="79" t="s">
        <v>534</v>
      </c>
      <c r="B46" s="80" t="s">
        <v>533</v>
      </c>
      <c r="C46" s="79" t="s">
        <v>34</v>
      </c>
      <c r="D46" s="81">
        <v>3645</v>
      </c>
      <c r="E46" s="81">
        <v>36325</v>
      </c>
      <c r="F46" s="81">
        <v>794</v>
      </c>
      <c r="G46" s="81">
        <v>2828</v>
      </c>
      <c r="H46" s="81">
        <v>87</v>
      </c>
      <c r="I46" s="81">
        <v>1</v>
      </c>
      <c r="J46" s="81">
        <v>23176</v>
      </c>
      <c r="K46" s="81">
        <v>2244</v>
      </c>
      <c r="L46" s="81">
        <v>0</v>
      </c>
      <c r="M46" s="81">
        <v>25420</v>
      </c>
      <c r="N46" s="81">
        <v>65367</v>
      </c>
      <c r="O46" s="82">
        <v>6.9739368998628262</v>
      </c>
      <c r="P46" s="82">
        <v>10.959396433470507</v>
      </c>
      <c r="Q46" s="82">
        <v>17.933333333333334</v>
      </c>
    </row>
    <row r="47" spans="1:17" ht="15.75" thickBot="1" x14ac:dyDescent="0.3">
      <c r="A47" s="79" t="s">
        <v>548</v>
      </c>
      <c r="B47" s="80" t="s">
        <v>547</v>
      </c>
      <c r="C47" s="79" t="s">
        <v>34</v>
      </c>
      <c r="D47" s="81">
        <v>3679</v>
      </c>
      <c r="E47" s="81">
        <v>27531</v>
      </c>
      <c r="F47" s="81">
        <v>663</v>
      </c>
      <c r="G47" s="81">
        <v>1522</v>
      </c>
      <c r="H47" s="81">
        <v>34</v>
      </c>
      <c r="I47" s="81">
        <v>3</v>
      </c>
      <c r="J47" s="81">
        <v>8362</v>
      </c>
      <c r="K47" s="81">
        <v>4151</v>
      </c>
      <c r="L47" s="81">
        <v>285</v>
      </c>
      <c r="M47" s="81">
        <v>12798</v>
      </c>
      <c r="N47" s="81">
        <v>42514</v>
      </c>
      <c r="O47" s="82">
        <v>3.4786626800761078</v>
      </c>
      <c r="P47" s="82">
        <v>8.077194889915738</v>
      </c>
      <c r="Q47" s="82">
        <v>11.555857569991845</v>
      </c>
    </row>
    <row r="48" spans="1:17" ht="15.75" thickBot="1" x14ac:dyDescent="0.3">
      <c r="A48" s="79" t="s">
        <v>552</v>
      </c>
      <c r="B48" s="80" t="s">
        <v>551</v>
      </c>
      <c r="C48" s="79" t="s">
        <v>34</v>
      </c>
      <c r="D48" s="81">
        <v>1830</v>
      </c>
      <c r="E48" s="81">
        <v>9013</v>
      </c>
      <c r="F48" s="81">
        <v>76</v>
      </c>
      <c r="G48" s="81">
        <v>7</v>
      </c>
      <c r="H48" s="81">
        <v>3</v>
      </c>
      <c r="I48" s="81">
        <v>0</v>
      </c>
      <c r="J48" s="81">
        <v>0</v>
      </c>
      <c r="K48" s="81">
        <v>0</v>
      </c>
      <c r="L48" s="81">
        <v>0</v>
      </c>
      <c r="M48" s="81">
        <v>0</v>
      </c>
      <c r="N48" s="81">
        <v>9096</v>
      </c>
      <c r="O48" s="82">
        <v>0</v>
      </c>
      <c r="P48" s="82">
        <v>4.9704918032786889</v>
      </c>
      <c r="Q48" s="82">
        <v>4.9704918032786889</v>
      </c>
    </row>
    <row r="49" spans="1:17" ht="15.75" thickBot="1" x14ac:dyDescent="0.3">
      <c r="A49" s="79" t="s">
        <v>574</v>
      </c>
      <c r="B49" s="80" t="s">
        <v>573</v>
      </c>
      <c r="C49" s="79" t="s">
        <v>34</v>
      </c>
      <c r="D49" s="81">
        <v>1939</v>
      </c>
      <c r="E49" s="81">
        <v>10116</v>
      </c>
      <c r="F49" s="81">
        <v>677</v>
      </c>
      <c r="G49" s="81">
        <v>1976</v>
      </c>
      <c r="H49" s="81">
        <v>54</v>
      </c>
      <c r="I49" s="81">
        <v>0</v>
      </c>
      <c r="J49" s="81">
        <v>23502</v>
      </c>
      <c r="K49" s="81">
        <v>17501</v>
      </c>
      <c r="L49" s="81">
        <v>132</v>
      </c>
      <c r="M49" s="81">
        <v>41135</v>
      </c>
      <c r="N49" s="81">
        <v>53904</v>
      </c>
      <c r="O49" s="82">
        <v>21.214543579164516</v>
      </c>
      <c r="P49" s="82">
        <v>6.5853532748839605</v>
      </c>
      <c r="Q49" s="82">
        <v>27.79989685404848</v>
      </c>
    </row>
    <row r="50" spans="1:17" ht="15.75" thickBot="1" x14ac:dyDescent="0.3">
      <c r="A50" s="79" t="s">
        <v>612</v>
      </c>
      <c r="B50" s="80" t="s">
        <v>611</v>
      </c>
      <c r="C50" s="79" t="s">
        <v>34</v>
      </c>
      <c r="D50" s="81">
        <v>3739</v>
      </c>
      <c r="E50" s="81">
        <v>9461</v>
      </c>
      <c r="F50" s="81">
        <v>453</v>
      </c>
      <c r="G50" s="81">
        <v>1248</v>
      </c>
      <c r="H50" s="81">
        <v>0</v>
      </c>
      <c r="I50" s="81">
        <v>3</v>
      </c>
      <c r="J50" s="81">
        <v>6820</v>
      </c>
      <c r="K50" s="81">
        <v>6820</v>
      </c>
      <c r="L50" s="81">
        <v>0</v>
      </c>
      <c r="M50" s="81">
        <v>13640</v>
      </c>
      <c r="N50" s="81">
        <v>24802</v>
      </c>
      <c r="O50" s="82">
        <v>3.6480342337523401</v>
      </c>
      <c r="P50" s="82">
        <v>2.9852901845413213</v>
      </c>
      <c r="Q50" s="82">
        <v>6.633324418293661</v>
      </c>
    </row>
    <row r="51" spans="1:17" ht="15.75" thickBot="1" x14ac:dyDescent="0.3">
      <c r="A51" s="79" t="s">
        <v>622</v>
      </c>
      <c r="B51" s="80" t="s">
        <v>621</v>
      </c>
      <c r="C51" s="79" t="s">
        <v>34</v>
      </c>
      <c r="D51" s="81">
        <v>1508</v>
      </c>
      <c r="E51" s="81">
        <v>14505</v>
      </c>
      <c r="F51" s="81">
        <v>111</v>
      </c>
      <c r="G51" s="81">
        <v>167</v>
      </c>
      <c r="H51" s="81">
        <v>14</v>
      </c>
      <c r="I51" s="81">
        <v>0</v>
      </c>
      <c r="J51" s="81">
        <v>0</v>
      </c>
      <c r="K51" s="81">
        <v>0</v>
      </c>
      <c r="L51" s="81">
        <v>0</v>
      </c>
      <c r="M51" s="81">
        <v>0</v>
      </c>
      <c r="N51" s="81">
        <v>14783</v>
      </c>
      <c r="O51" s="82">
        <v>0</v>
      </c>
      <c r="P51" s="82">
        <v>9.8030503978779837</v>
      </c>
      <c r="Q51" s="82">
        <v>9.8030503978779837</v>
      </c>
    </row>
    <row r="52" spans="1:17" ht="15.75" thickBot="1" x14ac:dyDescent="0.3">
      <c r="A52" s="79" t="s">
        <v>624</v>
      </c>
      <c r="B52" s="80" t="s">
        <v>623</v>
      </c>
      <c r="C52" s="79" t="s">
        <v>34</v>
      </c>
      <c r="D52" s="81">
        <v>3731</v>
      </c>
      <c r="E52" s="81">
        <v>13702</v>
      </c>
      <c r="F52" s="81">
        <v>213</v>
      </c>
      <c r="G52" s="81">
        <v>1803</v>
      </c>
      <c r="H52" s="81">
        <v>13</v>
      </c>
      <c r="I52" s="81">
        <v>0</v>
      </c>
      <c r="J52" s="81">
        <v>0</v>
      </c>
      <c r="K52" s="81">
        <v>8450</v>
      </c>
      <c r="L52" s="81">
        <v>0</v>
      </c>
      <c r="M52" s="81">
        <v>8450</v>
      </c>
      <c r="N52" s="81">
        <v>24168</v>
      </c>
      <c r="O52" s="82">
        <v>2.264808362369338</v>
      </c>
      <c r="P52" s="82">
        <v>4.2128115786652369</v>
      </c>
      <c r="Q52" s="82">
        <v>6.4776199410345754</v>
      </c>
    </row>
    <row r="53" spans="1:17" ht="15.75" thickBot="1" x14ac:dyDescent="0.3">
      <c r="A53" s="79" t="s">
        <v>628</v>
      </c>
      <c r="B53" s="80" t="s">
        <v>627</v>
      </c>
      <c r="C53" s="79" t="s">
        <v>34</v>
      </c>
      <c r="D53" s="81">
        <v>3674</v>
      </c>
      <c r="E53" s="81">
        <v>16954</v>
      </c>
      <c r="F53" s="81">
        <v>380</v>
      </c>
      <c r="G53" s="81">
        <v>2747</v>
      </c>
      <c r="H53" s="81">
        <v>43</v>
      </c>
      <c r="I53" s="81">
        <v>1</v>
      </c>
      <c r="J53" s="81">
        <v>0</v>
      </c>
      <c r="K53" s="81">
        <v>8134</v>
      </c>
      <c r="L53" s="81">
        <v>0</v>
      </c>
      <c r="M53" s="81">
        <v>8134</v>
      </c>
      <c r="N53" s="81">
        <v>28258</v>
      </c>
      <c r="O53" s="82">
        <v>2.2139357648339684</v>
      </c>
      <c r="P53" s="82">
        <v>5.4657049537289062</v>
      </c>
      <c r="Q53" s="82">
        <v>7.6913445835601522</v>
      </c>
    </row>
    <row r="54" spans="1:17" ht="15.75" thickBot="1" x14ac:dyDescent="0.3">
      <c r="A54" s="79" t="s">
        <v>630</v>
      </c>
      <c r="B54" s="80" t="s">
        <v>629</v>
      </c>
      <c r="C54" s="79" t="s">
        <v>34</v>
      </c>
      <c r="D54" s="81">
        <v>882</v>
      </c>
      <c r="E54" s="81">
        <v>10246</v>
      </c>
      <c r="F54" s="81">
        <v>61</v>
      </c>
      <c r="G54" s="81">
        <v>360</v>
      </c>
      <c r="H54" s="81">
        <v>14</v>
      </c>
      <c r="I54" s="81">
        <v>0</v>
      </c>
      <c r="J54" s="81">
        <v>8362</v>
      </c>
      <c r="K54" s="81">
        <v>4151</v>
      </c>
      <c r="L54" s="81">
        <v>285</v>
      </c>
      <c r="M54" s="81">
        <v>12798</v>
      </c>
      <c r="N54" s="81">
        <v>23465</v>
      </c>
      <c r="O54" s="82">
        <v>14.510204081632653</v>
      </c>
      <c r="P54" s="82">
        <v>12.094104308390023</v>
      </c>
      <c r="Q54" s="82">
        <v>26.604308390022677</v>
      </c>
    </row>
    <row r="55" spans="1:17" ht="15.75" thickBot="1" x14ac:dyDescent="0.3">
      <c r="A55" s="79" t="s">
        <v>674</v>
      </c>
      <c r="B55" s="80" t="s">
        <v>673</v>
      </c>
      <c r="C55" s="79" t="s">
        <v>34</v>
      </c>
      <c r="D55" s="81">
        <v>3775</v>
      </c>
      <c r="E55" s="81">
        <v>28209</v>
      </c>
      <c r="F55" s="81">
        <v>693</v>
      </c>
      <c r="G55" s="81">
        <v>834</v>
      </c>
      <c r="H55" s="81">
        <v>23</v>
      </c>
      <c r="I55" s="81">
        <v>7</v>
      </c>
      <c r="J55" s="81">
        <v>19822</v>
      </c>
      <c r="K55" s="81">
        <v>6722</v>
      </c>
      <c r="L55" s="81">
        <v>0</v>
      </c>
      <c r="M55" s="81">
        <v>26544</v>
      </c>
      <c r="N55" s="81">
        <v>56303</v>
      </c>
      <c r="O55" s="82">
        <v>7.0315231788079471</v>
      </c>
      <c r="P55" s="82">
        <v>7.8770860927152322</v>
      </c>
      <c r="Q55" s="82">
        <v>14.914701986754967</v>
      </c>
    </row>
    <row r="56" spans="1:17" ht="15.75" thickBot="1" x14ac:dyDescent="0.3">
      <c r="A56" s="79" t="s">
        <v>680</v>
      </c>
      <c r="B56" s="80" t="s">
        <v>679</v>
      </c>
      <c r="C56" s="79" t="s">
        <v>34</v>
      </c>
      <c r="D56" s="81">
        <v>3138</v>
      </c>
      <c r="E56" s="81">
        <v>8525</v>
      </c>
      <c r="F56" s="81">
        <v>564</v>
      </c>
      <c r="G56" s="81">
        <v>853</v>
      </c>
      <c r="H56" s="81">
        <v>2</v>
      </c>
      <c r="I56" s="81">
        <v>1</v>
      </c>
      <c r="J56" s="81">
        <v>0</v>
      </c>
      <c r="K56" s="81">
        <v>8450</v>
      </c>
      <c r="L56" s="81">
        <v>0</v>
      </c>
      <c r="M56" s="81">
        <v>8450</v>
      </c>
      <c r="N56" s="81">
        <v>18392</v>
      </c>
      <c r="O56" s="82">
        <v>2.692797960484385</v>
      </c>
      <c r="P56" s="82">
        <v>3.1682600382409176</v>
      </c>
      <c r="Q56" s="82">
        <v>5.8610579987253031</v>
      </c>
    </row>
    <row r="57" spans="1:17" ht="15.75" thickBot="1" x14ac:dyDescent="0.3">
      <c r="A57" s="79" t="s">
        <v>690</v>
      </c>
      <c r="B57" s="80" t="s">
        <v>689</v>
      </c>
      <c r="C57" s="79" t="s">
        <v>34</v>
      </c>
      <c r="D57" s="81">
        <v>3428</v>
      </c>
      <c r="E57" s="81">
        <v>11893</v>
      </c>
      <c r="F57" s="81">
        <v>85</v>
      </c>
      <c r="G57" s="81">
        <v>1185</v>
      </c>
      <c r="H57" s="81">
        <v>50</v>
      </c>
      <c r="I57" s="81">
        <v>0</v>
      </c>
      <c r="J57" s="81">
        <v>4690</v>
      </c>
      <c r="K57" s="81">
        <v>4460</v>
      </c>
      <c r="L57" s="81">
        <v>0</v>
      </c>
      <c r="M57" s="81">
        <v>9150</v>
      </c>
      <c r="N57" s="81">
        <v>22363</v>
      </c>
      <c r="O57" s="82">
        <v>2.6691948658109683</v>
      </c>
      <c r="P57" s="82">
        <v>3.8398483080513417</v>
      </c>
      <c r="Q57" s="82">
        <v>6.5236289381563592</v>
      </c>
    </row>
    <row r="58" spans="1:17" ht="15.75" thickBot="1" x14ac:dyDescent="0.3">
      <c r="A58" s="79" t="s">
        <v>692</v>
      </c>
      <c r="B58" s="80" t="s">
        <v>691</v>
      </c>
      <c r="C58" s="79" t="s">
        <v>34</v>
      </c>
      <c r="D58" s="81">
        <v>1932</v>
      </c>
      <c r="E58" s="81">
        <v>15358</v>
      </c>
      <c r="F58" s="81">
        <v>129</v>
      </c>
      <c r="G58" s="81">
        <v>696</v>
      </c>
      <c r="H58" s="81">
        <v>14</v>
      </c>
      <c r="I58" s="81">
        <v>0</v>
      </c>
      <c r="J58" s="81">
        <v>0</v>
      </c>
      <c r="K58" s="81">
        <v>0</v>
      </c>
      <c r="L58" s="81">
        <v>0</v>
      </c>
      <c r="M58" s="81">
        <v>0</v>
      </c>
      <c r="N58" s="81">
        <v>16197</v>
      </c>
      <c r="O58" s="82">
        <v>0</v>
      </c>
      <c r="P58" s="82">
        <v>8.3762939958592124</v>
      </c>
      <c r="Q58" s="82">
        <v>8.383540372670808</v>
      </c>
    </row>
    <row r="59" spans="1:17" ht="15.75" thickBot="1" x14ac:dyDescent="0.3">
      <c r="A59" s="79" t="s">
        <v>714</v>
      </c>
      <c r="B59" s="80" t="s">
        <v>713</v>
      </c>
      <c r="C59" s="79" t="s">
        <v>34</v>
      </c>
      <c r="D59" s="81">
        <v>2387</v>
      </c>
      <c r="E59" s="81">
        <v>18924</v>
      </c>
      <c r="F59" s="81">
        <v>920</v>
      </c>
      <c r="G59" s="81">
        <v>4140</v>
      </c>
      <c r="H59" s="81">
        <v>47</v>
      </c>
      <c r="I59" s="81">
        <v>0</v>
      </c>
      <c r="J59" s="81">
        <v>24238</v>
      </c>
      <c r="K59" s="81">
        <v>5625</v>
      </c>
      <c r="L59" s="81">
        <v>0</v>
      </c>
      <c r="M59" s="81">
        <v>29863</v>
      </c>
      <c r="N59" s="81">
        <v>53894</v>
      </c>
      <c r="O59" s="82">
        <v>12.510682865521575</v>
      </c>
      <c r="P59" s="82">
        <v>10.047758692919983</v>
      </c>
      <c r="Q59" s="82">
        <v>22.578131545873482</v>
      </c>
    </row>
    <row r="60" spans="1:17" ht="15.75" thickBot="1" x14ac:dyDescent="0.3">
      <c r="A60" s="79" t="s">
        <v>732</v>
      </c>
      <c r="B60" s="80" t="s">
        <v>731</v>
      </c>
      <c r="C60" s="79" t="s">
        <v>34</v>
      </c>
      <c r="D60" s="81">
        <v>1873</v>
      </c>
      <c r="E60" s="81">
        <v>18061</v>
      </c>
      <c r="F60" s="81">
        <v>147</v>
      </c>
      <c r="G60" s="81">
        <v>746</v>
      </c>
      <c r="H60" s="81">
        <v>2</v>
      </c>
      <c r="I60" s="81">
        <v>1</v>
      </c>
      <c r="J60" s="81">
        <v>17259</v>
      </c>
      <c r="K60" s="81">
        <v>3951</v>
      </c>
      <c r="L60" s="81">
        <v>0</v>
      </c>
      <c r="M60" s="81">
        <v>21210</v>
      </c>
      <c r="N60" s="81">
        <v>40166</v>
      </c>
      <c r="O60" s="82">
        <v>11.324079017618793</v>
      </c>
      <c r="P60" s="82">
        <v>10.119594233849439</v>
      </c>
      <c r="Q60" s="82">
        <v>21.444741057127604</v>
      </c>
    </row>
    <row r="61" spans="1:17" ht="15.75" thickBot="1" x14ac:dyDescent="0.3">
      <c r="A61" s="79" t="s">
        <v>750</v>
      </c>
      <c r="B61" s="80" t="s">
        <v>749</v>
      </c>
      <c r="C61" s="79" t="s">
        <v>34</v>
      </c>
      <c r="D61" s="81">
        <v>2294</v>
      </c>
      <c r="E61" s="81">
        <v>9800</v>
      </c>
      <c r="F61" s="81">
        <v>325</v>
      </c>
      <c r="G61" s="81">
        <v>350</v>
      </c>
      <c r="H61" s="81">
        <v>18</v>
      </c>
      <c r="I61" s="81">
        <v>0</v>
      </c>
      <c r="J61" s="81">
        <v>21959</v>
      </c>
      <c r="K61" s="81">
        <v>3813</v>
      </c>
      <c r="L61" s="81">
        <v>134</v>
      </c>
      <c r="M61" s="81">
        <v>25906</v>
      </c>
      <c r="N61" s="81">
        <v>36399</v>
      </c>
      <c r="O61" s="82">
        <v>11.292938099389712</v>
      </c>
      <c r="P61" s="82">
        <v>4.5662598081952916</v>
      </c>
      <c r="Q61" s="82">
        <v>15.867044463818658</v>
      </c>
    </row>
    <row r="62" spans="1:17" ht="15.75" thickBot="1" x14ac:dyDescent="0.3">
      <c r="A62" s="79" t="s">
        <v>762</v>
      </c>
      <c r="B62" s="80" t="s">
        <v>761</v>
      </c>
      <c r="C62" s="79" t="s">
        <v>34</v>
      </c>
      <c r="D62" s="81">
        <v>3895</v>
      </c>
      <c r="E62" s="81">
        <v>18116</v>
      </c>
      <c r="F62" s="81">
        <v>28</v>
      </c>
      <c r="G62" s="81">
        <v>2224</v>
      </c>
      <c r="H62" s="81">
        <v>34</v>
      </c>
      <c r="I62" s="81">
        <v>0</v>
      </c>
      <c r="J62" s="81">
        <v>29125</v>
      </c>
      <c r="K62" s="81">
        <v>9180</v>
      </c>
      <c r="L62" s="81">
        <v>0</v>
      </c>
      <c r="M62" s="81">
        <v>38305</v>
      </c>
      <c r="N62" s="81">
        <v>58673</v>
      </c>
      <c r="O62" s="82">
        <v>9.8344030808729137</v>
      </c>
      <c r="P62" s="82">
        <v>5.229268292682927</v>
      </c>
      <c r="Q62" s="82">
        <v>15.063671373555842</v>
      </c>
    </row>
    <row r="63" spans="1:17" ht="15.75" thickBot="1" x14ac:dyDescent="0.3">
      <c r="A63" s="79" t="s">
        <v>768</v>
      </c>
      <c r="B63" s="80" t="s">
        <v>767</v>
      </c>
      <c r="C63" s="79" t="s">
        <v>34</v>
      </c>
      <c r="D63" s="81">
        <v>2156</v>
      </c>
      <c r="E63" s="81">
        <v>14933</v>
      </c>
      <c r="F63" s="81">
        <v>126</v>
      </c>
      <c r="G63" s="81">
        <v>1042</v>
      </c>
      <c r="H63" s="81">
        <v>22</v>
      </c>
      <c r="I63" s="81">
        <v>0</v>
      </c>
      <c r="J63" s="81">
        <v>8825</v>
      </c>
      <c r="K63" s="81">
        <v>4309</v>
      </c>
      <c r="L63" s="81">
        <v>285</v>
      </c>
      <c r="M63" s="81">
        <v>13419</v>
      </c>
      <c r="N63" s="81">
        <v>29542</v>
      </c>
      <c r="O63" s="82">
        <v>6.2240259740259738</v>
      </c>
      <c r="P63" s="82">
        <v>7.4679962894248613</v>
      </c>
      <c r="Q63" s="82">
        <v>13.702226345083488</v>
      </c>
    </row>
    <row r="64" spans="1:17" ht="15.75" thickBot="1" x14ac:dyDescent="0.3">
      <c r="A64" s="79" t="s">
        <v>770</v>
      </c>
      <c r="B64" s="80" t="s">
        <v>769</v>
      </c>
      <c r="C64" s="79" t="s">
        <v>34</v>
      </c>
      <c r="D64" s="81">
        <v>2475</v>
      </c>
      <c r="E64" s="81">
        <v>9141</v>
      </c>
      <c r="F64" s="81">
        <v>330</v>
      </c>
      <c r="G64" s="81">
        <v>1180</v>
      </c>
      <c r="H64" s="81">
        <v>0</v>
      </c>
      <c r="I64" s="81">
        <v>0</v>
      </c>
      <c r="J64" s="81">
        <v>19145</v>
      </c>
      <c r="K64" s="81">
        <v>6428</v>
      </c>
      <c r="L64" s="81">
        <v>0</v>
      </c>
      <c r="M64" s="81">
        <v>25573</v>
      </c>
      <c r="N64" s="81">
        <v>36224</v>
      </c>
      <c r="O64" s="82">
        <v>10.332525252525253</v>
      </c>
      <c r="P64" s="82">
        <v>4.3034343434343434</v>
      </c>
      <c r="Q64" s="82">
        <v>14.635959595959596</v>
      </c>
    </row>
    <row r="65" spans="1:17" ht="15.75" thickBot="1" x14ac:dyDescent="0.3">
      <c r="A65" s="79" t="s">
        <v>772</v>
      </c>
      <c r="B65" s="80" t="s">
        <v>771</v>
      </c>
      <c r="C65" s="79" t="s">
        <v>34</v>
      </c>
      <c r="D65" s="81">
        <v>1968</v>
      </c>
      <c r="E65" s="81">
        <v>12198</v>
      </c>
      <c r="F65" s="81">
        <v>0</v>
      </c>
      <c r="G65" s="81">
        <v>0</v>
      </c>
      <c r="H65" s="81">
        <v>0</v>
      </c>
      <c r="I65" s="81">
        <v>0</v>
      </c>
      <c r="J65" s="81">
        <v>0</v>
      </c>
      <c r="K65" s="81">
        <v>0</v>
      </c>
      <c r="L65" s="81">
        <v>0</v>
      </c>
      <c r="M65" s="81">
        <v>0</v>
      </c>
      <c r="N65" s="81">
        <v>12198</v>
      </c>
      <c r="O65" s="82">
        <v>0</v>
      </c>
      <c r="P65" s="82">
        <v>6.1981707317073171</v>
      </c>
      <c r="Q65" s="82">
        <v>6.1981707317073171</v>
      </c>
    </row>
    <row r="66" spans="1:17" ht="15.75" thickBot="1" x14ac:dyDescent="0.3">
      <c r="A66" s="79" t="s">
        <v>782</v>
      </c>
      <c r="B66" s="80" t="s">
        <v>781</v>
      </c>
      <c r="C66" s="79" t="s">
        <v>34</v>
      </c>
      <c r="D66" s="81">
        <v>2202</v>
      </c>
      <c r="E66" s="81">
        <v>13258</v>
      </c>
      <c r="F66" s="81">
        <v>0</v>
      </c>
      <c r="G66" s="81">
        <v>0</v>
      </c>
      <c r="H66" s="81">
        <v>6</v>
      </c>
      <c r="I66" s="81">
        <v>0</v>
      </c>
      <c r="J66" s="81">
        <v>8400</v>
      </c>
      <c r="K66" s="81">
        <v>2169</v>
      </c>
      <c r="L66" s="81">
        <v>0</v>
      </c>
      <c r="M66" s="81">
        <v>10569</v>
      </c>
      <c r="N66" s="81">
        <v>23827</v>
      </c>
      <c r="O66" s="82">
        <v>4.7997275204359671</v>
      </c>
      <c r="P66" s="82">
        <v>6.0208900999091739</v>
      </c>
      <c r="Q66" s="82">
        <v>10.820617620345141</v>
      </c>
    </row>
    <row r="67" spans="1:17" ht="15.75" thickBot="1" x14ac:dyDescent="0.3">
      <c r="A67" s="79" t="s">
        <v>794</v>
      </c>
      <c r="B67" s="80" t="s">
        <v>793</v>
      </c>
      <c r="C67" s="79" t="s">
        <v>34</v>
      </c>
      <c r="D67" s="81">
        <v>2913</v>
      </c>
      <c r="E67" s="81">
        <v>20326</v>
      </c>
      <c r="F67" s="81">
        <v>1297</v>
      </c>
      <c r="G67" s="81">
        <v>60</v>
      </c>
      <c r="H67" s="81">
        <v>0</v>
      </c>
      <c r="I67" s="81">
        <v>0</v>
      </c>
      <c r="J67" s="81">
        <v>0</v>
      </c>
      <c r="K67" s="81">
        <v>0</v>
      </c>
      <c r="L67" s="81">
        <v>0</v>
      </c>
      <c r="M67" s="81">
        <v>0</v>
      </c>
      <c r="N67" s="81">
        <v>21683</v>
      </c>
      <c r="O67" s="82">
        <v>0</v>
      </c>
      <c r="P67" s="82">
        <v>7.4435290078956404</v>
      </c>
      <c r="Q67" s="82">
        <v>7.4435290078956404</v>
      </c>
    </row>
    <row r="68" spans="1:17" ht="15.75" thickBot="1" x14ac:dyDescent="0.3">
      <c r="A68" s="79" t="s">
        <v>806</v>
      </c>
      <c r="B68" s="80" t="s">
        <v>805</v>
      </c>
      <c r="C68" s="79" t="s">
        <v>34</v>
      </c>
      <c r="D68" s="81">
        <v>575</v>
      </c>
      <c r="E68" s="81">
        <v>12060</v>
      </c>
      <c r="F68" s="81">
        <v>812</v>
      </c>
      <c r="G68" s="81">
        <v>1860</v>
      </c>
      <c r="H68" s="81">
        <v>35</v>
      </c>
      <c r="I68" s="81">
        <v>0</v>
      </c>
      <c r="J68" s="81">
        <v>13419</v>
      </c>
      <c r="K68" s="81">
        <v>4309</v>
      </c>
      <c r="L68" s="81">
        <v>285</v>
      </c>
      <c r="M68" s="81">
        <v>18013</v>
      </c>
      <c r="N68" s="81">
        <v>32745</v>
      </c>
      <c r="O68" s="82">
        <v>31.326956521739131</v>
      </c>
      <c r="P68" s="82">
        <v>25.62086956521739</v>
      </c>
      <c r="Q68" s="82">
        <v>56.947826086956525</v>
      </c>
    </row>
    <row r="69" spans="1:17" ht="15.75" thickBot="1" x14ac:dyDescent="0.3">
      <c r="A69" s="79" t="s">
        <v>814</v>
      </c>
      <c r="B69" s="80" t="s">
        <v>813</v>
      </c>
      <c r="C69" s="79" t="s">
        <v>34</v>
      </c>
      <c r="D69" s="81">
        <v>2738</v>
      </c>
      <c r="E69" s="81">
        <v>32696</v>
      </c>
      <c r="F69" s="81">
        <v>407</v>
      </c>
      <c r="G69" s="81">
        <v>1703</v>
      </c>
      <c r="H69" s="81">
        <v>33</v>
      </c>
      <c r="I69" s="81">
        <v>0</v>
      </c>
      <c r="J69" s="81">
        <v>0</v>
      </c>
      <c r="K69" s="81">
        <v>0</v>
      </c>
      <c r="L69" s="81">
        <v>0</v>
      </c>
      <c r="M69" s="81">
        <v>0</v>
      </c>
      <c r="N69" s="81">
        <v>34839</v>
      </c>
      <c r="O69" s="82">
        <v>0</v>
      </c>
      <c r="P69" s="82">
        <v>12.712198685171659</v>
      </c>
      <c r="Q69" s="82">
        <v>12.724251278305333</v>
      </c>
    </row>
    <row r="70" spans="1:17" ht="15.75" thickBot="1" x14ac:dyDescent="0.3">
      <c r="A70" s="79" t="s">
        <v>14</v>
      </c>
      <c r="B70" s="80" t="s">
        <v>13</v>
      </c>
      <c r="C70" s="79" t="s">
        <v>17</v>
      </c>
      <c r="D70" s="81">
        <v>6351</v>
      </c>
      <c r="E70" s="81">
        <v>22832</v>
      </c>
      <c r="F70" s="81">
        <v>1682</v>
      </c>
      <c r="G70" s="81">
        <v>2110</v>
      </c>
      <c r="H70" s="81">
        <v>1</v>
      </c>
      <c r="I70" s="81">
        <v>1</v>
      </c>
      <c r="J70" s="81">
        <v>18100</v>
      </c>
      <c r="K70" s="81">
        <v>3000</v>
      </c>
      <c r="L70" s="81">
        <v>200</v>
      </c>
      <c r="M70" s="81">
        <v>21300</v>
      </c>
      <c r="N70" s="81">
        <v>47925</v>
      </c>
      <c r="O70" s="82">
        <v>3.3538025507794047</v>
      </c>
      <c r="P70" s="82">
        <v>4.1920957329554405</v>
      </c>
      <c r="Q70" s="82">
        <v>7.5460557392536609</v>
      </c>
    </row>
    <row r="71" spans="1:17" ht="15.75" thickBot="1" x14ac:dyDescent="0.3">
      <c r="A71" s="79" t="s">
        <v>45</v>
      </c>
      <c r="B71" s="80" t="s">
        <v>44</v>
      </c>
      <c r="C71" s="79" t="s">
        <v>17</v>
      </c>
      <c r="D71" s="81">
        <v>6583</v>
      </c>
      <c r="E71" s="81">
        <v>28134</v>
      </c>
      <c r="F71" s="81">
        <v>1707</v>
      </c>
      <c r="G71" s="81">
        <v>2739</v>
      </c>
      <c r="H71" s="81">
        <v>69</v>
      </c>
      <c r="I71" s="81">
        <v>0</v>
      </c>
      <c r="J71" s="81">
        <v>25584</v>
      </c>
      <c r="K71" s="81">
        <v>0</v>
      </c>
      <c r="L71" s="81">
        <v>0</v>
      </c>
      <c r="M71" s="81">
        <v>25584</v>
      </c>
      <c r="N71" s="81">
        <v>58164</v>
      </c>
      <c r="O71" s="82">
        <v>3.8863739936199302</v>
      </c>
      <c r="P71" s="82">
        <v>4.9491113474099953</v>
      </c>
      <c r="Q71" s="82">
        <v>8.8354853410299263</v>
      </c>
    </row>
    <row r="72" spans="1:17" ht="15.75" thickBot="1" x14ac:dyDescent="0.3">
      <c r="A72" s="79" t="s">
        <v>56</v>
      </c>
      <c r="B72" s="80" t="s">
        <v>55</v>
      </c>
      <c r="C72" s="79" t="s">
        <v>17</v>
      </c>
      <c r="D72" s="81">
        <v>5379</v>
      </c>
      <c r="E72" s="81">
        <v>23726</v>
      </c>
      <c r="F72" s="81">
        <v>2555</v>
      </c>
      <c r="G72" s="81">
        <v>2355</v>
      </c>
      <c r="H72" s="81">
        <v>42</v>
      </c>
      <c r="I72" s="81">
        <v>4</v>
      </c>
      <c r="J72" s="81">
        <v>7559</v>
      </c>
      <c r="K72" s="81">
        <v>3512</v>
      </c>
      <c r="L72" s="81">
        <v>32</v>
      </c>
      <c r="M72" s="81">
        <v>11103</v>
      </c>
      <c r="N72" s="81">
        <v>39739</v>
      </c>
      <c r="O72" s="82">
        <v>2.0641383156720581</v>
      </c>
      <c r="P72" s="82">
        <v>5.3236661089421826</v>
      </c>
      <c r="Q72" s="82">
        <v>7.3878044246142407</v>
      </c>
    </row>
    <row r="73" spans="1:17" ht="15.75" thickBot="1" x14ac:dyDescent="0.3">
      <c r="A73" s="79" t="s">
        <v>60</v>
      </c>
      <c r="B73" s="80" t="s">
        <v>59</v>
      </c>
      <c r="C73" s="79" t="s">
        <v>17</v>
      </c>
      <c r="D73" s="81">
        <v>4265</v>
      </c>
      <c r="E73" s="81">
        <v>9372</v>
      </c>
      <c r="F73" s="81">
        <v>497</v>
      </c>
      <c r="G73" s="81">
        <v>0</v>
      </c>
      <c r="H73" s="81">
        <v>13</v>
      </c>
      <c r="I73" s="81">
        <v>0</v>
      </c>
      <c r="J73" s="81">
        <v>881</v>
      </c>
      <c r="K73" s="81">
        <v>0</v>
      </c>
      <c r="L73" s="81">
        <v>0</v>
      </c>
      <c r="M73" s="81">
        <v>881</v>
      </c>
      <c r="N73" s="81">
        <v>10750</v>
      </c>
      <c r="O73" s="82">
        <v>0.20656506447831183</v>
      </c>
      <c r="P73" s="82">
        <v>2.3139507620164128</v>
      </c>
      <c r="Q73" s="82">
        <v>2.5205158264947247</v>
      </c>
    </row>
    <row r="74" spans="1:17" ht="15.75" thickBot="1" x14ac:dyDescent="0.3">
      <c r="A74" s="79" t="s">
        <v>70</v>
      </c>
      <c r="B74" s="80" t="s">
        <v>69</v>
      </c>
      <c r="C74" s="79" t="s">
        <v>17</v>
      </c>
      <c r="D74" s="81">
        <v>6621</v>
      </c>
      <c r="E74" s="81">
        <v>29688</v>
      </c>
      <c r="F74" s="81">
        <v>2987</v>
      </c>
      <c r="G74" s="81">
        <v>4676</v>
      </c>
      <c r="H74" s="81">
        <v>101</v>
      </c>
      <c r="I74" s="81">
        <v>7</v>
      </c>
      <c r="J74" s="81">
        <v>22510</v>
      </c>
      <c r="K74" s="81">
        <v>43136</v>
      </c>
      <c r="L74" s="81">
        <v>15000</v>
      </c>
      <c r="M74" s="81">
        <v>80646</v>
      </c>
      <c r="N74" s="81">
        <v>118098</v>
      </c>
      <c r="O74" s="82">
        <v>12.180335296782964</v>
      </c>
      <c r="P74" s="82">
        <v>5.6412928560640383</v>
      </c>
      <c r="Q74" s="82">
        <v>17.836882646125964</v>
      </c>
    </row>
    <row r="75" spans="1:17" ht="15.75" thickBot="1" x14ac:dyDescent="0.3">
      <c r="A75" s="79" t="s">
        <v>74</v>
      </c>
      <c r="B75" s="80" t="s">
        <v>73</v>
      </c>
      <c r="C75" s="79" t="s">
        <v>17</v>
      </c>
      <c r="D75" s="81">
        <v>4075</v>
      </c>
      <c r="E75" s="81">
        <v>27431</v>
      </c>
      <c r="F75" s="81">
        <v>1170</v>
      </c>
      <c r="G75" s="81">
        <v>1527</v>
      </c>
      <c r="H75" s="81">
        <v>27</v>
      </c>
      <c r="I75" s="81">
        <v>0</v>
      </c>
      <c r="J75" s="81">
        <v>24965</v>
      </c>
      <c r="K75" s="81">
        <v>4644</v>
      </c>
      <c r="L75" s="81">
        <v>137</v>
      </c>
      <c r="M75" s="81">
        <v>29746</v>
      </c>
      <c r="N75" s="81">
        <v>59874</v>
      </c>
      <c r="O75" s="82">
        <v>7.2996319018404909</v>
      </c>
      <c r="P75" s="82">
        <v>7.3933742331288341</v>
      </c>
      <c r="Q75" s="82">
        <v>14.693006134969325</v>
      </c>
    </row>
    <row r="76" spans="1:17" ht="15.75" thickBot="1" x14ac:dyDescent="0.3">
      <c r="A76" s="79" t="s">
        <v>98</v>
      </c>
      <c r="B76" s="80" t="s">
        <v>97</v>
      </c>
      <c r="C76" s="79" t="s">
        <v>17</v>
      </c>
      <c r="D76" s="81">
        <v>5414</v>
      </c>
      <c r="E76" s="81">
        <v>11668</v>
      </c>
      <c r="F76" s="81">
        <v>575</v>
      </c>
      <c r="G76" s="81">
        <v>1152</v>
      </c>
      <c r="H76" s="81">
        <v>52</v>
      </c>
      <c r="I76" s="81">
        <v>0</v>
      </c>
      <c r="J76" s="81">
        <v>8825</v>
      </c>
      <c r="K76" s="81">
        <v>4309</v>
      </c>
      <c r="L76" s="81">
        <v>285</v>
      </c>
      <c r="M76" s="81">
        <v>13419</v>
      </c>
      <c r="N76" s="81">
        <v>26814</v>
      </c>
      <c r="O76" s="82">
        <v>2.4785740672330996</v>
      </c>
      <c r="P76" s="82">
        <v>2.4741411156261544</v>
      </c>
      <c r="Q76" s="82">
        <v>4.9527151828592535</v>
      </c>
    </row>
    <row r="77" spans="1:17" ht="15.75" thickBot="1" x14ac:dyDescent="0.3">
      <c r="A77" s="79" t="s">
        <v>120</v>
      </c>
      <c r="B77" s="80" t="s">
        <v>119</v>
      </c>
      <c r="C77" s="79" t="s">
        <v>17</v>
      </c>
      <c r="D77" s="81">
        <v>6296</v>
      </c>
      <c r="E77" s="81">
        <v>28000</v>
      </c>
      <c r="F77" s="81">
        <v>1200</v>
      </c>
      <c r="G77" s="81">
        <v>2400</v>
      </c>
      <c r="H77" s="81">
        <v>70</v>
      </c>
      <c r="I77" s="81">
        <v>2</v>
      </c>
      <c r="J77" s="81">
        <v>15000</v>
      </c>
      <c r="K77" s="81">
        <v>3600</v>
      </c>
      <c r="L77" s="81">
        <v>430</v>
      </c>
      <c r="M77" s="81">
        <v>19030</v>
      </c>
      <c r="N77" s="81">
        <v>50630</v>
      </c>
      <c r="O77" s="82">
        <v>3.022554002541296</v>
      </c>
      <c r="P77" s="82">
        <v>5.0190597204574336</v>
      </c>
      <c r="Q77" s="82">
        <v>8.0416137229987292</v>
      </c>
    </row>
    <row r="78" spans="1:17" ht="15.75" thickBot="1" x14ac:dyDescent="0.3">
      <c r="A78" s="79" t="s">
        <v>126</v>
      </c>
      <c r="B78" s="80" t="s">
        <v>125</v>
      </c>
      <c r="C78" s="79" t="s">
        <v>17</v>
      </c>
      <c r="D78" s="81">
        <v>4005</v>
      </c>
      <c r="E78" s="81">
        <v>14285</v>
      </c>
      <c r="F78" s="81">
        <v>349</v>
      </c>
      <c r="G78" s="81">
        <v>217</v>
      </c>
      <c r="H78" s="81">
        <v>24</v>
      </c>
      <c r="I78" s="81">
        <v>0</v>
      </c>
      <c r="J78" s="81">
        <v>0</v>
      </c>
      <c r="K78" s="81">
        <v>0</v>
      </c>
      <c r="L78" s="81">
        <v>0</v>
      </c>
      <c r="M78" s="81">
        <v>0</v>
      </c>
      <c r="N78" s="81">
        <v>14851</v>
      </c>
      <c r="O78" s="82">
        <v>0</v>
      </c>
      <c r="P78" s="82">
        <v>3.708114856429463</v>
      </c>
      <c r="Q78" s="82">
        <v>3.708114856429463</v>
      </c>
    </row>
    <row r="79" spans="1:17" ht="15.75" thickBot="1" x14ac:dyDescent="0.3">
      <c r="A79" s="79" t="s">
        <v>138</v>
      </c>
      <c r="B79" s="80" t="s">
        <v>137</v>
      </c>
      <c r="C79" s="79" t="s">
        <v>17</v>
      </c>
      <c r="D79" s="81">
        <v>4191</v>
      </c>
      <c r="E79" s="81">
        <v>14445</v>
      </c>
      <c r="F79" s="81">
        <v>710</v>
      </c>
      <c r="G79" s="81">
        <v>1653</v>
      </c>
      <c r="H79" s="81">
        <v>38</v>
      </c>
      <c r="I79" s="81">
        <v>2</v>
      </c>
      <c r="J79" s="81">
        <v>10645</v>
      </c>
      <c r="K79" s="81">
        <v>4350</v>
      </c>
      <c r="L79" s="81">
        <v>0</v>
      </c>
      <c r="M79" s="81">
        <v>14995</v>
      </c>
      <c r="N79" s="81">
        <v>31803</v>
      </c>
      <c r="O79" s="82">
        <v>3.577905034597948</v>
      </c>
      <c r="P79" s="82">
        <v>4.0104986876640423</v>
      </c>
      <c r="Q79" s="82">
        <v>7.5884037222619902</v>
      </c>
    </row>
    <row r="80" spans="1:17" ht="15.75" thickBot="1" x14ac:dyDescent="0.3">
      <c r="A80" s="79" t="s">
        <v>180</v>
      </c>
      <c r="B80" s="80" t="s">
        <v>179</v>
      </c>
      <c r="C80" s="79" t="s">
        <v>17</v>
      </c>
      <c r="D80" s="81">
        <v>4622</v>
      </c>
      <c r="E80" s="81">
        <v>26147</v>
      </c>
      <c r="F80" s="81">
        <v>519</v>
      </c>
      <c r="G80" s="81">
        <v>1711</v>
      </c>
      <c r="H80" s="81">
        <v>36</v>
      </c>
      <c r="I80" s="81">
        <v>0</v>
      </c>
      <c r="J80" s="81">
        <v>12163</v>
      </c>
      <c r="K80" s="81">
        <v>1825</v>
      </c>
      <c r="L80" s="81">
        <v>156</v>
      </c>
      <c r="M80" s="81">
        <v>14144</v>
      </c>
      <c r="N80" s="81">
        <v>42521</v>
      </c>
      <c r="O80" s="82">
        <v>3.0601471224578103</v>
      </c>
      <c r="P80" s="82">
        <v>6.1395499783643448</v>
      </c>
      <c r="Q80" s="82">
        <v>9.1996971008221546</v>
      </c>
    </row>
    <row r="81" spans="1:17" ht="15.75" thickBot="1" x14ac:dyDescent="0.3">
      <c r="A81" s="79" t="s">
        <v>194</v>
      </c>
      <c r="B81" s="80" t="s">
        <v>193</v>
      </c>
      <c r="C81" s="79" t="s">
        <v>17</v>
      </c>
      <c r="D81" s="81">
        <v>4986</v>
      </c>
      <c r="E81" s="81">
        <v>19600</v>
      </c>
      <c r="F81" s="81">
        <v>664</v>
      </c>
      <c r="G81" s="81">
        <v>1745</v>
      </c>
      <c r="H81" s="81">
        <v>36</v>
      </c>
      <c r="I81" s="81">
        <v>3</v>
      </c>
      <c r="J81" s="81">
        <v>16577</v>
      </c>
      <c r="K81" s="81">
        <v>3812</v>
      </c>
      <c r="L81" s="81">
        <v>0</v>
      </c>
      <c r="M81" s="81">
        <v>20389</v>
      </c>
      <c r="N81" s="81">
        <v>42398</v>
      </c>
      <c r="O81" s="82">
        <v>4.0892498997192135</v>
      </c>
      <c r="P81" s="82">
        <v>4.4141596470116324</v>
      </c>
      <c r="Q81" s="82">
        <v>8.5034095467308468</v>
      </c>
    </row>
    <row r="82" spans="1:17" ht="15.75" thickBot="1" x14ac:dyDescent="0.3">
      <c r="A82" s="79" t="s">
        <v>216</v>
      </c>
      <c r="B82" s="80" t="s">
        <v>215</v>
      </c>
      <c r="C82" s="79" t="s">
        <v>17</v>
      </c>
      <c r="D82" s="81">
        <v>4514</v>
      </c>
      <c r="E82" s="81">
        <v>11518</v>
      </c>
      <c r="F82" s="81">
        <v>325</v>
      </c>
      <c r="G82" s="81">
        <v>767</v>
      </c>
      <c r="H82" s="81">
        <v>22</v>
      </c>
      <c r="I82" s="81">
        <v>2</v>
      </c>
      <c r="J82" s="81">
        <v>18338</v>
      </c>
      <c r="K82" s="81">
        <v>4227</v>
      </c>
      <c r="L82" s="81">
        <v>0</v>
      </c>
      <c r="M82" s="81">
        <v>22565</v>
      </c>
      <c r="N82" s="81">
        <v>35175</v>
      </c>
      <c r="O82" s="82">
        <v>4.9988923349579091</v>
      </c>
      <c r="P82" s="82">
        <v>2.7935312361541871</v>
      </c>
      <c r="Q82" s="82">
        <v>7.7924235711120957</v>
      </c>
    </row>
    <row r="83" spans="1:17" ht="15.75" thickBot="1" x14ac:dyDescent="0.3">
      <c r="A83" s="79" t="s">
        <v>230</v>
      </c>
      <c r="B83" s="80" t="s">
        <v>229</v>
      </c>
      <c r="C83" s="79" t="s">
        <v>17</v>
      </c>
      <c r="D83" s="81">
        <v>6838</v>
      </c>
      <c r="E83" s="81">
        <v>13591</v>
      </c>
      <c r="F83" s="81">
        <v>620</v>
      </c>
      <c r="G83" s="81">
        <v>538</v>
      </c>
      <c r="H83" s="81">
        <v>51</v>
      </c>
      <c r="I83" s="81">
        <v>3</v>
      </c>
      <c r="J83" s="81">
        <v>9888</v>
      </c>
      <c r="K83" s="81">
        <v>0</v>
      </c>
      <c r="L83" s="81">
        <v>0</v>
      </c>
      <c r="M83" s="81">
        <v>9888</v>
      </c>
      <c r="N83" s="81">
        <v>24637</v>
      </c>
      <c r="O83" s="82">
        <v>1.4460368528809593</v>
      </c>
      <c r="P83" s="82">
        <v>2.1569172272594326</v>
      </c>
      <c r="Q83" s="82">
        <v>3.6029540801403921</v>
      </c>
    </row>
    <row r="84" spans="1:17" ht="15.75" thickBot="1" x14ac:dyDescent="0.3">
      <c r="A84" s="79" t="s">
        <v>236</v>
      </c>
      <c r="B84" s="80" t="s">
        <v>235</v>
      </c>
      <c r="C84" s="79" t="s">
        <v>17</v>
      </c>
      <c r="D84" s="81">
        <v>4869</v>
      </c>
      <c r="E84" s="81">
        <v>16135</v>
      </c>
      <c r="F84" s="81">
        <v>487</v>
      </c>
      <c r="G84" s="81">
        <v>364</v>
      </c>
      <c r="H84" s="81">
        <v>15</v>
      </c>
      <c r="I84" s="81">
        <v>0</v>
      </c>
      <c r="J84" s="81">
        <v>42000</v>
      </c>
      <c r="K84" s="81">
        <v>0</v>
      </c>
      <c r="L84" s="81">
        <v>0</v>
      </c>
      <c r="M84" s="81">
        <v>42000</v>
      </c>
      <c r="N84" s="81">
        <v>59001</v>
      </c>
      <c r="O84" s="82">
        <v>8.6260012322858906</v>
      </c>
      <c r="P84" s="82">
        <v>3.4886013555144793</v>
      </c>
      <c r="Q84" s="82">
        <v>12.117683302526187</v>
      </c>
    </row>
    <row r="85" spans="1:17" ht="15.75" thickBot="1" x14ac:dyDescent="0.3">
      <c r="A85" s="79" t="s">
        <v>238</v>
      </c>
      <c r="B85" s="80" t="s">
        <v>237</v>
      </c>
      <c r="C85" s="79" t="s">
        <v>17</v>
      </c>
      <c r="D85" s="81">
        <v>4768</v>
      </c>
      <c r="E85" s="81">
        <v>24443</v>
      </c>
      <c r="F85" s="81">
        <v>1125</v>
      </c>
      <c r="G85" s="81">
        <v>1101</v>
      </c>
      <c r="H85" s="81">
        <v>53</v>
      </c>
      <c r="I85" s="81">
        <v>0</v>
      </c>
      <c r="J85" s="81">
        <v>21856</v>
      </c>
      <c r="K85" s="81">
        <v>2103</v>
      </c>
      <c r="L85" s="81">
        <v>184</v>
      </c>
      <c r="M85" s="81">
        <v>24143</v>
      </c>
      <c r="N85" s="81">
        <v>50865</v>
      </c>
      <c r="O85" s="82">
        <v>5.0635486577181208</v>
      </c>
      <c r="P85" s="82">
        <v>5.5933305369127515</v>
      </c>
      <c r="Q85" s="82">
        <v>10.667994966442953</v>
      </c>
    </row>
    <row r="86" spans="1:17" ht="15.75" thickBot="1" x14ac:dyDescent="0.3">
      <c r="A86" s="79" t="s">
        <v>252</v>
      </c>
      <c r="B86" s="80" t="s">
        <v>251</v>
      </c>
      <c r="C86" s="79" t="s">
        <v>17</v>
      </c>
      <c r="D86" s="81">
        <v>5432</v>
      </c>
      <c r="E86" s="81">
        <v>17331</v>
      </c>
      <c r="F86" s="81">
        <v>1112</v>
      </c>
      <c r="G86" s="81">
        <v>1881</v>
      </c>
      <c r="H86" s="81">
        <v>62</v>
      </c>
      <c r="I86" s="81">
        <v>1</v>
      </c>
      <c r="J86" s="81">
        <v>26650</v>
      </c>
      <c r="K86" s="81">
        <v>5487</v>
      </c>
      <c r="L86" s="81">
        <v>137</v>
      </c>
      <c r="M86" s="81">
        <v>32274</v>
      </c>
      <c r="N86" s="81">
        <v>52598</v>
      </c>
      <c r="O86" s="82">
        <v>5.9414580265095731</v>
      </c>
      <c r="P86" s="82">
        <v>3.7415316642120766</v>
      </c>
      <c r="Q86" s="82">
        <v>9.6829896907216497</v>
      </c>
    </row>
    <row r="87" spans="1:17" ht="15.75" thickBot="1" x14ac:dyDescent="0.3">
      <c r="A87" s="79" t="s">
        <v>280</v>
      </c>
      <c r="B87" s="80" t="s">
        <v>279</v>
      </c>
      <c r="C87" s="79" t="s">
        <v>17</v>
      </c>
      <c r="D87" s="81">
        <v>6164</v>
      </c>
      <c r="E87" s="81">
        <v>17511</v>
      </c>
      <c r="F87" s="81">
        <v>915</v>
      </c>
      <c r="G87" s="81">
        <v>1661</v>
      </c>
      <c r="H87" s="81">
        <v>23</v>
      </c>
      <c r="I87" s="81">
        <v>0</v>
      </c>
      <c r="J87" s="81">
        <v>6418</v>
      </c>
      <c r="K87" s="81">
        <v>3457</v>
      </c>
      <c r="L87" s="81">
        <v>265</v>
      </c>
      <c r="M87" s="81">
        <v>10140</v>
      </c>
      <c r="N87" s="81">
        <v>30227</v>
      </c>
      <c r="O87" s="82">
        <v>1.6450356911096691</v>
      </c>
      <c r="P87" s="82">
        <v>3.2587605451005839</v>
      </c>
      <c r="Q87" s="82">
        <v>4.903796236210253</v>
      </c>
    </row>
    <row r="88" spans="1:17" ht="15.75" thickBot="1" x14ac:dyDescent="0.3">
      <c r="A88" s="79" t="s">
        <v>290</v>
      </c>
      <c r="B88" s="80" t="s">
        <v>289</v>
      </c>
      <c r="C88" s="79" t="s">
        <v>17</v>
      </c>
      <c r="D88" s="81">
        <v>5641</v>
      </c>
      <c r="E88" s="81">
        <v>16870</v>
      </c>
      <c r="F88" s="81">
        <v>954</v>
      </c>
      <c r="G88" s="81">
        <v>2168</v>
      </c>
      <c r="H88" s="81">
        <v>10</v>
      </c>
      <c r="I88" s="81">
        <v>0</v>
      </c>
      <c r="J88" s="81">
        <v>8831</v>
      </c>
      <c r="K88" s="81">
        <v>3577</v>
      </c>
      <c r="L88" s="81">
        <v>0</v>
      </c>
      <c r="M88" s="81">
        <v>12408</v>
      </c>
      <c r="N88" s="81">
        <v>32400</v>
      </c>
      <c r="O88" s="82">
        <v>2.1996099982272646</v>
      </c>
      <c r="P88" s="82">
        <v>3.5440524729657863</v>
      </c>
      <c r="Q88" s="82">
        <v>5.7436624711930513</v>
      </c>
    </row>
    <row r="89" spans="1:17" ht="15.75" thickBot="1" x14ac:dyDescent="0.3">
      <c r="A89" s="79" t="s">
        <v>334</v>
      </c>
      <c r="B89" s="80" t="s">
        <v>333</v>
      </c>
      <c r="C89" s="79" t="s">
        <v>17</v>
      </c>
      <c r="D89" s="81">
        <v>6119</v>
      </c>
      <c r="E89" s="81">
        <v>17931</v>
      </c>
      <c r="F89" s="81">
        <v>1622</v>
      </c>
      <c r="G89" s="81">
        <v>2822</v>
      </c>
      <c r="H89" s="81">
        <v>38</v>
      </c>
      <c r="I89" s="81">
        <v>1</v>
      </c>
      <c r="J89" s="81">
        <v>4739</v>
      </c>
      <c r="K89" s="81">
        <v>20896</v>
      </c>
      <c r="L89" s="81">
        <v>0</v>
      </c>
      <c r="M89" s="81">
        <v>25635</v>
      </c>
      <c r="N89" s="81">
        <v>48010</v>
      </c>
      <c r="O89" s="82">
        <v>4.1894100343193328</v>
      </c>
      <c r="P89" s="82">
        <v>3.6566432423598627</v>
      </c>
      <c r="Q89" s="82">
        <v>7.8460532766791964</v>
      </c>
    </row>
    <row r="90" spans="1:17" ht="15.75" thickBot="1" x14ac:dyDescent="0.3">
      <c r="A90" s="79" t="s">
        <v>344</v>
      </c>
      <c r="B90" s="80" t="s">
        <v>343</v>
      </c>
      <c r="C90" s="79" t="s">
        <v>17</v>
      </c>
      <c r="D90" s="81">
        <v>6582</v>
      </c>
      <c r="E90" s="81">
        <v>53000</v>
      </c>
      <c r="F90" s="81">
        <v>1375</v>
      </c>
      <c r="G90" s="81">
        <v>1700</v>
      </c>
      <c r="H90" s="81">
        <v>15</v>
      </c>
      <c r="I90" s="81">
        <v>1</v>
      </c>
      <c r="J90" s="81">
        <v>185</v>
      </c>
      <c r="K90" s="81">
        <v>0</v>
      </c>
      <c r="L90" s="81">
        <v>0</v>
      </c>
      <c r="M90" s="81">
        <v>185</v>
      </c>
      <c r="N90" s="81">
        <v>56260</v>
      </c>
      <c r="O90" s="82">
        <v>2.8106958371315709E-2</v>
      </c>
      <c r="P90" s="82">
        <v>8.5194469766028558</v>
      </c>
      <c r="Q90" s="82">
        <v>8.5475539349741716</v>
      </c>
    </row>
    <row r="91" spans="1:17" ht="15.75" thickBot="1" x14ac:dyDescent="0.3">
      <c r="A91" s="79" t="s">
        <v>354</v>
      </c>
      <c r="B91" s="80" t="s">
        <v>353</v>
      </c>
      <c r="C91" s="79" t="s">
        <v>17</v>
      </c>
      <c r="D91" s="81">
        <v>5933</v>
      </c>
      <c r="E91" s="81">
        <v>25358</v>
      </c>
      <c r="F91" s="81">
        <v>1554</v>
      </c>
      <c r="G91" s="81">
        <v>1303</v>
      </c>
      <c r="H91" s="81">
        <v>20</v>
      </c>
      <c r="I91" s="81">
        <v>4</v>
      </c>
      <c r="J91" s="81">
        <v>8832</v>
      </c>
      <c r="K91" s="81">
        <v>12049</v>
      </c>
      <c r="L91" s="81">
        <v>0</v>
      </c>
      <c r="M91" s="81">
        <v>20881</v>
      </c>
      <c r="N91" s="81">
        <v>49096</v>
      </c>
      <c r="O91" s="82">
        <v>3.5194673858081913</v>
      </c>
      <c r="P91" s="82">
        <v>4.7556042474296305</v>
      </c>
      <c r="Q91" s="82">
        <v>8.2750716332378218</v>
      </c>
    </row>
    <row r="92" spans="1:17" ht="15.75" thickBot="1" x14ac:dyDescent="0.3">
      <c r="A92" s="79" t="s">
        <v>362</v>
      </c>
      <c r="B92" s="80" t="s">
        <v>361</v>
      </c>
      <c r="C92" s="79" t="s">
        <v>17</v>
      </c>
      <c r="D92" s="81">
        <v>4220</v>
      </c>
      <c r="E92" s="81">
        <v>14684</v>
      </c>
      <c r="F92" s="81">
        <v>778</v>
      </c>
      <c r="G92" s="81">
        <v>987</v>
      </c>
      <c r="H92" s="81">
        <v>19</v>
      </c>
      <c r="I92" s="81">
        <v>0</v>
      </c>
      <c r="J92" s="81">
        <v>23116</v>
      </c>
      <c r="K92" s="81">
        <v>17109</v>
      </c>
      <c r="L92" s="81">
        <v>402</v>
      </c>
      <c r="M92" s="81">
        <v>40627</v>
      </c>
      <c r="N92" s="81">
        <v>57076</v>
      </c>
      <c r="O92" s="82">
        <v>9.6272511848341225</v>
      </c>
      <c r="P92" s="82">
        <v>3.8978672985781992</v>
      </c>
      <c r="Q92" s="82">
        <v>13.525118483412323</v>
      </c>
    </row>
    <row r="93" spans="1:17" ht="15.75" thickBot="1" x14ac:dyDescent="0.3">
      <c r="A93" s="79" t="s">
        <v>366</v>
      </c>
      <c r="B93" s="80" t="s">
        <v>365</v>
      </c>
      <c r="C93" s="79" t="s">
        <v>17</v>
      </c>
      <c r="D93" s="81">
        <v>4610</v>
      </c>
      <c r="E93" s="81">
        <v>20404</v>
      </c>
      <c r="F93" s="81">
        <v>501</v>
      </c>
      <c r="G93" s="81">
        <v>914</v>
      </c>
      <c r="H93" s="81">
        <v>20</v>
      </c>
      <c r="I93" s="81">
        <v>3</v>
      </c>
      <c r="J93" s="81">
        <v>8367</v>
      </c>
      <c r="K93" s="81">
        <v>11473</v>
      </c>
      <c r="L93" s="81">
        <v>0</v>
      </c>
      <c r="M93" s="81">
        <v>19840</v>
      </c>
      <c r="N93" s="81">
        <v>41679</v>
      </c>
      <c r="O93" s="82">
        <v>4.3036876355748372</v>
      </c>
      <c r="P93" s="82">
        <v>4.7329718004338392</v>
      </c>
      <c r="Q93" s="82">
        <v>9.0409978308026027</v>
      </c>
    </row>
    <row r="94" spans="1:17" ht="15.75" thickBot="1" x14ac:dyDescent="0.3">
      <c r="A94" s="79" t="s">
        <v>372</v>
      </c>
      <c r="B94" s="80" t="s">
        <v>371</v>
      </c>
      <c r="C94" s="79" t="s">
        <v>17</v>
      </c>
      <c r="D94" s="81">
        <v>5531</v>
      </c>
      <c r="E94" s="81">
        <v>18375</v>
      </c>
      <c r="F94" s="81">
        <v>1890</v>
      </c>
      <c r="G94" s="81">
        <v>1639</v>
      </c>
      <c r="H94" s="81">
        <v>0</v>
      </c>
      <c r="I94" s="81">
        <v>0</v>
      </c>
      <c r="J94" s="81">
        <v>5806</v>
      </c>
      <c r="K94" s="81">
        <v>2632</v>
      </c>
      <c r="L94" s="81">
        <v>0</v>
      </c>
      <c r="M94" s="81">
        <v>8438</v>
      </c>
      <c r="N94" s="81">
        <v>30342</v>
      </c>
      <c r="O94" s="82">
        <v>1.5255830772012295</v>
      </c>
      <c r="P94" s="82">
        <v>3.9602241909238836</v>
      </c>
      <c r="Q94" s="82">
        <v>5.4858072681251127</v>
      </c>
    </row>
    <row r="95" spans="1:17" ht="15.75" thickBot="1" x14ac:dyDescent="0.3">
      <c r="A95" s="79" t="s">
        <v>376</v>
      </c>
      <c r="B95" s="80" t="s">
        <v>375</v>
      </c>
      <c r="C95" s="79" t="s">
        <v>17</v>
      </c>
      <c r="D95" s="81">
        <v>5107</v>
      </c>
      <c r="E95" s="81">
        <v>35865</v>
      </c>
      <c r="F95" s="81">
        <v>430</v>
      </c>
      <c r="G95" s="81">
        <v>786</v>
      </c>
      <c r="H95" s="81">
        <v>30</v>
      </c>
      <c r="I95" s="81">
        <v>5</v>
      </c>
      <c r="J95" s="81">
        <v>26755</v>
      </c>
      <c r="K95" s="81">
        <v>6763</v>
      </c>
      <c r="L95" s="81">
        <v>0</v>
      </c>
      <c r="M95" s="81">
        <v>33518</v>
      </c>
      <c r="N95" s="81">
        <v>70599</v>
      </c>
      <c r="O95" s="82">
        <v>6.5631486195418054</v>
      </c>
      <c r="P95" s="82">
        <v>7.2608184844331314</v>
      </c>
      <c r="Q95" s="82">
        <v>13.823967103974937</v>
      </c>
    </row>
    <row r="96" spans="1:17" ht="15.75" thickBot="1" x14ac:dyDescent="0.3">
      <c r="A96" s="79" t="s">
        <v>382</v>
      </c>
      <c r="B96" s="80" t="s">
        <v>381</v>
      </c>
      <c r="C96" s="79" t="s">
        <v>17</v>
      </c>
      <c r="D96" s="81">
        <v>5784</v>
      </c>
      <c r="E96" s="81">
        <v>24957</v>
      </c>
      <c r="F96" s="81">
        <v>2524</v>
      </c>
      <c r="G96" s="81">
        <v>2499</v>
      </c>
      <c r="H96" s="81">
        <v>56</v>
      </c>
      <c r="I96" s="81">
        <v>0</v>
      </c>
      <c r="J96" s="81">
        <v>0</v>
      </c>
      <c r="K96" s="81">
        <v>0</v>
      </c>
      <c r="L96" s="81">
        <v>0</v>
      </c>
      <c r="M96" s="81">
        <v>0</v>
      </c>
      <c r="N96" s="81">
        <v>29980</v>
      </c>
      <c r="O96" s="82">
        <v>0</v>
      </c>
      <c r="P96" s="82">
        <v>5.1832641770401109</v>
      </c>
      <c r="Q96" s="82">
        <v>5.1832641770401109</v>
      </c>
    </row>
    <row r="97" spans="1:17" ht="15.75" thickBot="1" x14ac:dyDescent="0.3">
      <c r="A97" s="79" t="s">
        <v>388</v>
      </c>
      <c r="B97" s="80" t="s">
        <v>387</v>
      </c>
      <c r="C97" s="79" t="s">
        <v>17</v>
      </c>
      <c r="D97" s="81">
        <v>5713</v>
      </c>
      <c r="E97" s="81">
        <v>28863</v>
      </c>
      <c r="F97" s="81">
        <v>1226</v>
      </c>
      <c r="G97" s="81">
        <v>1318</v>
      </c>
      <c r="H97" s="81">
        <v>27</v>
      </c>
      <c r="I97" s="81">
        <v>0</v>
      </c>
      <c r="J97" s="81">
        <v>8825</v>
      </c>
      <c r="K97" s="81">
        <v>4309</v>
      </c>
      <c r="L97" s="81">
        <v>285</v>
      </c>
      <c r="M97" s="81">
        <v>13419</v>
      </c>
      <c r="N97" s="81">
        <v>44826</v>
      </c>
      <c r="O97" s="82">
        <v>2.3488534920357078</v>
      </c>
      <c r="P97" s="82">
        <v>5.4974619289340101</v>
      </c>
      <c r="Q97" s="82">
        <v>7.8463154209697183</v>
      </c>
    </row>
    <row r="98" spans="1:17" ht="15.75" thickBot="1" x14ac:dyDescent="0.3">
      <c r="A98" s="79" t="s">
        <v>392</v>
      </c>
      <c r="B98" s="80" t="s">
        <v>391</v>
      </c>
      <c r="C98" s="79" t="s">
        <v>17</v>
      </c>
      <c r="D98" s="81">
        <v>6443</v>
      </c>
      <c r="E98" s="81">
        <v>16413</v>
      </c>
      <c r="F98" s="81">
        <v>315</v>
      </c>
      <c r="G98" s="81">
        <v>962</v>
      </c>
      <c r="H98" s="81">
        <v>20</v>
      </c>
      <c r="I98" s="81">
        <v>0</v>
      </c>
      <c r="J98" s="81">
        <v>16340</v>
      </c>
      <c r="K98" s="81">
        <v>3710</v>
      </c>
      <c r="L98" s="81">
        <v>246</v>
      </c>
      <c r="M98" s="81">
        <v>20296</v>
      </c>
      <c r="N98" s="81">
        <v>38006</v>
      </c>
      <c r="O98" s="82">
        <v>3.1500853639608879</v>
      </c>
      <c r="P98" s="82">
        <v>2.7456153965544003</v>
      </c>
      <c r="Q98" s="82">
        <v>5.8988049045475712</v>
      </c>
    </row>
    <row r="99" spans="1:17" ht="15.75" thickBot="1" x14ac:dyDescent="0.3">
      <c r="A99" s="79" t="s">
        <v>396</v>
      </c>
      <c r="B99" s="80" t="s">
        <v>395</v>
      </c>
      <c r="C99" s="79" t="s">
        <v>17</v>
      </c>
      <c r="D99" s="81">
        <v>4080</v>
      </c>
      <c r="E99" s="81">
        <v>21691</v>
      </c>
      <c r="F99" s="81">
        <v>220</v>
      </c>
      <c r="G99" s="81">
        <v>1841</v>
      </c>
      <c r="H99" s="81">
        <v>8</v>
      </c>
      <c r="I99" s="81">
        <v>5</v>
      </c>
      <c r="J99" s="81">
        <v>29236</v>
      </c>
      <c r="K99" s="81">
        <v>4897</v>
      </c>
      <c r="L99" s="81">
        <v>0</v>
      </c>
      <c r="M99" s="81">
        <v>34133</v>
      </c>
      <c r="N99" s="81">
        <v>57885</v>
      </c>
      <c r="O99" s="82">
        <v>8.365931372549019</v>
      </c>
      <c r="P99" s="82">
        <v>5.8215686274509801</v>
      </c>
      <c r="Q99" s="82">
        <v>14.1875</v>
      </c>
    </row>
    <row r="100" spans="1:17" ht="15.75" thickBot="1" x14ac:dyDescent="0.3">
      <c r="A100" s="79" t="s">
        <v>398</v>
      </c>
      <c r="B100" s="80" t="s">
        <v>397</v>
      </c>
      <c r="C100" s="79" t="s">
        <v>17</v>
      </c>
      <c r="D100" s="81">
        <v>5210</v>
      </c>
      <c r="E100" s="81">
        <v>23984</v>
      </c>
      <c r="F100" s="81">
        <v>2158</v>
      </c>
      <c r="G100" s="81">
        <v>2530</v>
      </c>
      <c r="H100" s="81">
        <v>24</v>
      </c>
      <c r="I100" s="81">
        <v>5</v>
      </c>
      <c r="J100" s="81">
        <v>8058</v>
      </c>
      <c r="K100" s="81">
        <v>3062</v>
      </c>
      <c r="L100" s="81">
        <v>0</v>
      </c>
      <c r="M100" s="81">
        <v>11120</v>
      </c>
      <c r="N100" s="81">
        <v>39792</v>
      </c>
      <c r="O100" s="82">
        <v>2.1343570057581576</v>
      </c>
      <c r="P100" s="82">
        <v>5.5032629558541268</v>
      </c>
      <c r="Q100" s="82">
        <v>7.637619961612284</v>
      </c>
    </row>
    <row r="101" spans="1:17" ht="15.75" thickBot="1" x14ac:dyDescent="0.3">
      <c r="A101" s="79" t="s">
        <v>400</v>
      </c>
      <c r="B101" s="80" t="s">
        <v>399</v>
      </c>
      <c r="C101" s="79" t="s">
        <v>17</v>
      </c>
      <c r="D101" s="81">
        <v>6997</v>
      </c>
      <c r="E101" s="81">
        <v>35411</v>
      </c>
      <c r="F101" s="81">
        <v>870</v>
      </c>
      <c r="G101" s="81">
        <v>2572</v>
      </c>
      <c r="H101" s="81">
        <v>101</v>
      </c>
      <c r="I101" s="81">
        <v>4</v>
      </c>
      <c r="J101" s="81">
        <v>26236</v>
      </c>
      <c r="K101" s="81">
        <v>5183</v>
      </c>
      <c r="L101" s="81">
        <v>137</v>
      </c>
      <c r="M101" s="81">
        <v>31556</v>
      </c>
      <c r="N101" s="81">
        <v>70409</v>
      </c>
      <c r="O101" s="82">
        <v>4.5099328283550095</v>
      </c>
      <c r="P101" s="82">
        <v>5.552808346434186</v>
      </c>
      <c r="Q101" s="82">
        <v>10.062741174789195</v>
      </c>
    </row>
    <row r="102" spans="1:17" ht="15.75" thickBot="1" x14ac:dyDescent="0.3">
      <c r="A102" s="79" t="s">
        <v>414</v>
      </c>
      <c r="B102" s="80" t="s">
        <v>413</v>
      </c>
      <c r="C102" s="79" t="s">
        <v>17</v>
      </c>
      <c r="D102" s="81">
        <v>4168</v>
      </c>
      <c r="E102" s="81">
        <v>29071</v>
      </c>
      <c r="F102" s="81">
        <v>2545</v>
      </c>
      <c r="G102" s="81">
        <v>3584</v>
      </c>
      <c r="H102" s="81">
        <v>12</v>
      </c>
      <c r="I102" s="81">
        <v>1</v>
      </c>
      <c r="J102" s="81">
        <v>8507</v>
      </c>
      <c r="K102" s="81">
        <v>11742</v>
      </c>
      <c r="L102" s="81">
        <v>0</v>
      </c>
      <c r="M102" s="81">
        <v>20249</v>
      </c>
      <c r="N102" s="81">
        <v>55449</v>
      </c>
      <c r="O102" s="82">
        <v>4.8582053742802307</v>
      </c>
      <c r="P102" s="82">
        <v>8.4452975047984644</v>
      </c>
      <c r="Q102" s="82">
        <v>13.303502879078694</v>
      </c>
    </row>
    <row r="103" spans="1:17" ht="15.75" thickBot="1" x14ac:dyDescent="0.3">
      <c r="A103" s="79" t="s">
        <v>427</v>
      </c>
      <c r="B103" s="80" t="s">
        <v>426</v>
      </c>
      <c r="C103" s="79" t="s">
        <v>17</v>
      </c>
      <c r="D103" s="81">
        <v>4934</v>
      </c>
      <c r="E103" s="81">
        <v>26450</v>
      </c>
      <c r="F103" s="81">
        <v>2193</v>
      </c>
      <c r="G103" s="81">
        <v>6179</v>
      </c>
      <c r="H103" s="81">
        <v>39</v>
      </c>
      <c r="I103" s="81">
        <v>0</v>
      </c>
      <c r="J103" s="81">
        <v>8507</v>
      </c>
      <c r="K103" s="81">
        <v>11861</v>
      </c>
      <c r="L103" s="81">
        <v>0</v>
      </c>
      <c r="M103" s="81">
        <v>20368</v>
      </c>
      <c r="N103" s="81">
        <v>55190</v>
      </c>
      <c r="O103" s="82">
        <v>4.1280907985407378</v>
      </c>
      <c r="P103" s="82">
        <v>7.0575597892176729</v>
      </c>
      <c r="Q103" s="82">
        <v>11.185650587758412</v>
      </c>
    </row>
    <row r="104" spans="1:17" ht="15.75" thickBot="1" x14ac:dyDescent="0.3">
      <c r="A104" s="79" t="s">
        <v>429</v>
      </c>
      <c r="B104" s="80" t="s">
        <v>428</v>
      </c>
      <c r="C104" s="79" t="s">
        <v>17</v>
      </c>
      <c r="D104" s="81">
        <v>5857</v>
      </c>
      <c r="E104" s="81">
        <v>21975</v>
      </c>
      <c r="F104" s="81">
        <v>2943</v>
      </c>
      <c r="G104" s="81">
        <v>5847</v>
      </c>
      <c r="H104" s="81">
        <v>57</v>
      </c>
      <c r="I104" s="81">
        <v>0</v>
      </c>
      <c r="J104" s="81">
        <v>23338</v>
      </c>
      <c r="K104" s="81">
        <v>39178</v>
      </c>
      <c r="L104" s="81">
        <v>120</v>
      </c>
      <c r="M104" s="81">
        <v>62636</v>
      </c>
      <c r="N104" s="81">
        <v>93458</v>
      </c>
      <c r="O104" s="82">
        <v>10.694212053952535</v>
      </c>
      <c r="P104" s="82">
        <v>5.252689089977804</v>
      </c>
      <c r="Q104" s="82">
        <v>15.956633088611918</v>
      </c>
    </row>
    <row r="105" spans="1:17" ht="15.75" thickBot="1" x14ac:dyDescent="0.3">
      <c r="A105" s="79" t="s">
        <v>450</v>
      </c>
      <c r="B105" s="80" t="s">
        <v>449</v>
      </c>
      <c r="C105" s="79" t="s">
        <v>17</v>
      </c>
      <c r="D105" s="81">
        <v>4141</v>
      </c>
      <c r="E105" s="81">
        <v>15003</v>
      </c>
      <c r="F105" s="81">
        <v>968</v>
      </c>
      <c r="G105" s="81">
        <v>2623</v>
      </c>
      <c r="H105" s="81">
        <v>0</v>
      </c>
      <c r="I105" s="81">
        <v>0</v>
      </c>
      <c r="J105" s="81">
        <v>35000</v>
      </c>
      <c r="K105" s="81">
        <v>9630</v>
      </c>
      <c r="L105" s="81">
        <v>137</v>
      </c>
      <c r="M105" s="81">
        <v>44767</v>
      </c>
      <c r="N105" s="81">
        <v>63361</v>
      </c>
      <c r="O105" s="82">
        <v>10.810673750301859</v>
      </c>
      <c r="P105" s="82">
        <v>4.4902197536826858</v>
      </c>
      <c r="Q105" s="82">
        <v>15.300893503984545</v>
      </c>
    </row>
    <row r="106" spans="1:17" ht="15.75" thickBot="1" x14ac:dyDescent="0.3">
      <c r="A106" s="79" t="s">
        <v>456</v>
      </c>
      <c r="B106" s="80" t="s">
        <v>455</v>
      </c>
      <c r="C106" s="79" t="s">
        <v>17</v>
      </c>
      <c r="D106" s="81">
        <v>4197</v>
      </c>
      <c r="E106" s="81">
        <v>20917</v>
      </c>
      <c r="F106" s="81">
        <v>621</v>
      </c>
      <c r="G106" s="81">
        <v>372</v>
      </c>
      <c r="H106" s="81">
        <v>0</v>
      </c>
      <c r="I106" s="81">
        <v>1</v>
      </c>
      <c r="J106" s="81">
        <v>0</v>
      </c>
      <c r="K106" s="81">
        <v>0</v>
      </c>
      <c r="L106" s="81">
        <v>0</v>
      </c>
      <c r="M106" s="81">
        <v>0</v>
      </c>
      <c r="N106" s="81">
        <v>21910</v>
      </c>
      <c r="O106" s="82">
        <v>0</v>
      </c>
      <c r="P106" s="82">
        <v>5.2203955206099595</v>
      </c>
      <c r="Q106" s="82">
        <v>5.2203955206099595</v>
      </c>
    </row>
    <row r="107" spans="1:17" ht="15.75" thickBot="1" x14ac:dyDescent="0.3">
      <c r="A107" s="79" t="s">
        <v>462</v>
      </c>
      <c r="B107" s="80" t="s">
        <v>461</v>
      </c>
      <c r="C107" s="79" t="s">
        <v>17</v>
      </c>
      <c r="D107" s="81">
        <v>5068</v>
      </c>
      <c r="E107" s="81">
        <v>44725</v>
      </c>
      <c r="F107" s="81">
        <v>1705</v>
      </c>
      <c r="G107" s="81">
        <v>5448</v>
      </c>
      <c r="H107" s="81">
        <v>52</v>
      </c>
      <c r="I107" s="81">
        <v>1</v>
      </c>
      <c r="J107" s="81">
        <v>25580</v>
      </c>
      <c r="K107" s="81">
        <v>4987</v>
      </c>
      <c r="L107" s="81">
        <v>148</v>
      </c>
      <c r="M107" s="81">
        <v>30715</v>
      </c>
      <c r="N107" s="81">
        <v>82645</v>
      </c>
      <c r="O107" s="82">
        <v>6.0605761641673244</v>
      </c>
      <c r="P107" s="82">
        <v>10.236385161799527</v>
      </c>
      <c r="Q107" s="82">
        <v>16.30722178374112</v>
      </c>
    </row>
    <row r="108" spans="1:17" ht="15.75" thickBot="1" x14ac:dyDescent="0.3">
      <c r="A108" s="79" t="s">
        <v>466</v>
      </c>
      <c r="B108" s="80" t="s">
        <v>465</v>
      </c>
      <c r="C108" s="79" t="s">
        <v>17</v>
      </c>
      <c r="D108" s="81">
        <v>4968</v>
      </c>
      <c r="E108" s="81">
        <v>15219</v>
      </c>
      <c r="F108" s="81">
        <v>374</v>
      </c>
      <c r="G108" s="81">
        <v>989</v>
      </c>
      <c r="H108" s="81">
        <v>12</v>
      </c>
      <c r="I108" s="81">
        <v>0</v>
      </c>
      <c r="J108" s="81">
        <v>0</v>
      </c>
      <c r="K108" s="81">
        <v>36000</v>
      </c>
      <c r="L108" s="81">
        <v>0</v>
      </c>
      <c r="M108" s="81">
        <v>36000</v>
      </c>
      <c r="N108" s="81">
        <v>52582</v>
      </c>
      <c r="O108" s="82">
        <v>7.2463768115942031</v>
      </c>
      <c r="P108" s="82">
        <v>3.3377616747181964</v>
      </c>
      <c r="Q108" s="82">
        <v>10.5841384863124</v>
      </c>
    </row>
    <row r="109" spans="1:17" ht="15.75" thickBot="1" x14ac:dyDescent="0.3">
      <c r="A109" s="79" t="s">
        <v>478</v>
      </c>
      <c r="B109" s="80" t="s">
        <v>477</v>
      </c>
      <c r="C109" s="79" t="s">
        <v>17</v>
      </c>
      <c r="D109" s="81">
        <v>4101</v>
      </c>
      <c r="E109" s="81">
        <v>26166</v>
      </c>
      <c r="F109" s="81">
        <v>430</v>
      </c>
      <c r="G109" s="81">
        <v>3077</v>
      </c>
      <c r="H109" s="81">
        <v>12</v>
      </c>
      <c r="I109" s="81">
        <v>2</v>
      </c>
      <c r="J109" s="81">
        <v>13460</v>
      </c>
      <c r="K109" s="81">
        <v>2667</v>
      </c>
      <c r="L109" s="81">
        <v>260</v>
      </c>
      <c r="M109" s="81">
        <v>16387</v>
      </c>
      <c r="N109" s="81">
        <v>46060</v>
      </c>
      <c r="O109" s="82">
        <v>3.9958546695927821</v>
      </c>
      <c r="P109" s="82">
        <v>7.2355523043160206</v>
      </c>
      <c r="Q109" s="82">
        <v>11.231406973908802</v>
      </c>
    </row>
    <row r="110" spans="1:17" ht="15.75" thickBot="1" x14ac:dyDescent="0.3">
      <c r="A110" s="79" t="s">
        <v>480</v>
      </c>
      <c r="B110" s="80" t="s">
        <v>479</v>
      </c>
      <c r="C110" s="79" t="s">
        <v>17</v>
      </c>
      <c r="D110" s="81">
        <v>5241</v>
      </c>
      <c r="E110" s="81">
        <v>16936</v>
      </c>
      <c r="F110" s="81">
        <v>937</v>
      </c>
      <c r="G110" s="81">
        <v>1245</v>
      </c>
      <c r="H110" s="81">
        <v>25</v>
      </c>
      <c r="I110" s="81">
        <v>0</v>
      </c>
      <c r="J110" s="81">
        <v>20744</v>
      </c>
      <c r="K110" s="81">
        <v>4602</v>
      </c>
      <c r="L110" s="81">
        <v>0</v>
      </c>
      <c r="M110" s="81">
        <v>25346</v>
      </c>
      <c r="N110" s="81">
        <v>44464</v>
      </c>
      <c r="O110" s="82">
        <v>4.8360999809196716</v>
      </c>
      <c r="P110" s="82">
        <v>3.6477771417668383</v>
      </c>
      <c r="Q110" s="82">
        <v>8.4838771226865095</v>
      </c>
    </row>
    <row r="111" spans="1:17" ht="15.75" thickBot="1" x14ac:dyDescent="0.3">
      <c r="A111" s="79" t="s">
        <v>488</v>
      </c>
      <c r="B111" s="80" t="s">
        <v>487</v>
      </c>
      <c r="C111" s="79" t="s">
        <v>17</v>
      </c>
      <c r="D111" s="81">
        <v>5160</v>
      </c>
      <c r="E111" s="81">
        <v>23451</v>
      </c>
      <c r="F111" s="81">
        <v>1603</v>
      </c>
      <c r="G111" s="81">
        <v>3013</v>
      </c>
      <c r="H111" s="81">
        <v>67</v>
      </c>
      <c r="I111" s="81">
        <v>2</v>
      </c>
      <c r="J111" s="81">
        <v>18606</v>
      </c>
      <c r="K111" s="81">
        <v>4408</v>
      </c>
      <c r="L111" s="81">
        <v>0</v>
      </c>
      <c r="M111" s="81">
        <v>23014</v>
      </c>
      <c r="N111" s="81">
        <v>51081</v>
      </c>
      <c r="O111" s="82">
        <v>4.460077519379845</v>
      </c>
      <c r="P111" s="82">
        <v>5.4393410852713178</v>
      </c>
      <c r="Q111" s="82">
        <v>9.8994186046511636</v>
      </c>
    </row>
    <row r="112" spans="1:17" ht="15.75" thickBot="1" x14ac:dyDescent="0.3">
      <c r="A112" s="79" t="s">
        <v>490</v>
      </c>
      <c r="B112" s="80" t="s">
        <v>489</v>
      </c>
      <c r="C112" s="79" t="s">
        <v>17</v>
      </c>
      <c r="D112" s="81">
        <v>5841</v>
      </c>
      <c r="E112" s="81">
        <v>25466</v>
      </c>
      <c r="F112" s="81">
        <v>986</v>
      </c>
      <c r="G112" s="81">
        <v>1103</v>
      </c>
      <c r="H112" s="81">
        <v>30</v>
      </c>
      <c r="I112" s="81">
        <v>1</v>
      </c>
      <c r="J112" s="81">
        <v>26233</v>
      </c>
      <c r="K112" s="81">
        <v>5182</v>
      </c>
      <c r="L112" s="81">
        <v>137</v>
      </c>
      <c r="M112" s="81">
        <v>31552</v>
      </c>
      <c r="N112" s="81">
        <v>59137</v>
      </c>
      <c r="O112" s="82">
        <v>5.4018147577469611</v>
      </c>
      <c r="P112" s="82">
        <v>4.7175141242937855</v>
      </c>
      <c r="Q112" s="82">
        <v>10.124464988871768</v>
      </c>
    </row>
    <row r="113" spans="1:17" ht="15.75" thickBot="1" x14ac:dyDescent="0.3">
      <c r="A113" s="79" t="s">
        <v>494</v>
      </c>
      <c r="B113" s="80" t="s">
        <v>493</v>
      </c>
      <c r="C113" s="79" t="s">
        <v>17</v>
      </c>
      <c r="D113" s="81">
        <v>4730</v>
      </c>
      <c r="E113" s="81">
        <v>33846</v>
      </c>
      <c r="F113" s="81">
        <v>534</v>
      </c>
      <c r="G113" s="81">
        <v>1347</v>
      </c>
      <c r="H113" s="81">
        <v>22</v>
      </c>
      <c r="I113" s="81">
        <v>1</v>
      </c>
      <c r="J113" s="81">
        <v>0</v>
      </c>
      <c r="K113" s="81">
        <v>0</v>
      </c>
      <c r="L113" s="81">
        <v>0</v>
      </c>
      <c r="M113" s="81">
        <v>0</v>
      </c>
      <c r="N113" s="81">
        <v>35749</v>
      </c>
      <c r="O113" s="82">
        <v>0</v>
      </c>
      <c r="P113" s="82">
        <v>7.553276955602537</v>
      </c>
      <c r="Q113" s="82">
        <v>7.5579281183932343</v>
      </c>
    </row>
    <row r="114" spans="1:17" ht="15.75" thickBot="1" x14ac:dyDescent="0.3">
      <c r="A114" s="79" t="s">
        <v>512</v>
      </c>
      <c r="B114" s="80" t="s">
        <v>511</v>
      </c>
      <c r="C114" s="79" t="s">
        <v>17</v>
      </c>
      <c r="D114" s="81">
        <v>5072</v>
      </c>
      <c r="E114" s="81">
        <v>24910</v>
      </c>
      <c r="F114" s="81">
        <v>635</v>
      </c>
      <c r="G114" s="81">
        <v>644</v>
      </c>
      <c r="H114" s="81">
        <v>49</v>
      </c>
      <c r="I114" s="81">
        <v>5</v>
      </c>
      <c r="J114" s="81">
        <v>16565</v>
      </c>
      <c r="K114" s="81">
        <v>4367</v>
      </c>
      <c r="L114" s="81">
        <v>0</v>
      </c>
      <c r="M114" s="81">
        <v>20932</v>
      </c>
      <c r="N114" s="81">
        <v>47170</v>
      </c>
      <c r="O114" s="82">
        <v>4.1269716088328074</v>
      </c>
      <c r="P114" s="82">
        <v>5.1634463722397479</v>
      </c>
      <c r="Q114" s="82">
        <v>9.3000788643533117</v>
      </c>
    </row>
    <row r="115" spans="1:17" ht="15.75" thickBot="1" x14ac:dyDescent="0.3">
      <c r="A115" s="79" t="s">
        <v>514</v>
      </c>
      <c r="B115" s="80" t="s">
        <v>513</v>
      </c>
      <c r="C115" s="79" t="s">
        <v>17</v>
      </c>
      <c r="D115" s="81">
        <v>6634</v>
      </c>
      <c r="E115" s="81">
        <v>30651</v>
      </c>
      <c r="F115" s="81">
        <v>700</v>
      </c>
      <c r="G115" s="81">
        <v>2713</v>
      </c>
      <c r="H115" s="81">
        <v>54</v>
      </c>
      <c r="I115" s="81">
        <v>0</v>
      </c>
      <c r="J115" s="81">
        <v>26400</v>
      </c>
      <c r="K115" s="81">
        <v>41300</v>
      </c>
      <c r="L115" s="81">
        <v>135</v>
      </c>
      <c r="M115" s="81">
        <v>67835</v>
      </c>
      <c r="N115" s="81">
        <v>101899</v>
      </c>
      <c r="O115" s="82">
        <v>10.2253542357552</v>
      </c>
      <c r="P115" s="82">
        <v>5.1347603255954173</v>
      </c>
      <c r="Q115" s="82">
        <v>15.360114561350619</v>
      </c>
    </row>
    <row r="116" spans="1:17" ht="15.75" thickBot="1" x14ac:dyDescent="0.3">
      <c r="A116" s="79" t="s">
        <v>526</v>
      </c>
      <c r="B116" s="80" t="s">
        <v>525</v>
      </c>
      <c r="C116" s="79" t="s">
        <v>17</v>
      </c>
      <c r="D116" s="81">
        <v>5302</v>
      </c>
      <c r="E116" s="81">
        <v>32376</v>
      </c>
      <c r="F116" s="81">
        <v>1007</v>
      </c>
      <c r="G116" s="81">
        <v>2146</v>
      </c>
      <c r="H116" s="81">
        <v>221</v>
      </c>
      <c r="I116" s="81">
        <v>3</v>
      </c>
      <c r="J116" s="81">
        <v>17211</v>
      </c>
      <c r="K116" s="81">
        <v>4244</v>
      </c>
      <c r="L116" s="81">
        <v>369</v>
      </c>
      <c r="M116" s="81">
        <v>21824</v>
      </c>
      <c r="N116" s="81">
        <v>57574</v>
      </c>
      <c r="O116" s="82">
        <v>4.1161825726141075</v>
      </c>
      <c r="P116" s="82">
        <v>6.7010562052055826</v>
      </c>
      <c r="Q116" s="82">
        <v>10.858921161825727</v>
      </c>
    </row>
    <row r="117" spans="1:17" ht="15.75" thickBot="1" x14ac:dyDescent="0.3">
      <c r="A117" s="79" t="s">
        <v>528</v>
      </c>
      <c r="B117" s="80" t="s">
        <v>527</v>
      </c>
      <c r="C117" s="79" t="s">
        <v>17</v>
      </c>
      <c r="D117" s="81">
        <v>6834</v>
      </c>
      <c r="E117" s="81">
        <v>22217</v>
      </c>
      <c r="F117" s="81">
        <v>1476</v>
      </c>
      <c r="G117" s="81">
        <v>1410</v>
      </c>
      <c r="H117" s="81">
        <v>43</v>
      </c>
      <c r="I117" s="81">
        <v>0</v>
      </c>
      <c r="J117" s="81">
        <v>8367</v>
      </c>
      <c r="K117" s="81">
        <v>7823</v>
      </c>
      <c r="L117" s="81">
        <v>0</v>
      </c>
      <c r="M117" s="81">
        <v>16190</v>
      </c>
      <c r="N117" s="81">
        <v>41336</v>
      </c>
      <c r="O117" s="82">
        <v>2.369037167105648</v>
      </c>
      <c r="P117" s="82">
        <v>3.6732513901082822</v>
      </c>
      <c r="Q117" s="82">
        <v>6.048580626280363</v>
      </c>
    </row>
    <row r="118" spans="1:17" ht="15.75" thickBot="1" x14ac:dyDescent="0.3">
      <c r="A118" s="79" t="s">
        <v>532</v>
      </c>
      <c r="B118" s="80" t="s">
        <v>531</v>
      </c>
      <c r="C118" s="79" t="s">
        <v>17</v>
      </c>
      <c r="D118" s="81">
        <v>4469</v>
      </c>
      <c r="E118" s="81">
        <v>10531</v>
      </c>
      <c r="F118" s="81">
        <v>19</v>
      </c>
      <c r="G118" s="81">
        <v>309</v>
      </c>
      <c r="H118" s="81">
        <v>30</v>
      </c>
      <c r="I118" s="81">
        <v>4</v>
      </c>
      <c r="J118" s="81">
        <v>19146</v>
      </c>
      <c r="K118" s="81">
        <v>4223</v>
      </c>
      <c r="L118" s="81">
        <v>0</v>
      </c>
      <c r="M118" s="81">
        <v>23369</v>
      </c>
      <c r="N118" s="81">
        <v>34228</v>
      </c>
      <c r="O118" s="82">
        <v>5.2291340344596104</v>
      </c>
      <c r="P118" s="82">
        <v>2.4298500783172967</v>
      </c>
      <c r="Q118" s="82">
        <v>7.6589841127769072</v>
      </c>
    </row>
    <row r="119" spans="1:17" ht="15.75" thickBot="1" x14ac:dyDescent="0.3">
      <c r="A119" s="79" t="s">
        <v>540</v>
      </c>
      <c r="B119" s="80" t="s">
        <v>539</v>
      </c>
      <c r="C119" s="79" t="s">
        <v>17</v>
      </c>
      <c r="D119" s="81">
        <v>6174</v>
      </c>
      <c r="E119" s="81">
        <v>22401</v>
      </c>
      <c r="F119" s="81">
        <v>2532</v>
      </c>
      <c r="G119" s="81">
        <v>2141</v>
      </c>
      <c r="H119" s="81">
        <v>20</v>
      </c>
      <c r="I119" s="81">
        <v>4</v>
      </c>
      <c r="J119" s="81">
        <v>0</v>
      </c>
      <c r="K119" s="81">
        <v>0</v>
      </c>
      <c r="L119" s="81">
        <v>0</v>
      </c>
      <c r="M119" s="81">
        <v>0</v>
      </c>
      <c r="N119" s="81">
        <v>27074</v>
      </c>
      <c r="O119" s="82">
        <v>0</v>
      </c>
      <c r="P119" s="82">
        <v>4.3851635892452219</v>
      </c>
      <c r="Q119" s="82">
        <v>4.3851635892452219</v>
      </c>
    </row>
    <row r="120" spans="1:17" ht="15.75" thickBot="1" x14ac:dyDescent="0.3">
      <c r="A120" s="79" t="s">
        <v>560</v>
      </c>
      <c r="B120" s="80" t="s">
        <v>559</v>
      </c>
      <c r="C120" s="79" t="s">
        <v>17</v>
      </c>
      <c r="D120" s="81">
        <v>5305</v>
      </c>
      <c r="E120" s="81">
        <v>16516</v>
      </c>
      <c r="F120" s="81">
        <v>403</v>
      </c>
      <c r="G120" s="81">
        <v>1556</v>
      </c>
      <c r="H120" s="81">
        <v>50</v>
      </c>
      <c r="I120" s="81">
        <v>0</v>
      </c>
      <c r="J120" s="81">
        <v>7718</v>
      </c>
      <c r="K120" s="81">
        <v>3184</v>
      </c>
      <c r="L120" s="81">
        <v>0</v>
      </c>
      <c r="M120" s="81">
        <v>10902</v>
      </c>
      <c r="N120" s="81">
        <v>29377</v>
      </c>
      <c r="O120" s="82">
        <v>2.055042412818096</v>
      </c>
      <c r="P120" s="82">
        <v>3.4825636192271441</v>
      </c>
      <c r="Q120" s="82">
        <v>5.5376060320452405</v>
      </c>
    </row>
    <row r="121" spans="1:17" ht="15.75" thickBot="1" x14ac:dyDescent="0.3">
      <c r="A121" s="79" t="s">
        <v>566</v>
      </c>
      <c r="B121" s="80" t="s">
        <v>565</v>
      </c>
      <c r="C121" s="79" t="s">
        <v>17</v>
      </c>
      <c r="D121" s="81">
        <v>6341</v>
      </c>
      <c r="E121" s="81">
        <v>31200</v>
      </c>
      <c r="F121" s="81">
        <v>625</v>
      </c>
      <c r="G121" s="81">
        <v>5645</v>
      </c>
      <c r="H121" s="81">
        <v>18</v>
      </c>
      <c r="I121" s="81">
        <v>1</v>
      </c>
      <c r="J121" s="81">
        <v>375</v>
      </c>
      <c r="K121" s="81">
        <v>0</v>
      </c>
      <c r="L121" s="81">
        <v>0</v>
      </c>
      <c r="M121" s="81">
        <v>375</v>
      </c>
      <c r="N121" s="81">
        <v>37863</v>
      </c>
      <c r="O121" s="82">
        <v>5.9138937076170954E-2</v>
      </c>
      <c r="P121" s="82">
        <v>5.9091625926510014</v>
      </c>
      <c r="Q121" s="82">
        <v>5.9711401987068289</v>
      </c>
    </row>
    <row r="122" spans="1:17" ht="15.75" thickBot="1" x14ac:dyDescent="0.3">
      <c r="A122" s="79" t="s">
        <v>572</v>
      </c>
      <c r="B122" s="80" t="s">
        <v>571</v>
      </c>
      <c r="C122" s="79" t="s">
        <v>17</v>
      </c>
      <c r="D122" s="81">
        <v>5433</v>
      </c>
      <c r="E122" s="81">
        <v>15519</v>
      </c>
      <c r="F122" s="81">
        <v>733</v>
      </c>
      <c r="G122" s="81">
        <v>1627</v>
      </c>
      <c r="H122" s="81">
        <v>46</v>
      </c>
      <c r="I122" s="81">
        <v>15</v>
      </c>
      <c r="J122" s="81">
        <v>0</v>
      </c>
      <c r="K122" s="81">
        <v>0</v>
      </c>
      <c r="L122" s="81">
        <v>0</v>
      </c>
      <c r="M122" s="81">
        <v>0</v>
      </c>
      <c r="N122" s="81">
        <v>17879</v>
      </c>
      <c r="O122" s="82">
        <v>0</v>
      </c>
      <c r="P122" s="82">
        <v>3.2908153874470827</v>
      </c>
      <c r="Q122" s="82">
        <v>3.2908153874470827</v>
      </c>
    </row>
    <row r="123" spans="1:17" ht="15.75" thickBot="1" x14ac:dyDescent="0.3">
      <c r="A123" s="79" t="s">
        <v>582</v>
      </c>
      <c r="B123" s="80" t="s">
        <v>581</v>
      </c>
      <c r="C123" s="79" t="s">
        <v>17</v>
      </c>
      <c r="D123" s="81">
        <v>6654</v>
      </c>
      <c r="E123" s="81">
        <v>29181</v>
      </c>
      <c r="F123" s="81">
        <v>1288</v>
      </c>
      <c r="G123" s="81">
        <v>3710</v>
      </c>
      <c r="H123" s="81">
        <v>63</v>
      </c>
      <c r="I123" s="81">
        <v>3</v>
      </c>
      <c r="J123" s="81">
        <v>4500</v>
      </c>
      <c r="K123" s="81">
        <v>5000</v>
      </c>
      <c r="L123" s="81">
        <v>0</v>
      </c>
      <c r="M123" s="81">
        <v>9500</v>
      </c>
      <c r="N123" s="81">
        <v>43742</v>
      </c>
      <c r="O123" s="82">
        <v>1.427712654042681</v>
      </c>
      <c r="P123" s="82">
        <v>5.1366095581605054</v>
      </c>
      <c r="Q123" s="82">
        <v>6.5737902013826268</v>
      </c>
    </row>
    <row r="124" spans="1:17" ht="15.75" thickBot="1" x14ac:dyDescent="0.3">
      <c r="A124" s="79" t="s">
        <v>586</v>
      </c>
      <c r="B124" s="80" t="s">
        <v>585</v>
      </c>
      <c r="C124" s="79" t="s">
        <v>17</v>
      </c>
      <c r="D124" s="81">
        <v>4105</v>
      </c>
      <c r="E124" s="81">
        <v>18846</v>
      </c>
      <c r="F124" s="81">
        <v>417</v>
      </c>
      <c r="G124" s="81">
        <v>781</v>
      </c>
      <c r="H124" s="81">
        <v>26</v>
      </c>
      <c r="I124" s="81">
        <v>0</v>
      </c>
      <c r="J124" s="81">
        <v>525</v>
      </c>
      <c r="K124" s="81">
        <v>623</v>
      </c>
      <c r="L124" s="81">
        <v>0</v>
      </c>
      <c r="M124" s="81">
        <v>1148</v>
      </c>
      <c r="N124" s="81">
        <v>21192</v>
      </c>
      <c r="O124" s="82">
        <v>0.27965895249695494</v>
      </c>
      <c r="P124" s="82">
        <v>4.8828258221680878</v>
      </c>
      <c r="Q124" s="82">
        <v>5.1624847746650424</v>
      </c>
    </row>
    <row r="125" spans="1:17" ht="15.75" thickBot="1" x14ac:dyDescent="0.3">
      <c r="A125" s="79" t="s">
        <v>592</v>
      </c>
      <c r="B125" s="80" t="s">
        <v>591</v>
      </c>
      <c r="C125" s="79" t="s">
        <v>17</v>
      </c>
      <c r="D125" s="81">
        <v>5033</v>
      </c>
      <c r="E125" s="81">
        <v>20000</v>
      </c>
      <c r="F125" s="81">
        <v>600</v>
      </c>
      <c r="G125" s="81">
        <v>3500</v>
      </c>
      <c r="H125" s="81">
        <v>65</v>
      </c>
      <c r="I125" s="81">
        <v>0</v>
      </c>
      <c r="J125" s="81">
        <v>9000</v>
      </c>
      <c r="K125" s="81">
        <v>2500</v>
      </c>
      <c r="L125" s="81">
        <v>0</v>
      </c>
      <c r="M125" s="81">
        <v>11500</v>
      </c>
      <c r="N125" s="81">
        <v>35600</v>
      </c>
      <c r="O125" s="82">
        <v>2.2849195310947743</v>
      </c>
      <c r="P125" s="82">
        <v>4.7883965825551362</v>
      </c>
      <c r="Q125" s="82">
        <v>7.073316113649911</v>
      </c>
    </row>
    <row r="126" spans="1:17" ht="15.75" thickBot="1" x14ac:dyDescent="0.3">
      <c r="A126" s="79" t="s">
        <v>600</v>
      </c>
      <c r="B126" s="80" t="s">
        <v>599</v>
      </c>
      <c r="C126" s="79" t="s">
        <v>17</v>
      </c>
      <c r="D126" s="81">
        <v>5413</v>
      </c>
      <c r="E126" s="81">
        <v>17924</v>
      </c>
      <c r="F126" s="81">
        <v>537</v>
      </c>
      <c r="G126" s="81">
        <v>713</v>
      </c>
      <c r="H126" s="81">
        <v>4</v>
      </c>
      <c r="I126" s="81">
        <v>5</v>
      </c>
      <c r="J126" s="81">
        <v>19353</v>
      </c>
      <c r="K126" s="81">
        <v>7110</v>
      </c>
      <c r="L126" s="81">
        <v>0</v>
      </c>
      <c r="M126" s="81">
        <v>26463</v>
      </c>
      <c r="N126" s="81">
        <v>45637</v>
      </c>
      <c r="O126" s="82">
        <v>4.8887862553112873</v>
      </c>
      <c r="P126" s="82">
        <v>3.5422131904673932</v>
      </c>
      <c r="Q126" s="82">
        <v>8.4309994457786814</v>
      </c>
    </row>
    <row r="127" spans="1:17" ht="15.75" thickBot="1" x14ac:dyDescent="0.3">
      <c r="A127" s="79" t="s">
        <v>606</v>
      </c>
      <c r="B127" s="80" t="s">
        <v>605</v>
      </c>
      <c r="C127" s="79" t="s">
        <v>17</v>
      </c>
      <c r="D127" s="81">
        <v>6847</v>
      </c>
      <c r="E127" s="81">
        <v>15488</v>
      </c>
      <c r="F127" s="81">
        <v>218</v>
      </c>
      <c r="G127" s="81">
        <v>901</v>
      </c>
      <c r="H127" s="81">
        <v>3</v>
      </c>
      <c r="I127" s="81">
        <v>1</v>
      </c>
      <c r="J127" s="81">
        <v>24788</v>
      </c>
      <c r="K127" s="81">
        <v>6113</v>
      </c>
      <c r="L127" s="81">
        <v>0</v>
      </c>
      <c r="M127" s="81">
        <v>30901</v>
      </c>
      <c r="N127" s="81">
        <v>47508</v>
      </c>
      <c r="O127" s="82">
        <v>4.5130714181393312</v>
      </c>
      <c r="P127" s="82">
        <v>2.4254417993281727</v>
      </c>
      <c r="Q127" s="82">
        <v>6.9385132174675039</v>
      </c>
    </row>
    <row r="128" spans="1:17" ht="15.75" thickBot="1" x14ac:dyDescent="0.3">
      <c r="A128" s="79" t="s">
        <v>608</v>
      </c>
      <c r="B128" s="80" t="s">
        <v>607</v>
      </c>
      <c r="C128" s="79" t="s">
        <v>17</v>
      </c>
      <c r="D128" s="81">
        <v>6240</v>
      </c>
      <c r="E128" s="81">
        <v>22619</v>
      </c>
      <c r="F128" s="81">
        <v>1667</v>
      </c>
      <c r="G128" s="81">
        <v>810</v>
      </c>
      <c r="H128" s="81">
        <v>24</v>
      </c>
      <c r="I128" s="81">
        <v>2</v>
      </c>
      <c r="J128" s="81">
        <v>20744</v>
      </c>
      <c r="K128" s="81">
        <v>4602</v>
      </c>
      <c r="L128" s="81">
        <v>0</v>
      </c>
      <c r="M128" s="81">
        <v>25346</v>
      </c>
      <c r="N128" s="81">
        <v>50466</v>
      </c>
      <c r="O128" s="82">
        <v>4.0618589743589739</v>
      </c>
      <c r="P128" s="82">
        <v>4.0217948717948717</v>
      </c>
      <c r="Q128" s="82">
        <v>8.0875000000000004</v>
      </c>
    </row>
    <row r="129" spans="1:17" ht="15.75" thickBot="1" x14ac:dyDescent="0.3">
      <c r="A129" s="79" t="s">
        <v>614</v>
      </c>
      <c r="B129" s="80" t="s">
        <v>613</v>
      </c>
      <c r="C129" s="79" t="s">
        <v>17</v>
      </c>
      <c r="D129" s="81">
        <v>5376</v>
      </c>
      <c r="E129" s="81">
        <v>12415</v>
      </c>
      <c r="F129" s="81">
        <v>915</v>
      </c>
      <c r="G129" s="81">
        <v>995</v>
      </c>
      <c r="H129" s="81">
        <v>35</v>
      </c>
      <c r="I129" s="81">
        <v>2</v>
      </c>
      <c r="J129" s="81">
        <v>18052</v>
      </c>
      <c r="K129" s="81">
        <v>4151</v>
      </c>
      <c r="L129" s="81">
        <v>0</v>
      </c>
      <c r="M129" s="81">
        <v>22203</v>
      </c>
      <c r="N129" s="81">
        <v>36563</v>
      </c>
      <c r="O129" s="82">
        <v>4.1300223214285712</v>
      </c>
      <c r="P129" s="82">
        <v>2.6646205357142856</v>
      </c>
      <c r="Q129" s="82">
        <v>6.8011532738095237</v>
      </c>
    </row>
    <row r="130" spans="1:17" ht="15.75" thickBot="1" x14ac:dyDescent="0.3">
      <c r="A130" s="79" t="s">
        <v>620</v>
      </c>
      <c r="B130" s="80" t="s">
        <v>619</v>
      </c>
      <c r="C130" s="79" t="s">
        <v>17</v>
      </c>
      <c r="D130" s="81">
        <v>5523</v>
      </c>
      <c r="E130" s="81">
        <v>23126</v>
      </c>
      <c r="F130" s="81">
        <v>627</v>
      </c>
      <c r="G130" s="81">
        <v>1099</v>
      </c>
      <c r="H130" s="81">
        <v>28</v>
      </c>
      <c r="I130" s="81">
        <v>1</v>
      </c>
      <c r="J130" s="81">
        <v>14136</v>
      </c>
      <c r="K130" s="81">
        <v>4108</v>
      </c>
      <c r="L130" s="81">
        <v>0</v>
      </c>
      <c r="M130" s="81">
        <v>18244</v>
      </c>
      <c r="N130" s="81">
        <v>43124</v>
      </c>
      <c r="O130" s="82">
        <v>3.3032772044178889</v>
      </c>
      <c r="P130" s="82">
        <v>4.499728408473656</v>
      </c>
      <c r="Q130" s="82">
        <v>7.8080753213833063</v>
      </c>
    </row>
    <row r="131" spans="1:17" ht="15.75" thickBot="1" x14ac:dyDescent="0.3">
      <c r="A131" s="79" t="s">
        <v>632</v>
      </c>
      <c r="B131" s="80" t="s">
        <v>631</v>
      </c>
      <c r="C131" s="79" t="s">
        <v>17</v>
      </c>
      <c r="D131" s="81">
        <v>4659</v>
      </c>
      <c r="E131" s="81">
        <v>22774</v>
      </c>
      <c r="F131" s="81">
        <v>1123</v>
      </c>
      <c r="G131" s="81">
        <v>1857</v>
      </c>
      <c r="H131" s="81">
        <v>45</v>
      </c>
      <c r="I131" s="81">
        <v>1</v>
      </c>
      <c r="J131" s="81">
        <v>21132</v>
      </c>
      <c r="K131" s="81">
        <v>4879</v>
      </c>
      <c r="L131" s="81">
        <v>0</v>
      </c>
      <c r="M131" s="81">
        <v>26011</v>
      </c>
      <c r="N131" s="81">
        <v>51810</v>
      </c>
      <c r="O131" s="82">
        <v>5.5829577162481216</v>
      </c>
      <c r="P131" s="82">
        <v>5.5277956643056454</v>
      </c>
      <c r="Q131" s="82">
        <v>11.12041210560206</v>
      </c>
    </row>
    <row r="132" spans="1:17" ht="15.75" thickBot="1" x14ac:dyDescent="0.3">
      <c r="A132" s="79" t="s">
        <v>644</v>
      </c>
      <c r="B132" s="80" t="s">
        <v>643</v>
      </c>
      <c r="C132" s="79" t="s">
        <v>17</v>
      </c>
      <c r="D132" s="81">
        <v>6295</v>
      </c>
      <c r="E132" s="81">
        <v>63125</v>
      </c>
      <c r="F132" s="81">
        <v>1624</v>
      </c>
      <c r="G132" s="81">
        <v>7548</v>
      </c>
      <c r="H132" s="81">
        <v>50</v>
      </c>
      <c r="I132" s="81">
        <v>4</v>
      </c>
      <c r="J132" s="81">
        <v>8500</v>
      </c>
      <c r="K132" s="81">
        <v>4271</v>
      </c>
      <c r="L132" s="81">
        <v>0</v>
      </c>
      <c r="M132" s="81">
        <v>12771</v>
      </c>
      <c r="N132" s="81">
        <v>85068</v>
      </c>
      <c r="O132" s="82">
        <v>2.0287529785544081</v>
      </c>
      <c r="P132" s="82">
        <v>11.484829229547259</v>
      </c>
      <c r="Q132" s="82">
        <v>13.513582208101669</v>
      </c>
    </row>
    <row r="133" spans="1:17" ht="15.75" thickBot="1" x14ac:dyDescent="0.3">
      <c r="A133" s="79" t="s">
        <v>658</v>
      </c>
      <c r="B133" s="80" t="s">
        <v>657</v>
      </c>
      <c r="C133" s="79" t="s">
        <v>17</v>
      </c>
      <c r="D133" s="81">
        <v>4434</v>
      </c>
      <c r="E133" s="81">
        <v>23545</v>
      </c>
      <c r="F133" s="81">
        <v>881</v>
      </c>
      <c r="G133" s="81">
        <v>1175</v>
      </c>
      <c r="H133" s="81">
        <v>65</v>
      </c>
      <c r="I133" s="81">
        <v>4</v>
      </c>
      <c r="J133" s="81">
        <v>8466</v>
      </c>
      <c r="K133" s="81">
        <v>3967</v>
      </c>
      <c r="L133" s="81">
        <v>265</v>
      </c>
      <c r="M133" s="81">
        <v>12698</v>
      </c>
      <c r="N133" s="81">
        <v>38299</v>
      </c>
      <c r="O133" s="82">
        <v>2.8637798827244025</v>
      </c>
      <c r="P133" s="82">
        <v>5.7737934145241319</v>
      </c>
      <c r="Q133" s="82">
        <v>8.6375732972485348</v>
      </c>
    </row>
    <row r="134" spans="1:17" ht="15.75" thickBot="1" x14ac:dyDescent="0.3">
      <c r="A134" s="79" t="s">
        <v>668</v>
      </c>
      <c r="B134" s="80" t="s">
        <v>667</v>
      </c>
      <c r="C134" s="79" t="s">
        <v>17</v>
      </c>
      <c r="D134" s="81">
        <v>4375</v>
      </c>
      <c r="E134" s="81">
        <v>49033</v>
      </c>
      <c r="F134" s="81">
        <v>1366</v>
      </c>
      <c r="G134" s="81">
        <v>3781</v>
      </c>
      <c r="H134" s="81">
        <v>80</v>
      </c>
      <c r="I134" s="81">
        <v>1</v>
      </c>
      <c r="J134" s="81">
        <v>16505</v>
      </c>
      <c r="K134" s="81">
        <v>4459</v>
      </c>
      <c r="L134" s="81">
        <v>0</v>
      </c>
      <c r="M134" s="81">
        <v>20964</v>
      </c>
      <c r="N134" s="81">
        <v>75144</v>
      </c>
      <c r="O134" s="82">
        <v>4.7917714285714288</v>
      </c>
      <c r="P134" s="82">
        <v>12.384</v>
      </c>
      <c r="Q134" s="82">
        <v>17.17577142857143</v>
      </c>
    </row>
    <row r="135" spans="1:17" ht="15.75" thickBot="1" x14ac:dyDescent="0.3">
      <c r="A135" s="79" t="s">
        <v>672</v>
      </c>
      <c r="B135" s="80" t="s">
        <v>671</v>
      </c>
      <c r="C135" s="79" t="s">
        <v>17</v>
      </c>
      <c r="D135" s="81">
        <v>5101</v>
      </c>
      <c r="E135" s="81">
        <v>18945</v>
      </c>
      <c r="F135" s="81">
        <v>1302</v>
      </c>
      <c r="G135" s="81">
        <v>2902</v>
      </c>
      <c r="H135" s="81">
        <v>51</v>
      </c>
      <c r="I135" s="81">
        <v>11</v>
      </c>
      <c r="J135" s="81">
        <v>23090</v>
      </c>
      <c r="K135" s="81">
        <v>11762</v>
      </c>
      <c r="L135" s="81">
        <v>1737</v>
      </c>
      <c r="M135" s="81">
        <v>36589</v>
      </c>
      <c r="N135" s="81">
        <v>59789</v>
      </c>
      <c r="O135" s="82">
        <v>7.1729072730837089</v>
      </c>
      <c r="P135" s="82">
        <v>4.5381297784748087</v>
      </c>
      <c r="Q135" s="82">
        <v>11.721035091158596</v>
      </c>
    </row>
    <row r="136" spans="1:17" ht="15.75" thickBot="1" x14ac:dyDescent="0.3">
      <c r="A136" s="79" t="s">
        <v>678</v>
      </c>
      <c r="B136" s="80" t="s">
        <v>677</v>
      </c>
      <c r="C136" s="79" t="s">
        <v>17</v>
      </c>
      <c r="D136" s="81">
        <v>4038</v>
      </c>
      <c r="E136" s="81">
        <v>21133</v>
      </c>
      <c r="F136" s="81">
        <v>1094</v>
      </c>
      <c r="G136" s="81">
        <v>2710</v>
      </c>
      <c r="H136" s="81">
        <v>64</v>
      </c>
      <c r="I136" s="81">
        <v>5</v>
      </c>
      <c r="J136" s="81">
        <v>7596</v>
      </c>
      <c r="K136" s="81">
        <v>1500</v>
      </c>
      <c r="L136" s="81">
        <v>0</v>
      </c>
      <c r="M136" s="81">
        <v>9096</v>
      </c>
      <c r="N136" s="81">
        <v>34033</v>
      </c>
      <c r="O136" s="82">
        <v>2.2526002971768202</v>
      </c>
      <c r="P136" s="82">
        <v>6.1755819712729076</v>
      </c>
      <c r="Q136" s="82">
        <v>8.4281822684497278</v>
      </c>
    </row>
    <row r="137" spans="1:17" ht="15.75" thickBot="1" x14ac:dyDescent="0.3">
      <c r="A137" s="79" t="s">
        <v>686</v>
      </c>
      <c r="B137" s="80" t="s">
        <v>685</v>
      </c>
      <c r="C137" s="79" t="s">
        <v>17</v>
      </c>
      <c r="D137" s="81">
        <v>5635</v>
      </c>
      <c r="E137" s="81">
        <v>15574</v>
      </c>
      <c r="F137" s="81">
        <v>144</v>
      </c>
      <c r="G137" s="81">
        <v>2256</v>
      </c>
      <c r="H137" s="81">
        <v>52</v>
      </c>
      <c r="I137" s="81">
        <v>0</v>
      </c>
      <c r="J137" s="81">
        <v>20745</v>
      </c>
      <c r="K137" s="81">
        <v>4604</v>
      </c>
      <c r="L137" s="81">
        <v>0</v>
      </c>
      <c r="M137" s="81">
        <v>25349</v>
      </c>
      <c r="N137" s="81">
        <v>43323</v>
      </c>
      <c r="O137" s="82">
        <v>4.49849157054126</v>
      </c>
      <c r="P137" s="82">
        <v>3.189707187222715</v>
      </c>
      <c r="Q137" s="82">
        <v>7.688198757763975</v>
      </c>
    </row>
    <row r="138" spans="1:17" ht="15.75" thickBot="1" x14ac:dyDescent="0.3">
      <c r="A138" s="79" t="s">
        <v>708</v>
      </c>
      <c r="B138" s="80" t="s">
        <v>707</v>
      </c>
      <c r="C138" s="79" t="s">
        <v>17</v>
      </c>
      <c r="D138" s="81">
        <v>4046</v>
      </c>
      <c r="E138" s="81">
        <v>21069</v>
      </c>
      <c r="F138" s="81">
        <v>525</v>
      </c>
      <c r="G138" s="81">
        <v>1081</v>
      </c>
      <c r="H138" s="81">
        <v>85</v>
      </c>
      <c r="I138" s="81">
        <v>11</v>
      </c>
      <c r="J138" s="81">
        <v>35799</v>
      </c>
      <c r="K138" s="81">
        <v>9467</v>
      </c>
      <c r="L138" s="81">
        <v>7000</v>
      </c>
      <c r="M138" s="81">
        <v>52266</v>
      </c>
      <c r="N138" s="81">
        <v>74941</v>
      </c>
      <c r="O138" s="82">
        <v>12.917943648047455</v>
      </c>
      <c r="P138" s="82">
        <v>5.6043005437469109</v>
      </c>
      <c r="Q138" s="82">
        <v>18.522244191794364</v>
      </c>
    </row>
    <row r="139" spans="1:17" ht="15.75" thickBot="1" x14ac:dyDescent="0.3">
      <c r="A139" s="79" t="s">
        <v>720</v>
      </c>
      <c r="B139" s="80" t="s">
        <v>719</v>
      </c>
      <c r="C139" s="79" t="s">
        <v>17</v>
      </c>
      <c r="D139" s="81">
        <v>5479</v>
      </c>
      <c r="E139" s="81">
        <v>19525</v>
      </c>
      <c r="F139" s="81">
        <v>1761</v>
      </c>
      <c r="G139" s="81">
        <v>1799</v>
      </c>
      <c r="H139" s="81">
        <v>62</v>
      </c>
      <c r="I139" s="81">
        <v>2</v>
      </c>
      <c r="J139" s="81">
        <v>23477</v>
      </c>
      <c r="K139" s="81">
        <v>3892</v>
      </c>
      <c r="L139" s="81">
        <v>134</v>
      </c>
      <c r="M139" s="81">
        <v>27503</v>
      </c>
      <c r="N139" s="81">
        <v>50588</v>
      </c>
      <c r="O139" s="82">
        <v>5.0197116262091619</v>
      </c>
      <c r="P139" s="82">
        <v>4.2133601022084326</v>
      </c>
      <c r="Q139" s="82">
        <v>9.2330717284175936</v>
      </c>
    </row>
    <row r="140" spans="1:17" ht="15.75" thickBot="1" x14ac:dyDescent="0.3">
      <c r="A140" s="79" t="s">
        <v>728</v>
      </c>
      <c r="B140" s="80" t="s">
        <v>727</v>
      </c>
      <c r="C140" s="79" t="s">
        <v>17</v>
      </c>
      <c r="D140" s="81">
        <v>6680</v>
      </c>
      <c r="E140" s="81">
        <v>20145</v>
      </c>
      <c r="F140" s="81">
        <v>850</v>
      </c>
      <c r="G140" s="81">
        <v>650</v>
      </c>
      <c r="H140" s="81">
        <v>18</v>
      </c>
      <c r="I140" s="81">
        <v>1</v>
      </c>
      <c r="J140" s="81">
        <v>0</v>
      </c>
      <c r="K140" s="81">
        <v>0</v>
      </c>
      <c r="L140" s="81">
        <v>0</v>
      </c>
      <c r="M140" s="81">
        <v>0</v>
      </c>
      <c r="N140" s="81">
        <v>21663</v>
      </c>
      <c r="O140" s="82">
        <v>0</v>
      </c>
      <c r="P140" s="82">
        <v>3.2402694610778444</v>
      </c>
      <c r="Q140" s="82">
        <v>3.2429640718562873</v>
      </c>
    </row>
    <row r="141" spans="1:17" ht="15.75" thickBot="1" x14ac:dyDescent="0.3">
      <c r="A141" s="79" t="s">
        <v>736</v>
      </c>
      <c r="B141" s="80" t="s">
        <v>735</v>
      </c>
      <c r="C141" s="79" t="s">
        <v>17</v>
      </c>
      <c r="D141" s="81">
        <v>6033</v>
      </c>
      <c r="E141" s="81">
        <v>29293</v>
      </c>
      <c r="F141" s="81">
        <v>2141</v>
      </c>
      <c r="G141" s="81">
        <v>2005</v>
      </c>
      <c r="H141" s="81">
        <v>3</v>
      </c>
      <c r="I141" s="81">
        <v>0</v>
      </c>
      <c r="J141" s="81">
        <v>18740</v>
      </c>
      <c r="K141" s="81">
        <v>4508</v>
      </c>
      <c r="L141" s="81">
        <v>2</v>
      </c>
      <c r="M141" s="81">
        <v>23250</v>
      </c>
      <c r="N141" s="81">
        <v>56692</v>
      </c>
      <c r="O141" s="82">
        <v>3.8538040775733466</v>
      </c>
      <c r="P141" s="82">
        <v>5.5426819161279628</v>
      </c>
      <c r="Q141" s="82">
        <v>9.3969832587435764</v>
      </c>
    </row>
    <row r="142" spans="1:17" ht="15.75" thickBot="1" x14ac:dyDescent="0.3">
      <c r="A142" s="79" t="s">
        <v>744</v>
      </c>
      <c r="B142" s="80" t="s">
        <v>743</v>
      </c>
      <c r="C142" s="79" t="s">
        <v>17</v>
      </c>
      <c r="D142" s="81">
        <v>4576</v>
      </c>
      <c r="E142" s="81">
        <v>22247</v>
      </c>
      <c r="F142" s="81">
        <v>953</v>
      </c>
      <c r="G142" s="81">
        <v>2655</v>
      </c>
      <c r="H142" s="81">
        <v>100</v>
      </c>
      <c r="I142" s="81">
        <v>2</v>
      </c>
      <c r="J142" s="81">
        <v>17752</v>
      </c>
      <c r="K142" s="81">
        <v>3074</v>
      </c>
      <c r="L142" s="81">
        <v>290</v>
      </c>
      <c r="M142" s="81">
        <v>21116</v>
      </c>
      <c r="N142" s="81">
        <v>46971</v>
      </c>
      <c r="O142" s="82">
        <v>4.6145104895104891</v>
      </c>
      <c r="P142" s="82">
        <v>5.6501311188811192</v>
      </c>
      <c r="Q142" s="82">
        <v>10.264641608391608</v>
      </c>
    </row>
    <row r="143" spans="1:17" ht="15.75" thickBot="1" x14ac:dyDescent="0.3">
      <c r="A143" s="79" t="s">
        <v>758</v>
      </c>
      <c r="B143" s="80" t="s">
        <v>757</v>
      </c>
      <c r="C143" s="79" t="s">
        <v>17</v>
      </c>
      <c r="D143" s="81">
        <v>4757</v>
      </c>
      <c r="E143" s="81">
        <v>17514</v>
      </c>
      <c r="F143" s="81">
        <v>576</v>
      </c>
      <c r="G143" s="81">
        <v>2849</v>
      </c>
      <c r="H143" s="81">
        <v>44</v>
      </c>
      <c r="I143" s="81">
        <v>6</v>
      </c>
      <c r="J143" s="81">
        <v>16174</v>
      </c>
      <c r="K143" s="81">
        <v>3040</v>
      </c>
      <c r="L143" s="81">
        <v>32</v>
      </c>
      <c r="M143" s="81">
        <v>19246</v>
      </c>
      <c r="N143" s="81">
        <v>40185</v>
      </c>
      <c r="O143" s="82">
        <v>4.0458272020180788</v>
      </c>
      <c r="P143" s="82">
        <v>4.4017237754887537</v>
      </c>
      <c r="Q143" s="82">
        <v>8.4475509775068325</v>
      </c>
    </row>
    <row r="144" spans="1:17" ht="15.75" thickBot="1" x14ac:dyDescent="0.3">
      <c r="A144" s="79" t="s">
        <v>764</v>
      </c>
      <c r="B144" s="80" t="s">
        <v>763</v>
      </c>
      <c r="C144" s="79" t="s">
        <v>17</v>
      </c>
      <c r="D144" s="81">
        <v>4614</v>
      </c>
      <c r="E144" s="81">
        <v>12884</v>
      </c>
      <c r="F144" s="81">
        <v>289</v>
      </c>
      <c r="G144" s="81">
        <v>250</v>
      </c>
      <c r="H144" s="81">
        <v>12</v>
      </c>
      <c r="I144" s="81">
        <v>1</v>
      </c>
      <c r="J144" s="81">
        <v>25535</v>
      </c>
      <c r="K144" s="81">
        <v>2876</v>
      </c>
      <c r="L144" s="81">
        <v>195</v>
      </c>
      <c r="M144" s="81">
        <v>28606</v>
      </c>
      <c r="N144" s="81">
        <v>42029</v>
      </c>
      <c r="O144" s="82">
        <v>6.1998266146510623</v>
      </c>
      <c r="P144" s="82">
        <v>2.9091894234937148</v>
      </c>
      <c r="Q144" s="82">
        <v>9.1090160381447767</v>
      </c>
    </row>
    <row r="145" spans="1:17" ht="15.75" thickBot="1" x14ac:dyDescent="0.3">
      <c r="A145" s="79" t="s">
        <v>774</v>
      </c>
      <c r="B145" s="80" t="s">
        <v>773</v>
      </c>
      <c r="C145" s="79" t="s">
        <v>17</v>
      </c>
      <c r="D145" s="81">
        <v>6999</v>
      </c>
      <c r="E145" s="81">
        <v>21571</v>
      </c>
      <c r="F145" s="81">
        <v>1084</v>
      </c>
      <c r="G145" s="81">
        <v>2937</v>
      </c>
      <c r="H145" s="81">
        <v>19</v>
      </c>
      <c r="I145" s="81">
        <v>0</v>
      </c>
      <c r="J145" s="81">
        <v>51558</v>
      </c>
      <c r="K145" s="81">
        <v>18624</v>
      </c>
      <c r="L145" s="81">
        <v>823</v>
      </c>
      <c r="M145" s="81">
        <v>71005</v>
      </c>
      <c r="N145" s="81">
        <v>96616</v>
      </c>
      <c r="O145" s="82">
        <v>10.145020717245322</v>
      </c>
      <c r="P145" s="82">
        <v>3.656522360337191</v>
      </c>
      <c r="Q145" s="82">
        <v>13.804257751107301</v>
      </c>
    </row>
    <row r="146" spans="1:17" ht="15.75" thickBot="1" x14ac:dyDescent="0.3">
      <c r="A146" s="79" t="s">
        <v>784</v>
      </c>
      <c r="B146" s="80" t="s">
        <v>783</v>
      </c>
      <c r="C146" s="79" t="s">
        <v>17</v>
      </c>
      <c r="D146" s="81">
        <v>4837</v>
      </c>
      <c r="E146" s="81">
        <v>26156</v>
      </c>
      <c r="F146" s="81">
        <v>886</v>
      </c>
      <c r="G146" s="81">
        <v>1883</v>
      </c>
      <c r="H146" s="81">
        <v>43</v>
      </c>
      <c r="I146" s="81">
        <v>1</v>
      </c>
      <c r="J146" s="81">
        <v>13050</v>
      </c>
      <c r="K146" s="81">
        <v>2927</v>
      </c>
      <c r="L146" s="81">
        <v>289</v>
      </c>
      <c r="M146" s="81">
        <v>16266</v>
      </c>
      <c r="N146" s="81">
        <v>45234</v>
      </c>
      <c r="O146" s="82">
        <v>3.362828199297085</v>
      </c>
      <c r="P146" s="82">
        <v>5.979946247674178</v>
      </c>
      <c r="Q146" s="82">
        <v>9.3516642547033282</v>
      </c>
    </row>
    <row r="147" spans="1:17" ht="15.75" thickBot="1" x14ac:dyDescent="0.3">
      <c r="A147" s="79" t="s">
        <v>802</v>
      </c>
      <c r="B147" s="80" t="s">
        <v>801</v>
      </c>
      <c r="C147" s="79" t="s">
        <v>17</v>
      </c>
      <c r="D147" s="81">
        <v>5240</v>
      </c>
      <c r="E147" s="81">
        <v>16901</v>
      </c>
      <c r="F147" s="81">
        <v>875</v>
      </c>
      <c r="G147" s="81">
        <v>747</v>
      </c>
      <c r="H147" s="81">
        <v>19</v>
      </c>
      <c r="I147" s="81">
        <v>0</v>
      </c>
      <c r="J147" s="81" t="s">
        <v>1624</v>
      </c>
      <c r="K147" s="81" t="s">
        <v>1624</v>
      </c>
      <c r="L147" s="81" t="s">
        <v>1624</v>
      </c>
      <c r="M147" s="81" t="s">
        <v>1624</v>
      </c>
      <c r="N147" s="81" t="s">
        <v>1625</v>
      </c>
      <c r="O147" s="81" t="s">
        <v>1625</v>
      </c>
      <c r="P147" s="82">
        <v>3.5349236641221373</v>
      </c>
      <c r="Q147" s="81" t="s">
        <v>1625</v>
      </c>
    </row>
    <row r="148" spans="1:17" ht="15.75" thickBot="1" x14ac:dyDescent="0.3">
      <c r="A148" s="79" t="s">
        <v>24</v>
      </c>
      <c r="B148" s="80" t="s">
        <v>23</v>
      </c>
      <c r="C148" s="79" t="s">
        <v>25</v>
      </c>
      <c r="D148" s="81">
        <v>7410</v>
      </c>
      <c r="E148" s="81">
        <v>28542</v>
      </c>
      <c r="F148" s="81">
        <v>401</v>
      </c>
      <c r="G148" s="81">
        <v>1478</v>
      </c>
      <c r="H148" s="81">
        <v>61</v>
      </c>
      <c r="I148" s="81">
        <v>2</v>
      </c>
      <c r="J148" s="81">
        <v>21233</v>
      </c>
      <c r="K148" s="81">
        <v>4965</v>
      </c>
      <c r="L148" s="81">
        <v>29750</v>
      </c>
      <c r="M148" s="81">
        <v>55948</v>
      </c>
      <c r="N148" s="81">
        <v>86430</v>
      </c>
      <c r="O148" s="82">
        <v>7.5503373819163295</v>
      </c>
      <c r="P148" s="82">
        <v>4.1053981106612687</v>
      </c>
      <c r="Q148" s="82">
        <v>11.663967611336032</v>
      </c>
    </row>
    <row r="149" spans="1:17" ht="15.75" thickBot="1" x14ac:dyDescent="0.3">
      <c r="A149" s="79" t="s">
        <v>27</v>
      </c>
      <c r="B149" s="80" t="s">
        <v>26</v>
      </c>
      <c r="C149" s="79" t="s">
        <v>25</v>
      </c>
      <c r="D149" s="81">
        <v>11600</v>
      </c>
      <c r="E149" s="81">
        <v>17431</v>
      </c>
      <c r="F149" s="81">
        <v>624</v>
      </c>
      <c r="G149" s="81">
        <v>823</v>
      </c>
      <c r="H149" s="81">
        <v>29</v>
      </c>
      <c r="I149" s="81">
        <v>0</v>
      </c>
      <c r="J149" s="81">
        <v>6701</v>
      </c>
      <c r="K149" s="81">
        <v>3867</v>
      </c>
      <c r="L149" s="81">
        <v>265</v>
      </c>
      <c r="M149" s="81">
        <v>10833</v>
      </c>
      <c r="N149" s="81">
        <v>29740</v>
      </c>
      <c r="O149" s="82">
        <v>0.93387931034482763</v>
      </c>
      <c r="P149" s="82">
        <v>1.6274137931034482</v>
      </c>
      <c r="Q149" s="82">
        <v>2.5637931034482757</v>
      </c>
    </row>
    <row r="150" spans="1:17" ht="15.75" thickBot="1" x14ac:dyDescent="0.3">
      <c r="A150" s="79" t="s">
        <v>29</v>
      </c>
      <c r="B150" s="80" t="s">
        <v>28</v>
      </c>
      <c r="C150" s="79" t="s">
        <v>25</v>
      </c>
      <c r="D150" s="81">
        <v>11569</v>
      </c>
      <c r="E150" s="81">
        <v>27244</v>
      </c>
      <c r="F150" s="81">
        <v>1528</v>
      </c>
      <c r="G150" s="81">
        <v>7952</v>
      </c>
      <c r="H150" s="81">
        <v>38</v>
      </c>
      <c r="I150" s="81">
        <v>0</v>
      </c>
      <c r="J150" s="81">
        <v>80992</v>
      </c>
      <c r="K150" s="81">
        <v>33937</v>
      </c>
      <c r="L150" s="81">
        <v>0</v>
      </c>
      <c r="M150" s="81">
        <v>114929</v>
      </c>
      <c r="N150" s="81">
        <v>151653</v>
      </c>
      <c r="O150" s="82">
        <v>9.9342207623822283</v>
      </c>
      <c r="P150" s="82">
        <v>3.1743452329501252</v>
      </c>
      <c r="Q150" s="82">
        <v>13.108565995332354</v>
      </c>
    </row>
    <row r="151" spans="1:17" ht="15.75" thickBot="1" x14ac:dyDescent="0.3">
      <c r="A151" s="79" t="s">
        <v>31</v>
      </c>
      <c r="B151" s="80" t="s">
        <v>30</v>
      </c>
      <c r="C151" s="79" t="s">
        <v>25</v>
      </c>
      <c r="D151" s="81">
        <v>9706</v>
      </c>
      <c r="E151" s="81">
        <v>44084</v>
      </c>
      <c r="F151" s="81">
        <v>2464</v>
      </c>
      <c r="G151" s="81">
        <v>3765</v>
      </c>
      <c r="H151" s="81">
        <v>31</v>
      </c>
      <c r="I151" s="81">
        <v>5</v>
      </c>
      <c r="J151" s="81">
        <v>15080</v>
      </c>
      <c r="K151" s="81">
        <v>2965</v>
      </c>
      <c r="L151" s="81">
        <v>753</v>
      </c>
      <c r="M151" s="81">
        <v>18798</v>
      </c>
      <c r="N151" s="81">
        <v>69111</v>
      </c>
      <c r="O151" s="82">
        <v>1.9367401607253245</v>
      </c>
      <c r="P151" s="82">
        <v>5.183700803626623</v>
      </c>
      <c r="Q151" s="82">
        <v>7.1204409643519471</v>
      </c>
    </row>
    <row r="152" spans="1:17" ht="15.75" thickBot="1" x14ac:dyDescent="0.3">
      <c r="A152" s="79" t="s">
        <v>43</v>
      </c>
      <c r="B152" s="80" t="s">
        <v>42</v>
      </c>
      <c r="C152" s="79" t="s">
        <v>25</v>
      </c>
      <c r="D152" s="81">
        <v>11902</v>
      </c>
      <c r="E152" s="81">
        <v>86945</v>
      </c>
      <c r="F152" s="81">
        <v>1397</v>
      </c>
      <c r="G152" s="81">
        <v>2633</v>
      </c>
      <c r="H152" s="81">
        <v>121</v>
      </c>
      <c r="I152" s="81">
        <v>5</v>
      </c>
      <c r="J152" s="81">
        <v>16451</v>
      </c>
      <c r="K152" s="81">
        <v>4218</v>
      </c>
      <c r="L152" s="81">
        <v>0</v>
      </c>
      <c r="M152" s="81">
        <v>20669</v>
      </c>
      <c r="N152" s="81">
        <v>111644</v>
      </c>
      <c r="O152" s="82">
        <v>1.7365988909426988</v>
      </c>
      <c r="P152" s="82">
        <v>7.6436733322130737</v>
      </c>
      <c r="Q152" s="82">
        <v>9.3802722231557727</v>
      </c>
    </row>
    <row r="153" spans="1:17" ht="15.75" thickBot="1" x14ac:dyDescent="0.3">
      <c r="A153" s="79" t="s">
        <v>51</v>
      </c>
      <c r="B153" s="80" t="s">
        <v>50</v>
      </c>
      <c r="C153" s="79" t="s">
        <v>25</v>
      </c>
      <c r="D153" s="81">
        <v>11000</v>
      </c>
      <c r="E153" s="81">
        <v>61599</v>
      </c>
      <c r="F153" s="81">
        <v>1447</v>
      </c>
      <c r="G153" s="81">
        <v>2163</v>
      </c>
      <c r="H153" s="81">
        <v>46</v>
      </c>
      <c r="I153" s="81">
        <v>0</v>
      </c>
      <c r="J153" s="81">
        <v>23826</v>
      </c>
      <c r="K153" s="81">
        <v>14492</v>
      </c>
      <c r="L153" s="81">
        <v>401</v>
      </c>
      <c r="M153" s="81">
        <v>38719</v>
      </c>
      <c r="N153" s="81">
        <v>103974</v>
      </c>
      <c r="O153" s="82">
        <v>3.5199090909090911</v>
      </c>
      <c r="P153" s="82">
        <v>5.9280909090909093</v>
      </c>
      <c r="Q153" s="82">
        <v>9.4521818181818187</v>
      </c>
    </row>
    <row r="154" spans="1:17" ht="15.75" thickBot="1" x14ac:dyDescent="0.3">
      <c r="A154" s="79" t="s">
        <v>66</v>
      </c>
      <c r="B154" s="80" t="s">
        <v>65</v>
      </c>
      <c r="C154" s="79" t="s">
        <v>25</v>
      </c>
      <c r="D154" s="81">
        <v>7172</v>
      </c>
      <c r="E154" s="81">
        <v>20407</v>
      </c>
      <c r="F154" s="81">
        <v>1311</v>
      </c>
      <c r="G154" s="81">
        <v>3242</v>
      </c>
      <c r="H154" s="81">
        <v>22</v>
      </c>
      <c r="I154" s="81">
        <v>3</v>
      </c>
      <c r="J154" s="81">
        <v>16549</v>
      </c>
      <c r="K154" s="81">
        <v>3438</v>
      </c>
      <c r="L154" s="81">
        <v>290</v>
      </c>
      <c r="M154" s="81">
        <v>20277</v>
      </c>
      <c r="N154" s="81">
        <v>45237</v>
      </c>
      <c r="O154" s="82">
        <v>2.8272448410485223</v>
      </c>
      <c r="P154" s="82">
        <v>3.4802007808142776</v>
      </c>
      <c r="Q154" s="82">
        <v>6.3074456218627999</v>
      </c>
    </row>
    <row r="155" spans="1:17" ht="15.75" thickBot="1" x14ac:dyDescent="0.3">
      <c r="A155" s="79" t="s">
        <v>76</v>
      </c>
      <c r="B155" s="80" t="s">
        <v>75</v>
      </c>
      <c r="C155" s="79" t="s">
        <v>25</v>
      </c>
      <c r="D155" s="81">
        <v>11598</v>
      </c>
      <c r="E155" s="81">
        <v>10382</v>
      </c>
      <c r="F155" s="81">
        <v>214</v>
      </c>
      <c r="G155" s="81">
        <v>1285</v>
      </c>
      <c r="H155" s="81">
        <v>17</v>
      </c>
      <c r="I155" s="81">
        <v>2</v>
      </c>
      <c r="J155" s="81">
        <v>0</v>
      </c>
      <c r="K155" s="81">
        <v>0</v>
      </c>
      <c r="L155" s="81">
        <v>0</v>
      </c>
      <c r="M155" s="81">
        <v>0</v>
      </c>
      <c r="N155" s="81">
        <v>11881</v>
      </c>
      <c r="O155" s="82">
        <v>0</v>
      </c>
      <c r="P155" s="82">
        <v>1.0244007587515089</v>
      </c>
      <c r="Q155" s="82">
        <v>1.0244007587515089</v>
      </c>
    </row>
    <row r="156" spans="1:17" ht="15.75" thickBot="1" x14ac:dyDescent="0.3">
      <c r="A156" s="79" t="s">
        <v>96</v>
      </c>
      <c r="B156" s="80" t="s">
        <v>95</v>
      </c>
      <c r="C156" s="79" t="s">
        <v>25</v>
      </c>
      <c r="D156" s="81">
        <v>9197</v>
      </c>
      <c r="E156" s="81">
        <v>45809</v>
      </c>
      <c r="F156" s="81">
        <v>4524</v>
      </c>
      <c r="G156" s="81">
        <v>2876</v>
      </c>
      <c r="H156" s="81">
        <v>88</v>
      </c>
      <c r="I156" s="81">
        <v>0</v>
      </c>
      <c r="J156" s="81">
        <v>17606</v>
      </c>
      <c r="K156" s="81">
        <v>3985</v>
      </c>
      <c r="L156" s="81">
        <v>371</v>
      </c>
      <c r="M156" s="81">
        <v>21962</v>
      </c>
      <c r="N156" s="81">
        <v>75259</v>
      </c>
      <c r="O156" s="82">
        <v>2.3879525932369252</v>
      </c>
      <c r="P156" s="82">
        <v>5.7854735239752095</v>
      </c>
      <c r="Q156" s="82">
        <v>8.1829944547134943</v>
      </c>
    </row>
    <row r="157" spans="1:17" ht="15.75" thickBot="1" x14ac:dyDescent="0.3">
      <c r="A157" s="79" t="s">
        <v>106</v>
      </c>
      <c r="B157" s="80" t="s">
        <v>105</v>
      </c>
      <c r="C157" s="79" t="s">
        <v>25</v>
      </c>
      <c r="D157" s="81">
        <v>11825</v>
      </c>
      <c r="E157" s="81">
        <v>64464</v>
      </c>
      <c r="F157" s="81">
        <v>6090</v>
      </c>
      <c r="G157" s="81">
        <v>6198</v>
      </c>
      <c r="H157" s="81">
        <v>94</v>
      </c>
      <c r="I157" s="81">
        <v>1</v>
      </c>
      <c r="J157" s="81">
        <v>21600</v>
      </c>
      <c r="K157" s="81">
        <v>7635</v>
      </c>
      <c r="L157" s="81">
        <v>814</v>
      </c>
      <c r="M157" s="81">
        <v>30049</v>
      </c>
      <c r="N157" s="81">
        <v>106895</v>
      </c>
      <c r="O157" s="82">
        <v>2.5411416490486256</v>
      </c>
      <c r="P157" s="82">
        <v>6.4906553911205078</v>
      </c>
      <c r="Q157" s="82">
        <v>9.0397463002114158</v>
      </c>
    </row>
    <row r="158" spans="1:17" ht="15.75" thickBot="1" x14ac:dyDescent="0.3">
      <c r="A158" s="79" t="s">
        <v>110</v>
      </c>
      <c r="B158" s="80" t="s">
        <v>109</v>
      </c>
      <c r="C158" s="79" t="s">
        <v>25</v>
      </c>
      <c r="D158" s="81">
        <v>7226</v>
      </c>
      <c r="E158" s="81">
        <v>31172</v>
      </c>
      <c r="F158" s="81">
        <v>1267</v>
      </c>
      <c r="G158" s="81">
        <v>2284</v>
      </c>
      <c r="H158" s="81">
        <v>40</v>
      </c>
      <c r="I158" s="81">
        <v>5</v>
      </c>
      <c r="J158" s="81">
        <v>35489</v>
      </c>
      <c r="K158" s="81">
        <v>5600</v>
      </c>
      <c r="L158" s="81">
        <v>412</v>
      </c>
      <c r="M158" s="81">
        <v>41501</v>
      </c>
      <c r="N158" s="81">
        <v>76224</v>
      </c>
      <c r="O158" s="82">
        <v>5.7432881262109055</v>
      </c>
      <c r="P158" s="82">
        <v>4.8052864655411014</v>
      </c>
      <c r="Q158" s="82">
        <v>10.548574591752006</v>
      </c>
    </row>
    <row r="159" spans="1:17" ht="15.75" thickBot="1" x14ac:dyDescent="0.3">
      <c r="A159" s="79" t="s">
        <v>128</v>
      </c>
      <c r="B159" s="80" t="s">
        <v>127</v>
      </c>
      <c r="C159" s="79" t="s">
        <v>25</v>
      </c>
      <c r="D159" s="81">
        <v>10090</v>
      </c>
      <c r="E159" s="81">
        <v>39662</v>
      </c>
      <c r="F159" s="81">
        <v>1496</v>
      </c>
      <c r="G159" s="81">
        <v>3648</v>
      </c>
      <c r="H159" s="81">
        <v>82</v>
      </c>
      <c r="I159" s="81">
        <v>3</v>
      </c>
      <c r="J159" s="81">
        <v>17062</v>
      </c>
      <c r="K159" s="81">
        <v>3879</v>
      </c>
      <c r="L159" s="81">
        <v>290</v>
      </c>
      <c r="M159" s="81">
        <v>21231</v>
      </c>
      <c r="N159" s="81">
        <v>66037</v>
      </c>
      <c r="O159" s="82">
        <v>2.1041625371655104</v>
      </c>
      <c r="P159" s="82">
        <v>4.4406342913776014</v>
      </c>
      <c r="Q159" s="82">
        <v>6.5447968285431122</v>
      </c>
    </row>
    <row r="160" spans="1:17" ht="15.75" thickBot="1" x14ac:dyDescent="0.3">
      <c r="A160" s="79" t="s">
        <v>130</v>
      </c>
      <c r="B160" s="80" t="s">
        <v>129</v>
      </c>
      <c r="C160" s="79" t="s">
        <v>25</v>
      </c>
      <c r="D160" s="81">
        <v>9705</v>
      </c>
      <c r="E160" s="81">
        <v>33812</v>
      </c>
      <c r="F160" s="81">
        <v>1028</v>
      </c>
      <c r="G160" s="81">
        <v>2610</v>
      </c>
      <c r="H160" s="81">
        <v>62</v>
      </c>
      <c r="I160" s="81">
        <v>0</v>
      </c>
      <c r="J160" s="81">
        <v>18523</v>
      </c>
      <c r="K160" s="81">
        <v>4415</v>
      </c>
      <c r="L160" s="81">
        <v>0</v>
      </c>
      <c r="M160" s="81">
        <v>22938</v>
      </c>
      <c r="N160" s="81">
        <v>60388</v>
      </c>
      <c r="O160" s="82">
        <v>2.3635239567233386</v>
      </c>
      <c r="P160" s="82">
        <v>3.8588356517259146</v>
      </c>
      <c r="Q160" s="82">
        <v>6.2223596084492527</v>
      </c>
    </row>
    <row r="161" spans="1:17" ht="15.75" thickBot="1" x14ac:dyDescent="0.3">
      <c r="A161" s="79" t="s">
        <v>136</v>
      </c>
      <c r="B161" s="80" t="s">
        <v>135</v>
      </c>
      <c r="C161" s="79" t="s">
        <v>25</v>
      </c>
      <c r="D161" s="81">
        <v>8692</v>
      </c>
      <c r="E161" s="81">
        <v>47276</v>
      </c>
      <c r="F161" s="81">
        <v>1961</v>
      </c>
      <c r="G161" s="81">
        <v>2147</v>
      </c>
      <c r="H161" s="81">
        <v>62</v>
      </c>
      <c r="I161" s="81">
        <v>5</v>
      </c>
      <c r="J161" s="81">
        <v>8825</v>
      </c>
      <c r="K161" s="81">
        <v>4309</v>
      </c>
      <c r="L161" s="81">
        <v>285</v>
      </c>
      <c r="M161" s="81">
        <v>13419</v>
      </c>
      <c r="N161" s="81">
        <v>64803</v>
      </c>
      <c r="O161" s="82">
        <v>1.5438334100322135</v>
      </c>
      <c r="P161" s="82">
        <v>5.9116428900138054</v>
      </c>
      <c r="Q161" s="82">
        <v>7.4554763000460191</v>
      </c>
    </row>
    <row r="162" spans="1:17" ht="15.75" thickBot="1" x14ac:dyDescent="0.3">
      <c r="A162" s="79" t="s">
        <v>144</v>
      </c>
      <c r="B162" s="80" t="s">
        <v>143</v>
      </c>
      <c r="C162" s="79" t="s">
        <v>25</v>
      </c>
      <c r="D162" s="81">
        <v>11833</v>
      </c>
      <c r="E162" s="81">
        <v>47559</v>
      </c>
      <c r="F162" s="81">
        <v>1428</v>
      </c>
      <c r="G162" s="81">
        <v>4545</v>
      </c>
      <c r="H162" s="81">
        <v>102</v>
      </c>
      <c r="I162" s="81">
        <v>4</v>
      </c>
      <c r="J162" s="81">
        <v>16505</v>
      </c>
      <c r="K162" s="81">
        <v>4459</v>
      </c>
      <c r="L162" s="81">
        <v>0</v>
      </c>
      <c r="M162" s="81">
        <v>20964</v>
      </c>
      <c r="N162" s="81">
        <v>74496</v>
      </c>
      <c r="O162" s="82">
        <v>1.7716555395926645</v>
      </c>
      <c r="P162" s="82">
        <v>4.5239584213639823</v>
      </c>
      <c r="Q162" s="82">
        <v>6.295613960956647</v>
      </c>
    </row>
    <row r="163" spans="1:17" ht="15.75" thickBot="1" x14ac:dyDescent="0.3">
      <c r="A163" s="79" t="s">
        <v>148</v>
      </c>
      <c r="B163" s="80" t="s">
        <v>147</v>
      </c>
      <c r="C163" s="79" t="s">
        <v>25</v>
      </c>
      <c r="D163" s="81">
        <v>10857</v>
      </c>
      <c r="E163" s="81">
        <v>43517</v>
      </c>
      <c r="F163" s="81">
        <v>1178</v>
      </c>
      <c r="G163" s="81">
        <v>1922</v>
      </c>
      <c r="H163" s="81">
        <v>66</v>
      </c>
      <c r="I163" s="81">
        <v>2</v>
      </c>
      <c r="J163" s="81">
        <v>17664</v>
      </c>
      <c r="K163" s="81">
        <v>24118</v>
      </c>
      <c r="L163" s="81">
        <v>0</v>
      </c>
      <c r="M163" s="81">
        <v>41782</v>
      </c>
      <c r="N163" s="81">
        <v>88465</v>
      </c>
      <c r="O163" s="82">
        <v>3.8483927420097634</v>
      </c>
      <c r="P163" s="82">
        <v>4.2937275490466984</v>
      </c>
      <c r="Q163" s="82">
        <v>8.1481993184120842</v>
      </c>
    </row>
    <row r="164" spans="1:17" ht="15.75" thickBot="1" x14ac:dyDescent="0.3">
      <c r="A164" s="79" t="s">
        <v>152</v>
      </c>
      <c r="B164" s="80" t="s">
        <v>151</v>
      </c>
      <c r="C164" s="79" t="s">
        <v>25</v>
      </c>
      <c r="D164" s="81">
        <v>9483</v>
      </c>
      <c r="E164" s="81">
        <v>24927</v>
      </c>
      <c r="F164" s="81">
        <v>789</v>
      </c>
      <c r="G164" s="81">
        <v>1060</v>
      </c>
      <c r="H164" s="81">
        <v>0</v>
      </c>
      <c r="I164" s="81">
        <v>1</v>
      </c>
      <c r="J164" s="81">
        <v>12373</v>
      </c>
      <c r="K164" s="81">
        <v>13076</v>
      </c>
      <c r="L164" s="81">
        <v>0</v>
      </c>
      <c r="M164" s="81">
        <v>25449</v>
      </c>
      <c r="N164" s="81">
        <v>52225</v>
      </c>
      <c r="O164" s="82">
        <v>2.6836444163239479</v>
      </c>
      <c r="P164" s="82">
        <v>2.8235790361699884</v>
      </c>
      <c r="Q164" s="82">
        <v>5.5072234524939363</v>
      </c>
    </row>
    <row r="165" spans="1:17" ht="15.75" thickBot="1" x14ac:dyDescent="0.3">
      <c r="A165" s="79" t="s">
        <v>154</v>
      </c>
      <c r="B165" s="80" t="s">
        <v>153</v>
      </c>
      <c r="C165" s="79" t="s">
        <v>25</v>
      </c>
      <c r="D165" s="81">
        <v>8257</v>
      </c>
      <c r="E165" s="81">
        <v>33082</v>
      </c>
      <c r="F165" s="81">
        <v>2023</v>
      </c>
      <c r="G165" s="81">
        <v>3229</v>
      </c>
      <c r="H165" s="81">
        <v>33</v>
      </c>
      <c r="I165" s="81">
        <v>10</v>
      </c>
      <c r="J165" s="81">
        <v>14802</v>
      </c>
      <c r="K165" s="81">
        <v>2630</v>
      </c>
      <c r="L165" s="81">
        <v>0</v>
      </c>
      <c r="M165" s="81">
        <v>17432</v>
      </c>
      <c r="N165" s="81">
        <v>55799</v>
      </c>
      <c r="O165" s="82">
        <v>2.1111783940898632</v>
      </c>
      <c r="P165" s="82">
        <v>4.6426062734649385</v>
      </c>
      <c r="Q165" s="82">
        <v>6.7577812764926728</v>
      </c>
    </row>
    <row r="166" spans="1:17" ht="15.75" thickBot="1" x14ac:dyDescent="0.3">
      <c r="A166" s="79" t="s">
        <v>160</v>
      </c>
      <c r="B166" s="80" t="s">
        <v>159</v>
      </c>
      <c r="C166" s="79" t="s">
        <v>25</v>
      </c>
      <c r="D166" s="81">
        <v>9810</v>
      </c>
      <c r="E166" s="81">
        <v>36946</v>
      </c>
      <c r="F166" s="81">
        <v>4363</v>
      </c>
      <c r="G166" s="81">
        <v>3971</v>
      </c>
      <c r="H166" s="81">
        <v>156</v>
      </c>
      <c r="I166" s="81">
        <v>6</v>
      </c>
      <c r="J166" s="81" t="s">
        <v>1624</v>
      </c>
      <c r="K166" s="81" t="s">
        <v>1624</v>
      </c>
      <c r="L166" s="81" t="s">
        <v>1624</v>
      </c>
      <c r="M166" s="81" t="s">
        <v>1624</v>
      </c>
      <c r="N166" s="81" t="s">
        <v>1625</v>
      </c>
      <c r="O166" s="81" t="s">
        <v>1625</v>
      </c>
      <c r="P166" s="82">
        <v>4.6156982670744142</v>
      </c>
      <c r="Q166" s="81" t="s">
        <v>1625</v>
      </c>
    </row>
    <row r="167" spans="1:17" ht="15.75" thickBot="1" x14ac:dyDescent="0.3">
      <c r="A167" s="79" t="s">
        <v>196</v>
      </c>
      <c r="B167" s="80" t="s">
        <v>195</v>
      </c>
      <c r="C167" s="79" t="s">
        <v>25</v>
      </c>
      <c r="D167" s="81">
        <v>11862</v>
      </c>
      <c r="E167" s="81">
        <v>33630</v>
      </c>
      <c r="F167" s="81">
        <v>1616</v>
      </c>
      <c r="G167" s="81">
        <v>2856</v>
      </c>
      <c r="H167" s="81">
        <v>47</v>
      </c>
      <c r="I167" s="81">
        <v>5</v>
      </c>
      <c r="J167" s="81">
        <v>36997</v>
      </c>
      <c r="K167" s="81">
        <v>50628</v>
      </c>
      <c r="L167" s="81">
        <v>20115</v>
      </c>
      <c r="M167" s="81">
        <v>107740</v>
      </c>
      <c r="N167" s="81">
        <v>145842</v>
      </c>
      <c r="O167" s="82">
        <v>9.0827853650311923</v>
      </c>
      <c r="P167" s="82">
        <v>3.2121058843365367</v>
      </c>
      <c r="Q167" s="82">
        <v>12.294891249367728</v>
      </c>
    </row>
    <row r="168" spans="1:17" ht="15.75" thickBot="1" x14ac:dyDescent="0.3">
      <c r="A168" s="79" t="s">
        <v>220</v>
      </c>
      <c r="B168" s="80" t="s">
        <v>219</v>
      </c>
      <c r="C168" s="79" t="s">
        <v>25</v>
      </c>
      <c r="D168" s="81">
        <v>10021</v>
      </c>
      <c r="E168" s="81">
        <v>27000</v>
      </c>
      <c r="F168" s="81">
        <v>1438</v>
      </c>
      <c r="G168" s="81">
        <v>2030</v>
      </c>
      <c r="H168" s="81">
        <v>0</v>
      </c>
      <c r="I168" s="81">
        <v>0</v>
      </c>
      <c r="J168" s="81">
        <v>0</v>
      </c>
      <c r="K168" s="81">
        <v>0</v>
      </c>
      <c r="L168" s="81">
        <v>0</v>
      </c>
      <c r="M168" s="81">
        <v>0</v>
      </c>
      <c r="N168" s="81">
        <v>30468</v>
      </c>
      <c r="O168" s="82">
        <v>0</v>
      </c>
      <c r="P168" s="82">
        <v>3.0404151282307157</v>
      </c>
      <c r="Q168" s="82">
        <v>3.0404151282307157</v>
      </c>
    </row>
    <row r="169" spans="1:17" ht="15.75" thickBot="1" x14ac:dyDescent="0.3">
      <c r="A169" s="79" t="s">
        <v>232</v>
      </c>
      <c r="B169" s="80" t="s">
        <v>231</v>
      </c>
      <c r="C169" s="79" t="s">
        <v>25</v>
      </c>
      <c r="D169" s="81">
        <v>7439</v>
      </c>
      <c r="E169" s="81">
        <v>22394</v>
      </c>
      <c r="F169" s="81">
        <v>772</v>
      </c>
      <c r="G169" s="81">
        <v>1391</v>
      </c>
      <c r="H169" s="81">
        <v>38</v>
      </c>
      <c r="I169" s="81">
        <v>5</v>
      </c>
      <c r="J169" s="81">
        <v>8507</v>
      </c>
      <c r="K169" s="81">
        <v>11740</v>
      </c>
      <c r="L169" s="81">
        <v>0</v>
      </c>
      <c r="M169" s="81">
        <v>20247</v>
      </c>
      <c r="N169" s="81">
        <v>44804</v>
      </c>
      <c r="O169" s="82">
        <v>2.7217367925796476</v>
      </c>
      <c r="P169" s="82">
        <v>3.3011157413630863</v>
      </c>
      <c r="Q169" s="82">
        <v>6.0228525339427339</v>
      </c>
    </row>
    <row r="170" spans="1:17" ht="15.75" thickBot="1" x14ac:dyDescent="0.3">
      <c r="A170" s="79" t="s">
        <v>246</v>
      </c>
      <c r="B170" s="80" t="s">
        <v>245</v>
      </c>
      <c r="C170" s="79" t="s">
        <v>25</v>
      </c>
      <c r="D170" s="81">
        <v>7392</v>
      </c>
      <c r="E170" s="81">
        <v>33975</v>
      </c>
      <c r="F170" s="81">
        <v>310</v>
      </c>
      <c r="G170" s="81">
        <v>1243</v>
      </c>
      <c r="H170" s="81">
        <v>28</v>
      </c>
      <c r="I170" s="81">
        <v>0</v>
      </c>
      <c r="J170" s="81">
        <v>17062</v>
      </c>
      <c r="K170" s="81">
        <v>3879</v>
      </c>
      <c r="L170" s="81">
        <v>290</v>
      </c>
      <c r="M170" s="81">
        <v>21231</v>
      </c>
      <c r="N170" s="81">
        <v>56759</v>
      </c>
      <c r="O170" s="82">
        <v>2.8721590909090908</v>
      </c>
      <c r="P170" s="82">
        <v>4.8062770562770565</v>
      </c>
      <c r="Q170" s="82">
        <v>7.6784361471861473</v>
      </c>
    </row>
    <row r="171" spans="1:17" ht="15.75" thickBot="1" x14ac:dyDescent="0.3">
      <c r="A171" s="79" t="s">
        <v>250</v>
      </c>
      <c r="B171" s="80" t="s">
        <v>249</v>
      </c>
      <c r="C171" s="79" t="s">
        <v>25</v>
      </c>
      <c r="D171" s="81">
        <v>9512</v>
      </c>
      <c r="E171" s="81">
        <v>30000</v>
      </c>
      <c r="F171" s="81">
        <v>451</v>
      </c>
      <c r="G171" s="81">
        <v>967</v>
      </c>
      <c r="H171" s="81">
        <v>21</v>
      </c>
      <c r="I171" s="81">
        <v>0</v>
      </c>
      <c r="J171" s="81">
        <v>0</v>
      </c>
      <c r="K171" s="81">
        <v>0</v>
      </c>
      <c r="L171" s="81">
        <v>0</v>
      </c>
      <c r="M171" s="81">
        <v>0</v>
      </c>
      <c r="N171" s="81">
        <v>31418</v>
      </c>
      <c r="O171" s="82">
        <v>0</v>
      </c>
      <c r="P171" s="82">
        <v>3.3029857022708158</v>
      </c>
      <c r="Q171" s="82">
        <v>3.3029857022708158</v>
      </c>
    </row>
    <row r="172" spans="1:17" ht="15.75" thickBot="1" x14ac:dyDescent="0.3">
      <c r="A172" s="79" t="s">
        <v>262</v>
      </c>
      <c r="B172" s="80" t="s">
        <v>261</v>
      </c>
      <c r="C172" s="79" t="s">
        <v>25</v>
      </c>
      <c r="D172" s="81">
        <v>7717</v>
      </c>
      <c r="E172" s="81">
        <v>37744</v>
      </c>
      <c r="F172" s="81">
        <v>1625</v>
      </c>
      <c r="G172" s="81">
        <v>36</v>
      </c>
      <c r="H172" s="81">
        <v>49</v>
      </c>
      <c r="I172" s="81">
        <v>0</v>
      </c>
      <c r="J172" s="81">
        <v>0</v>
      </c>
      <c r="K172" s="81">
        <v>0</v>
      </c>
      <c r="L172" s="81">
        <v>0</v>
      </c>
      <c r="M172" s="81">
        <v>0</v>
      </c>
      <c r="N172" s="81">
        <v>39405</v>
      </c>
      <c r="O172" s="82">
        <v>0</v>
      </c>
      <c r="P172" s="82">
        <v>5.1062589089024231</v>
      </c>
      <c r="Q172" s="82">
        <v>5.1062589089024231</v>
      </c>
    </row>
    <row r="173" spans="1:17" ht="15.75" thickBot="1" x14ac:dyDescent="0.3">
      <c r="A173" s="79" t="s">
        <v>284</v>
      </c>
      <c r="B173" s="80" t="s">
        <v>283</v>
      </c>
      <c r="C173" s="79" t="s">
        <v>25</v>
      </c>
      <c r="D173" s="81">
        <v>7824</v>
      </c>
      <c r="E173" s="81">
        <v>35008</v>
      </c>
      <c r="F173" s="81">
        <v>1399</v>
      </c>
      <c r="G173" s="81">
        <v>1147</v>
      </c>
      <c r="H173" s="81">
        <v>58</v>
      </c>
      <c r="I173" s="81">
        <v>3</v>
      </c>
      <c r="J173" s="81">
        <v>18522</v>
      </c>
      <c r="K173" s="81">
        <v>4415</v>
      </c>
      <c r="L173" s="81">
        <v>0</v>
      </c>
      <c r="M173" s="81">
        <v>22937</v>
      </c>
      <c r="N173" s="81">
        <v>60549</v>
      </c>
      <c r="O173" s="82">
        <v>2.931620654396728</v>
      </c>
      <c r="P173" s="82">
        <v>4.7998466257668708</v>
      </c>
      <c r="Q173" s="82">
        <v>7.7388803680981599</v>
      </c>
    </row>
    <row r="174" spans="1:17" ht="15.75" thickBot="1" x14ac:dyDescent="0.3">
      <c r="A174" s="79" t="s">
        <v>296</v>
      </c>
      <c r="B174" s="80" t="s">
        <v>295</v>
      </c>
      <c r="C174" s="79" t="s">
        <v>25</v>
      </c>
      <c r="D174" s="81">
        <v>9476</v>
      </c>
      <c r="E174" s="81">
        <v>21784</v>
      </c>
      <c r="F174" s="81">
        <v>614</v>
      </c>
      <c r="G174" s="81">
        <v>1218</v>
      </c>
      <c r="H174" s="81">
        <v>13</v>
      </c>
      <c r="I174" s="81">
        <v>0</v>
      </c>
      <c r="J174" s="81">
        <v>17382</v>
      </c>
      <c r="K174" s="81">
        <v>4238</v>
      </c>
      <c r="L174" s="81">
        <v>423</v>
      </c>
      <c r="M174" s="81">
        <v>22043</v>
      </c>
      <c r="N174" s="81">
        <v>45659</v>
      </c>
      <c r="O174" s="82">
        <v>2.3261924862811312</v>
      </c>
      <c r="P174" s="82">
        <v>2.4921907978049811</v>
      </c>
      <c r="Q174" s="82">
        <v>4.8183832840861127</v>
      </c>
    </row>
    <row r="175" spans="1:17" ht="15.75" thickBot="1" x14ac:dyDescent="0.3">
      <c r="A175" s="79" t="s">
        <v>302</v>
      </c>
      <c r="B175" s="80" t="s">
        <v>301</v>
      </c>
      <c r="C175" s="79" t="s">
        <v>25</v>
      </c>
      <c r="D175" s="81">
        <v>10983</v>
      </c>
      <c r="E175" s="81">
        <v>54828</v>
      </c>
      <c r="F175" s="81">
        <v>4870</v>
      </c>
      <c r="G175" s="81">
        <v>5082</v>
      </c>
      <c r="H175" s="81">
        <v>90</v>
      </c>
      <c r="I175" s="81">
        <v>3</v>
      </c>
      <c r="J175" s="81">
        <v>8832</v>
      </c>
      <c r="K175" s="81">
        <v>48313</v>
      </c>
      <c r="L175" s="81">
        <v>0</v>
      </c>
      <c r="M175" s="81">
        <v>57145</v>
      </c>
      <c r="N175" s="81">
        <v>121925</v>
      </c>
      <c r="O175" s="82">
        <v>5.2030410634617139</v>
      </c>
      <c r="P175" s="82">
        <v>5.8982063188564142</v>
      </c>
      <c r="Q175" s="82">
        <v>11.101247382318128</v>
      </c>
    </row>
    <row r="176" spans="1:17" ht="15.75" thickBot="1" x14ac:dyDescent="0.3">
      <c r="A176" s="79" t="s">
        <v>310</v>
      </c>
      <c r="B176" s="80" t="s">
        <v>309</v>
      </c>
      <c r="C176" s="79" t="s">
        <v>25</v>
      </c>
      <c r="D176" s="81">
        <v>11239</v>
      </c>
      <c r="E176" s="81">
        <v>43166</v>
      </c>
      <c r="F176" s="81">
        <v>1863</v>
      </c>
      <c r="G176" s="81">
        <v>788</v>
      </c>
      <c r="H176" s="81">
        <v>25</v>
      </c>
      <c r="I176" s="81">
        <v>1</v>
      </c>
      <c r="J176" s="81">
        <v>6690</v>
      </c>
      <c r="K176" s="81">
        <v>2899</v>
      </c>
      <c r="L176" s="81">
        <v>0</v>
      </c>
      <c r="M176" s="81">
        <v>9589</v>
      </c>
      <c r="N176" s="81">
        <v>55406</v>
      </c>
      <c r="O176" s="82">
        <v>0.85318978556811109</v>
      </c>
      <c r="P176" s="82">
        <v>4.0766082391671858</v>
      </c>
      <c r="Q176" s="82">
        <v>4.9297980247352964</v>
      </c>
    </row>
    <row r="177" spans="1:17" ht="15.75" thickBot="1" x14ac:dyDescent="0.3">
      <c r="A177" s="79" t="s">
        <v>324</v>
      </c>
      <c r="B177" s="80" t="s">
        <v>323</v>
      </c>
      <c r="C177" s="79" t="s">
        <v>25</v>
      </c>
      <c r="D177" s="81">
        <v>8875</v>
      </c>
      <c r="E177" s="81">
        <v>37064</v>
      </c>
      <c r="F177" s="81">
        <v>2991</v>
      </c>
      <c r="G177" s="81">
        <v>2818</v>
      </c>
      <c r="H177" s="81">
        <v>40</v>
      </c>
      <c r="I177" s="81">
        <v>5</v>
      </c>
      <c r="J177" s="81" t="s">
        <v>1624</v>
      </c>
      <c r="K177" s="81" t="s">
        <v>1624</v>
      </c>
      <c r="L177" s="81" t="s">
        <v>1624</v>
      </c>
      <c r="M177" s="81" t="s">
        <v>1624</v>
      </c>
      <c r="N177" s="81" t="s">
        <v>1625</v>
      </c>
      <c r="O177" s="81" t="s">
        <v>1625</v>
      </c>
      <c r="P177" s="82">
        <v>4.8307605633802817</v>
      </c>
      <c r="Q177" s="81" t="s">
        <v>1625</v>
      </c>
    </row>
    <row r="178" spans="1:17" ht="15.75" thickBot="1" x14ac:dyDescent="0.3">
      <c r="A178" s="79" t="s">
        <v>342</v>
      </c>
      <c r="B178" s="80" t="s">
        <v>341</v>
      </c>
      <c r="C178" s="79" t="s">
        <v>25</v>
      </c>
      <c r="D178" s="81">
        <v>8133</v>
      </c>
      <c r="E178" s="81">
        <v>23900</v>
      </c>
      <c r="F178" s="81">
        <v>3591</v>
      </c>
      <c r="G178" s="81">
        <v>1577</v>
      </c>
      <c r="H178" s="81">
        <v>102</v>
      </c>
      <c r="I178" s="81">
        <v>5</v>
      </c>
      <c r="J178" s="81">
        <v>26607</v>
      </c>
      <c r="K178" s="81">
        <v>41412</v>
      </c>
      <c r="L178" s="81">
        <v>137</v>
      </c>
      <c r="M178" s="81">
        <v>68156</v>
      </c>
      <c r="N178" s="81">
        <v>97224</v>
      </c>
      <c r="O178" s="82">
        <v>8.380179515553916</v>
      </c>
      <c r="P178" s="82">
        <v>3.574080904955121</v>
      </c>
      <c r="Q178" s="82">
        <v>11.954260420509037</v>
      </c>
    </row>
    <row r="179" spans="1:17" ht="15.75" thickBot="1" x14ac:dyDescent="0.3">
      <c r="A179" s="79" t="s">
        <v>350</v>
      </c>
      <c r="B179" s="80" t="s">
        <v>349</v>
      </c>
      <c r="C179" s="79" t="s">
        <v>25</v>
      </c>
      <c r="D179" s="81">
        <v>7135</v>
      </c>
      <c r="E179" s="81">
        <v>13466</v>
      </c>
      <c r="F179" s="81">
        <v>668</v>
      </c>
      <c r="G179" s="81">
        <v>2135</v>
      </c>
      <c r="H179" s="81">
        <v>35</v>
      </c>
      <c r="I179" s="81">
        <v>2</v>
      </c>
      <c r="J179" s="81">
        <v>8355</v>
      </c>
      <c r="K179" s="81">
        <v>11471</v>
      </c>
      <c r="L179" s="81">
        <v>0</v>
      </c>
      <c r="M179" s="81">
        <v>19826</v>
      </c>
      <c r="N179" s="81">
        <v>36095</v>
      </c>
      <c r="O179" s="82">
        <v>2.7786965662228451</v>
      </c>
      <c r="P179" s="82">
        <v>2.2801681850035038</v>
      </c>
      <c r="Q179" s="82">
        <v>5.0588647512263494</v>
      </c>
    </row>
    <row r="180" spans="1:17" ht="15.75" thickBot="1" x14ac:dyDescent="0.3">
      <c r="A180" s="79" t="s">
        <v>358</v>
      </c>
      <c r="B180" s="80" t="s">
        <v>357</v>
      </c>
      <c r="C180" s="79" t="s">
        <v>25</v>
      </c>
      <c r="D180" s="81">
        <v>11870</v>
      </c>
      <c r="E180" s="81">
        <v>47258</v>
      </c>
      <c r="F180" s="81">
        <v>1650</v>
      </c>
      <c r="G180" s="81">
        <v>1750</v>
      </c>
      <c r="H180" s="81">
        <v>45</v>
      </c>
      <c r="I180" s="81">
        <v>7</v>
      </c>
      <c r="J180" s="81">
        <v>36250</v>
      </c>
      <c r="K180" s="81">
        <v>4350</v>
      </c>
      <c r="L180" s="81">
        <v>0</v>
      </c>
      <c r="M180" s="81">
        <v>40600</v>
      </c>
      <c r="N180" s="81">
        <v>91258</v>
      </c>
      <c r="O180" s="82">
        <v>3.4203875315922492</v>
      </c>
      <c r="P180" s="82">
        <v>4.2677337826453243</v>
      </c>
      <c r="Q180" s="82">
        <v>7.6881213142375735</v>
      </c>
    </row>
    <row r="181" spans="1:17" ht="15.75" thickBot="1" x14ac:dyDescent="0.3">
      <c r="A181" s="79" t="s">
        <v>378</v>
      </c>
      <c r="B181" s="80" t="s">
        <v>377</v>
      </c>
      <c r="C181" s="79" t="s">
        <v>25</v>
      </c>
      <c r="D181" s="81">
        <v>8764</v>
      </c>
      <c r="E181" s="81">
        <v>36680</v>
      </c>
      <c r="F181" s="81">
        <v>2648</v>
      </c>
      <c r="G181" s="81">
        <v>2429</v>
      </c>
      <c r="H181" s="81">
        <v>100</v>
      </c>
      <c r="I181" s="81">
        <v>4</v>
      </c>
      <c r="J181" s="81" t="s">
        <v>1624</v>
      </c>
      <c r="K181" s="81" t="s">
        <v>1624</v>
      </c>
      <c r="L181" s="81" t="s">
        <v>1624</v>
      </c>
      <c r="M181" s="81" t="s">
        <v>1624</v>
      </c>
      <c r="N181" s="81" t="s">
        <v>1625</v>
      </c>
      <c r="O181" s="81" t="s">
        <v>1625</v>
      </c>
      <c r="P181" s="82">
        <v>4.7646052031036055</v>
      </c>
      <c r="Q181" s="81" t="s">
        <v>1625</v>
      </c>
    </row>
    <row r="182" spans="1:17" ht="15.75" thickBot="1" x14ac:dyDescent="0.3">
      <c r="A182" s="79" t="s">
        <v>410</v>
      </c>
      <c r="B182" s="80" t="s">
        <v>409</v>
      </c>
      <c r="C182" s="79" t="s">
        <v>25</v>
      </c>
      <c r="D182" s="81">
        <v>9555</v>
      </c>
      <c r="E182" s="81">
        <v>20500</v>
      </c>
      <c r="F182" s="81">
        <v>600</v>
      </c>
      <c r="G182" s="81">
        <v>2122</v>
      </c>
      <c r="H182" s="81">
        <v>24</v>
      </c>
      <c r="I182" s="81">
        <v>0</v>
      </c>
      <c r="J182" s="81">
        <v>25985</v>
      </c>
      <c r="K182" s="81">
        <v>2213</v>
      </c>
      <c r="L182" s="81">
        <v>184</v>
      </c>
      <c r="M182" s="81">
        <v>28382</v>
      </c>
      <c r="N182" s="81">
        <v>51604</v>
      </c>
      <c r="O182" s="82">
        <v>2.9703819989534277</v>
      </c>
      <c r="P182" s="82">
        <v>2.4303506017791734</v>
      </c>
      <c r="Q182" s="82">
        <v>5.4007326007326011</v>
      </c>
    </row>
    <row r="183" spans="1:17" ht="15.75" thickBot="1" x14ac:dyDescent="0.3">
      <c r="A183" s="79" t="s">
        <v>408</v>
      </c>
      <c r="B183" s="80" t="s">
        <v>407</v>
      </c>
      <c r="C183" s="79" t="s">
        <v>25</v>
      </c>
      <c r="D183" s="81">
        <v>9533</v>
      </c>
      <c r="E183" s="81">
        <v>23458</v>
      </c>
      <c r="F183" s="81">
        <v>1065</v>
      </c>
      <c r="G183" s="81">
        <v>1057</v>
      </c>
      <c r="H183" s="81">
        <v>29</v>
      </c>
      <c r="I183" s="81">
        <v>0</v>
      </c>
      <c r="J183" s="81">
        <v>8825</v>
      </c>
      <c r="K183" s="81">
        <v>4309</v>
      </c>
      <c r="L183" s="81">
        <v>285</v>
      </c>
      <c r="M183" s="81">
        <v>13419</v>
      </c>
      <c r="N183" s="81">
        <v>38999</v>
      </c>
      <c r="O183" s="82">
        <v>1.4076366306514214</v>
      </c>
      <c r="P183" s="82">
        <v>2.6833106052659184</v>
      </c>
      <c r="Q183" s="82">
        <v>4.0909472359173398</v>
      </c>
    </row>
    <row r="184" spans="1:17" ht="15.75" thickBot="1" x14ac:dyDescent="0.3">
      <c r="A184" s="79" t="s">
        <v>433</v>
      </c>
      <c r="B184" s="80" t="s">
        <v>432</v>
      </c>
      <c r="C184" s="79" t="s">
        <v>25</v>
      </c>
      <c r="D184" s="81">
        <v>10470</v>
      </c>
      <c r="E184" s="81">
        <v>23328</v>
      </c>
      <c r="F184" s="81">
        <v>1780</v>
      </c>
      <c r="G184" s="81">
        <v>3325</v>
      </c>
      <c r="H184" s="81">
        <v>18</v>
      </c>
      <c r="I184" s="81">
        <v>7</v>
      </c>
      <c r="J184" s="81">
        <v>1162</v>
      </c>
      <c r="K184" s="81">
        <v>0</v>
      </c>
      <c r="L184" s="81">
        <v>0</v>
      </c>
      <c r="M184" s="81">
        <v>1162</v>
      </c>
      <c r="N184" s="81">
        <v>29613</v>
      </c>
      <c r="O184" s="82">
        <v>0.11098376313276027</v>
      </c>
      <c r="P184" s="82">
        <v>2.7156638013371537</v>
      </c>
      <c r="Q184" s="82">
        <v>2.8283667621776503</v>
      </c>
    </row>
    <row r="185" spans="1:17" ht="15.75" thickBot="1" x14ac:dyDescent="0.3">
      <c r="A185" s="79" t="s">
        <v>446</v>
      </c>
      <c r="B185" s="80" t="s">
        <v>445</v>
      </c>
      <c r="C185" s="79" t="s">
        <v>25</v>
      </c>
      <c r="D185" s="81">
        <v>11581</v>
      </c>
      <c r="E185" s="81">
        <v>39112</v>
      </c>
      <c r="F185" s="81">
        <v>2707</v>
      </c>
      <c r="G185" s="81">
        <v>3265</v>
      </c>
      <c r="H185" s="81">
        <v>36</v>
      </c>
      <c r="I185" s="81">
        <v>0</v>
      </c>
      <c r="J185" s="81">
        <v>14942</v>
      </c>
      <c r="K185" s="81">
        <v>41289</v>
      </c>
      <c r="L185" s="81">
        <v>0</v>
      </c>
      <c r="M185" s="81">
        <v>56231</v>
      </c>
      <c r="N185" s="81">
        <v>101315</v>
      </c>
      <c r="O185" s="82">
        <v>4.855452896986443</v>
      </c>
      <c r="P185" s="82">
        <v>3.8929280718418098</v>
      </c>
      <c r="Q185" s="82">
        <v>8.7483809688282523</v>
      </c>
    </row>
    <row r="186" spans="1:17" ht="15.75" thickBot="1" x14ac:dyDescent="0.3">
      <c r="A186" s="79" t="s">
        <v>468</v>
      </c>
      <c r="B186" s="80" t="s">
        <v>467</v>
      </c>
      <c r="C186" s="79" t="s">
        <v>25</v>
      </c>
      <c r="D186" s="81">
        <v>7312</v>
      </c>
      <c r="E186" s="81">
        <v>31760</v>
      </c>
      <c r="F186" s="81">
        <v>1098</v>
      </c>
      <c r="G186" s="81">
        <v>4945</v>
      </c>
      <c r="H186" s="81">
        <v>35</v>
      </c>
      <c r="I186" s="81">
        <v>3</v>
      </c>
      <c r="J186" s="81">
        <v>21000</v>
      </c>
      <c r="K186" s="81">
        <v>24884</v>
      </c>
      <c r="L186" s="81">
        <v>12441</v>
      </c>
      <c r="M186" s="81">
        <v>58325</v>
      </c>
      <c r="N186" s="81">
        <v>96128</v>
      </c>
      <c r="O186" s="82">
        <v>7.9766137855579871</v>
      </c>
      <c r="P186" s="82">
        <v>5.1699945295404817</v>
      </c>
      <c r="Q186" s="82">
        <v>13.146608315098469</v>
      </c>
    </row>
    <row r="187" spans="1:17" ht="15.75" thickBot="1" x14ac:dyDescent="0.3">
      <c r="A187" s="79" t="s">
        <v>474</v>
      </c>
      <c r="B187" s="80" t="s">
        <v>473</v>
      </c>
      <c r="C187" s="79" t="s">
        <v>25</v>
      </c>
      <c r="D187" s="81">
        <v>8344</v>
      </c>
      <c r="E187" s="81">
        <v>31391</v>
      </c>
      <c r="F187" s="81">
        <v>566</v>
      </c>
      <c r="G187" s="81">
        <v>423</v>
      </c>
      <c r="H187" s="81">
        <v>27</v>
      </c>
      <c r="I187" s="81">
        <v>0</v>
      </c>
      <c r="J187" s="81">
        <v>8825</v>
      </c>
      <c r="K187" s="81">
        <v>4151</v>
      </c>
      <c r="L187" s="81">
        <v>285</v>
      </c>
      <c r="M187" s="81">
        <v>13261</v>
      </c>
      <c r="N187" s="81">
        <v>45641</v>
      </c>
      <c r="O187" s="82">
        <v>1.5892857142857142</v>
      </c>
      <c r="P187" s="82">
        <v>3.8806327900287632</v>
      </c>
      <c r="Q187" s="82">
        <v>5.4699185043144771</v>
      </c>
    </row>
    <row r="188" spans="1:17" ht="15.75" thickBot="1" x14ac:dyDescent="0.3">
      <c r="A188" s="79" t="s">
        <v>492</v>
      </c>
      <c r="B188" s="80" t="s">
        <v>491</v>
      </c>
      <c r="C188" s="79" t="s">
        <v>25</v>
      </c>
      <c r="D188" s="81">
        <v>10715</v>
      </c>
      <c r="E188" s="81">
        <v>29655</v>
      </c>
      <c r="F188" s="81">
        <v>581</v>
      </c>
      <c r="G188" s="81">
        <v>2023</v>
      </c>
      <c r="H188" s="81">
        <v>12</v>
      </c>
      <c r="I188" s="81">
        <v>0</v>
      </c>
      <c r="J188" s="81">
        <v>0</v>
      </c>
      <c r="K188" s="81">
        <v>0</v>
      </c>
      <c r="L188" s="81">
        <v>0</v>
      </c>
      <c r="M188" s="81">
        <v>0</v>
      </c>
      <c r="N188" s="81">
        <v>32259</v>
      </c>
      <c r="O188" s="82">
        <v>0</v>
      </c>
      <c r="P188" s="82">
        <v>3.0106392907139523</v>
      </c>
      <c r="Q188" s="82">
        <v>3.0106392907139523</v>
      </c>
    </row>
    <row r="189" spans="1:17" ht="15.75" thickBot="1" x14ac:dyDescent="0.3">
      <c r="A189" s="79" t="s">
        <v>504</v>
      </c>
      <c r="B189" s="80" t="s">
        <v>503</v>
      </c>
      <c r="C189" s="79" t="s">
        <v>25</v>
      </c>
      <c r="D189" s="81">
        <v>7424</v>
      </c>
      <c r="E189" s="81">
        <v>24010</v>
      </c>
      <c r="F189" s="81">
        <v>740</v>
      </c>
      <c r="G189" s="81">
        <v>1938</v>
      </c>
      <c r="H189" s="81">
        <v>27</v>
      </c>
      <c r="I189" s="81">
        <v>0</v>
      </c>
      <c r="J189" s="81">
        <v>20745</v>
      </c>
      <c r="K189" s="81">
        <v>4604</v>
      </c>
      <c r="L189" s="81">
        <v>0</v>
      </c>
      <c r="M189" s="81">
        <v>25349</v>
      </c>
      <c r="N189" s="81">
        <v>52037</v>
      </c>
      <c r="O189" s="82">
        <v>3.4144665948275863</v>
      </c>
      <c r="P189" s="82">
        <v>3.5948275862068964</v>
      </c>
      <c r="Q189" s="82">
        <v>7.0092941810344831</v>
      </c>
    </row>
    <row r="190" spans="1:17" ht="15.75" thickBot="1" x14ac:dyDescent="0.3">
      <c r="A190" s="79" t="s">
        <v>510</v>
      </c>
      <c r="B190" s="80" t="s">
        <v>509</v>
      </c>
      <c r="C190" s="79" t="s">
        <v>25</v>
      </c>
      <c r="D190" s="81">
        <v>9765</v>
      </c>
      <c r="E190" s="81">
        <v>40498</v>
      </c>
      <c r="F190" s="81">
        <v>868</v>
      </c>
      <c r="G190" s="81">
        <v>5230</v>
      </c>
      <c r="H190" s="81">
        <v>39</v>
      </c>
      <c r="I190" s="81">
        <v>0</v>
      </c>
      <c r="J190" s="81">
        <v>16875</v>
      </c>
      <c r="K190" s="81">
        <v>3425</v>
      </c>
      <c r="L190" s="81">
        <v>0</v>
      </c>
      <c r="M190" s="81">
        <v>20300</v>
      </c>
      <c r="N190" s="81">
        <v>66896</v>
      </c>
      <c r="O190" s="82">
        <v>2.0788530465949822</v>
      </c>
      <c r="P190" s="82">
        <v>4.77173579109063</v>
      </c>
      <c r="Q190" s="82">
        <v>6.8505888376856117</v>
      </c>
    </row>
    <row r="191" spans="1:17" ht="15.75" thickBot="1" x14ac:dyDescent="0.3">
      <c r="A191" s="79" t="s">
        <v>520</v>
      </c>
      <c r="B191" s="80" t="s">
        <v>519</v>
      </c>
      <c r="C191" s="79" t="s">
        <v>25</v>
      </c>
      <c r="D191" s="81">
        <v>9623</v>
      </c>
      <c r="E191" s="81">
        <v>26626</v>
      </c>
      <c r="F191" s="81">
        <v>1419</v>
      </c>
      <c r="G191" s="81">
        <v>1552</v>
      </c>
      <c r="H191" s="81">
        <v>58</v>
      </c>
      <c r="I191" s="81">
        <v>9</v>
      </c>
      <c r="J191" s="81">
        <v>8825</v>
      </c>
      <c r="K191" s="81">
        <v>14109</v>
      </c>
      <c r="L191" s="81">
        <v>285</v>
      </c>
      <c r="M191" s="81">
        <v>23219</v>
      </c>
      <c r="N191" s="81">
        <v>52816</v>
      </c>
      <c r="O191" s="82">
        <v>2.4128650109113581</v>
      </c>
      <c r="P191" s="82">
        <v>3.0756520835498287</v>
      </c>
      <c r="Q191" s="82">
        <v>5.4885170944611863</v>
      </c>
    </row>
    <row r="192" spans="1:17" ht="15.75" thickBot="1" x14ac:dyDescent="0.3">
      <c r="A192" s="79" t="s">
        <v>524</v>
      </c>
      <c r="B192" s="80" t="s">
        <v>523</v>
      </c>
      <c r="C192" s="79" t="s">
        <v>25</v>
      </c>
      <c r="D192" s="81">
        <v>7656</v>
      </c>
      <c r="E192" s="81">
        <v>33652</v>
      </c>
      <c r="F192" s="81">
        <v>1154</v>
      </c>
      <c r="G192" s="81">
        <v>430</v>
      </c>
      <c r="H192" s="81">
        <v>23</v>
      </c>
      <c r="I192" s="81">
        <v>3</v>
      </c>
      <c r="J192" s="81">
        <v>8466</v>
      </c>
      <c r="K192" s="81">
        <v>3967</v>
      </c>
      <c r="L192" s="81">
        <v>265</v>
      </c>
      <c r="M192" s="81">
        <v>12698</v>
      </c>
      <c r="N192" s="81">
        <v>47957</v>
      </c>
      <c r="O192" s="82">
        <v>1.6585684430512018</v>
      </c>
      <c r="P192" s="82">
        <v>4.6024033437826537</v>
      </c>
      <c r="Q192" s="82">
        <v>6.2639759665621737</v>
      </c>
    </row>
    <row r="193" spans="1:17" ht="15.75" thickBot="1" x14ac:dyDescent="0.3">
      <c r="A193" s="79" t="s">
        <v>536</v>
      </c>
      <c r="B193" s="80" t="s">
        <v>535</v>
      </c>
      <c r="C193" s="79" t="s">
        <v>25</v>
      </c>
      <c r="D193" s="81">
        <v>8354</v>
      </c>
      <c r="E193" s="81">
        <v>17497</v>
      </c>
      <c r="F193" s="81">
        <v>2648</v>
      </c>
      <c r="G193" s="81">
        <v>3072</v>
      </c>
      <c r="H193" s="81">
        <v>3</v>
      </c>
      <c r="I193" s="81">
        <v>1</v>
      </c>
      <c r="J193" s="81" t="s">
        <v>1624</v>
      </c>
      <c r="K193" s="81" t="s">
        <v>1624</v>
      </c>
      <c r="L193" s="81" t="s">
        <v>1624</v>
      </c>
      <c r="M193" s="81" t="s">
        <v>1624</v>
      </c>
      <c r="N193" s="81" t="s">
        <v>1625</v>
      </c>
      <c r="O193" s="81" t="s">
        <v>1625</v>
      </c>
      <c r="P193" s="82">
        <v>2.7791477136700982</v>
      </c>
      <c r="Q193" s="81" t="s">
        <v>1625</v>
      </c>
    </row>
    <row r="194" spans="1:17" ht="15.75" thickBot="1" x14ac:dyDescent="0.3">
      <c r="A194" s="79" t="s">
        <v>554</v>
      </c>
      <c r="B194" s="80" t="s">
        <v>553</v>
      </c>
      <c r="C194" s="79" t="s">
        <v>25</v>
      </c>
      <c r="D194" s="81">
        <v>8640</v>
      </c>
      <c r="E194" s="81">
        <v>29776</v>
      </c>
      <c r="F194" s="81">
        <v>684</v>
      </c>
      <c r="G194" s="81">
        <v>1820</v>
      </c>
      <c r="H194" s="81">
        <v>5</v>
      </c>
      <c r="I194" s="81">
        <v>0</v>
      </c>
      <c r="J194" s="81">
        <v>2612</v>
      </c>
      <c r="K194" s="81">
        <v>290</v>
      </c>
      <c r="L194" s="81">
        <v>0</v>
      </c>
      <c r="M194" s="81">
        <v>2902</v>
      </c>
      <c r="N194" s="81">
        <v>35182</v>
      </c>
      <c r="O194" s="82">
        <v>0.33587962962962964</v>
      </c>
      <c r="P194" s="82">
        <v>3.7361111111111112</v>
      </c>
      <c r="Q194" s="82">
        <v>4.0719907407407403</v>
      </c>
    </row>
    <row r="195" spans="1:17" ht="15.75" thickBot="1" x14ac:dyDescent="0.3">
      <c r="A195" s="79" t="s">
        <v>564</v>
      </c>
      <c r="B195" s="80" t="s">
        <v>563</v>
      </c>
      <c r="C195" s="79" t="s">
        <v>25</v>
      </c>
      <c r="D195" s="81">
        <v>9969</v>
      </c>
      <c r="E195" s="81">
        <v>34674</v>
      </c>
      <c r="F195" s="81">
        <v>1613</v>
      </c>
      <c r="G195" s="81">
        <v>2562</v>
      </c>
      <c r="H195" s="81">
        <v>53</v>
      </c>
      <c r="I195" s="81">
        <v>0</v>
      </c>
      <c r="J195" s="81">
        <v>19003</v>
      </c>
      <c r="K195" s="81">
        <v>7022</v>
      </c>
      <c r="L195" s="81">
        <v>1133</v>
      </c>
      <c r="M195" s="81">
        <v>27158</v>
      </c>
      <c r="N195" s="81">
        <v>66007</v>
      </c>
      <c r="O195" s="82">
        <v>2.7242451599959874</v>
      </c>
      <c r="P195" s="82">
        <v>3.8969806399839504</v>
      </c>
      <c r="Q195" s="82">
        <v>6.6212257999799382</v>
      </c>
    </row>
    <row r="196" spans="1:17" ht="15.75" thickBot="1" x14ac:dyDescent="0.3">
      <c r="A196" s="79" t="s">
        <v>568</v>
      </c>
      <c r="B196" s="80" t="s">
        <v>567</v>
      </c>
      <c r="C196" s="79" t="s">
        <v>25</v>
      </c>
      <c r="D196" s="81">
        <v>7034</v>
      </c>
      <c r="E196" s="81">
        <v>43188</v>
      </c>
      <c r="F196" s="81">
        <v>826</v>
      </c>
      <c r="G196" s="81">
        <v>2798</v>
      </c>
      <c r="H196" s="81">
        <v>21</v>
      </c>
      <c r="I196" s="81">
        <v>0</v>
      </c>
      <c r="J196" s="81">
        <v>8507</v>
      </c>
      <c r="K196" s="81">
        <v>3464</v>
      </c>
      <c r="L196" s="81">
        <v>0</v>
      </c>
      <c r="M196" s="81">
        <v>11971</v>
      </c>
      <c r="N196" s="81">
        <v>58783</v>
      </c>
      <c r="O196" s="82">
        <v>1.7018765993744669</v>
      </c>
      <c r="P196" s="82">
        <v>6.6551037816320724</v>
      </c>
      <c r="Q196" s="82">
        <v>8.3569803810065402</v>
      </c>
    </row>
    <row r="197" spans="1:17" ht="15.75" thickBot="1" x14ac:dyDescent="0.3">
      <c r="A197" s="79" t="s">
        <v>576</v>
      </c>
      <c r="B197" s="80" t="s">
        <v>575</v>
      </c>
      <c r="C197" s="79" t="s">
        <v>25</v>
      </c>
      <c r="D197" s="81">
        <v>8833</v>
      </c>
      <c r="E197" s="81">
        <v>31656</v>
      </c>
      <c r="F197" s="81">
        <v>2026</v>
      </c>
      <c r="G197" s="81">
        <v>3375</v>
      </c>
      <c r="H197" s="81">
        <v>40</v>
      </c>
      <c r="I197" s="81">
        <v>1</v>
      </c>
      <c r="J197" s="81">
        <v>21856</v>
      </c>
      <c r="K197" s="81">
        <v>2013</v>
      </c>
      <c r="L197" s="81">
        <v>184</v>
      </c>
      <c r="M197" s="81">
        <v>24053</v>
      </c>
      <c r="N197" s="81">
        <v>61150</v>
      </c>
      <c r="O197" s="82">
        <v>2.7230838899581116</v>
      </c>
      <c r="P197" s="82">
        <v>4.1952903883165407</v>
      </c>
      <c r="Q197" s="82">
        <v>6.922902751047209</v>
      </c>
    </row>
    <row r="198" spans="1:17" ht="15.75" thickBot="1" x14ac:dyDescent="0.3">
      <c r="A198" s="79" t="s">
        <v>584</v>
      </c>
      <c r="B198" s="80" t="s">
        <v>583</v>
      </c>
      <c r="C198" s="79" t="s">
        <v>25</v>
      </c>
      <c r="D198" s="81">
        <v>11503</v>
      </c>
      <c r="E198" s="81">
        <v>50542</v>
      </c>
      <c r="F198" s="81">
        <v>5391</v>
      </c>
      <c r="G198" s="81">
        <v>21804</v>
      </c>
      <c r="H198" s="81">
        <v>48</v>
      </c>
      <c r="I198" s="81">
        <v>9</v>
      </c>
      <c r="J198" s="81">
        <v>4182</v>
      </c>
      <c r="K198" s="81">
        <v>14862</v>
      </c>
      <c r="L198" s="81">
        <v>229</v>
      </c>
      <c r="M198" s="81">
        <v>19273</v>
      </c>
      <c r="N198" s="81">
        <v>97010</v>
      </c>
      <c r="O198" s="82">
        <v>1.675475962792315</v>
      </c>
      <c r="P198" s="82">
        <v>6.7579761801269234</v>
      </c>
      <c r="Q198" s="82">
        <v>8.4334521429192382</v>
      </c>
    </row>
    <row r="199" spans="1:17" ht="15.75" thickBot="1" x14ac:dyDescent="0.3">
      <c r="A199" s="79" t="s">
        <v>610</v>
      </c>
      <c r="B199" s="80" t="s">
        <v>609</v>
      </c>
      <c r="C199" s="79" t="s">
        <v>25</v>
      </c>
      <c r="D199" s="81">
        <v>8891</v>
      </c>
      <c r="E199" s="81">
        <v>21665</v>
      </c>
      <c r="F199" s="81">
        <v>802</v>
      </c>
      <c r="G199" s="81">
        <v>1938</v>
      </c>
      <c r="H199" s="81">
        <v>64</v>
      </c>
      <c r="I199" s="81">
        <v>3</v>
      </c>
      <c r="J199" s="81">
        <v>14180</v>
      </c>
      <c r="K199" s="81">
        <v>4148</v>
      </c>
      <c r="L199" s="81">
        <v>0</v>
      </c>
      <c r="M199" s="81">
        <v>18328</v>
      </c>
      <c r="N199" s="81">
        <v>42733</v>
      </c>
      <c r="O199" s="82">
        <v>2.0614104150264314</v>
      </c>
      <c r="P199" s="82">
        <v>2.7449105837363628</v>
      </c>
      <c r="Q199" s="82">
        <v>4.8063209987627937</v>
      </c>
    </row>
    <row r="200" spans="1:17" ht="15.75" thickBot="1" x14ac:dyDescent="0.3">
      <c r="A200" s="79" t="s">
        <v>618</v>
      </c>
      <c r="B200" s="80" t="s">
        <v>617</v>
      </c>
      <c r="C200" s="79" t="s">
        <v>25</v>
      </c>
      <c r="D200" s="81">
        <v>8543</v>
      </c>
      <c r="E200" s="81">
        <v>18526</v>
      </c>
      <c r="F200" s="81">
        <v>667</v>
      </c>
      <c r="G200" s="81">
        <v>819</v>
      </c>
      <c r="H200" s="81">
        <v>33</v>
      </c>
      <c r="I200" s="81">
        <v>2</v>
      </c>
      <c r="J200" s="81">
        <v>21322</v>
      </c>
      <c r="K200" s="81">
        <v>39586</v>
      </c>
      <c r="L200" s="81">
        <v>134</v>
      </c>
      <c r="M200" s="81">
        <v>61042</v>
      </c>
      <c r="N200" s="81">
        <v>81054</v>
      </c>
      <c r="O200" s="82">
        <v>7.1452651293456633</v>
      </c>
      <c r="P200" s="82">
        <v>2.3425026337352217</v>
      </c>
      <c r="Q200" s="82">
        <v>9.4877677630808854</v>
      </c>
    </row>
    <row r="201" spans="1:17" ht="15.75" thickBot="1" x14ac:dyDescent="0.3">
      <c r="A201" s="79" t="s">
        <v>626</v>
      </c>
      <c r="B201" s="80" t="s">
        <v>625</v>
      </c>
      <c r="C201" s="79" t="s">
        <v>25</v>
      </c>
      <c r="D201" s="81">
        <v>7580</v>
      </c>
      <c r="E201" s="81">
        <v>33964</v>
      </c>
      <c r="F201" s="81">
        <v>2349</v>
      </c>
      <c r="G201" s="81">
        <v>4273</v>
      </c>
      <c r="H201" s="81">
        <v>31</v>
      </c>
      <c r="I201" s="81">
        <v>5</v>
      </c>
      <c r="J201" s="81">
        <v>13331</v>
      </c>
      <c r="K201" s="81">
        <v>0</v>
      </c>
      <c r="L201" s="81">
        <v>0</v>
      </c>
      <c r="M201" s="81">
        <v>13331</v>
      </c>
      <c r="N201" s="81">
        <v>53917</v>
      </c>
      <c r="O201" s="82">
        <v>1.7587071240105541</v>
      </c>
      <c r="P201" s="82">
        <v>5.3543535620052767</v>
      </c>
      <c r="Q201" s="82">
        <v>7.1130606860158307</v>
      </c>
    </row>
    <row r="202" spans="1:17" ht="15.75" thickBot="1" x14ac:dyDescent="0.3">
      <c r="A202" s="79" t="s">
        <v>634</v>
      </c>
      <c r="B202" s="80" t="s">
        <v>633</v>
      </c>
      <c r="C202" s="79" t="s">
        <v>25</v>
      </c>
      <c r="D202" s="81">
        <v>7903</v>
      </c>
      <c r="E202" s="81">
        <v>23999</v>
      </c>
      <c r="F202" s="81">
        <v>382</v>
      </c>
      <c r="G202" s="81">
        <v>1600</v>
      </c>
      <c r="H202" s="81">
        <v>23</v>
      </c>
      <c r="I202" s="81">
        <v>0</v>
      </c>
      <c r="J202" s="81">
        <v>210</v>
      </c>
      <c r="K202" s="81">
        <v>15</v>
      </c>
      <c r="L202" s="81">
        <v>55</v>
      </c>
      <c r="M202" s="81">
        <v>280</v>
      </c>
      <c r="N202" s="81">
        <v>26261</v>
      </c>
      <c r="O202" s="82">
        <v>3.54295837023915E-2</v>
      </c>
      <c r="P202" s="82">
        <v>3.2874857648994054</v>
      </c>
      <c r="Q202" s="82">
        <v>3.3229153486017968</v>
      </c>
    </row>
    <row r="203" spans="1:17" ht="15.75" thickBot="1" x14ac:dyDescent="0.3">
      <c r="A203" s="79" t="s">
        <v>650</v>
      </c>
      <c r="B203" s="80" t="s">
        <v>649</v>
      </c>
      <c r="C203" s="79" t="s">
        <v>25</v>
      </c>
      <c r="D203" s="81">
        <v>11480</v>
      </c>
      <c r="E203" s="81">
        <v>40286</v>
      </c>
      <c r="F203" s="81">
        <v>2544</v>
      </c>
      <c r="G203" s="81">
        <v>4662</v>
      </c>
      <c r="H203" s="81">
        <v>32</v>
      </c>
      <c r="I203" s="81">
        <v>1</v>
      </c>
      <c r="J203" s="81" t="s">
        <v>1624</v>
      </c>
      <c r="K203" s="81" t="s">
        <v>1624</v>
      </c>
      <c r="L203" s="81" t="s">
        <v>1624</v>
      </c>
      <c r="M203" s="81" t="s">
        <v>1624</v>
      </c>
      <c r="N203" s="81" t="s">
        <v>1625</v>
      </c>
      <c r="O203" s="81" t="s">
        <v>1625</v>
      </c>
      <c r="P203" s="82">
        <v>4.1369337979094079</v>
      </c>
      <c r="Q203" s="81" t="s">
        <v>1625</v>
      </c>
    </row>
    <row r="204" spans="1:17" ht="15.75" thickBot="1" x14ac:dyDescent="0.3">
      <c r="A204" s="79" t="s">
        <v>652</v>
      </c>
      <c r="B204" s="80" t="s">
        <v>651</v>
      </c>
      <c r="C204" s="79" t="s">
        <v>25</v>
      </c>
      <c r="D204" s="81">
        <v>7798</v>
      </c>
      <c r="E204" s="81">
        <v>25127</v>
      </c>
      <c r="F204" s="81">
        <v>1986</v>
      </c>
      <c r="G204" s="81">
        <v>1617</v>
      </c>
      <c r="H204" s="81">
        <v>38</v>
      </c>
      <c r="I204" s="81">
        <v>311</v>
      </c>
      <c r="J204" s="81">
        <v>18326</v>
      </c>
      <c r="K204" s="81">
        <v>4223</v>
      </c>
      <c r="L204" s="81">
        <v>0</v>
      </c>
      <c r="M204" s="81">
        <v>22549</v>
      </c>
      <c r="N204" s="81">
        <v>51279</v>
      </c>
      <c r="O204" s="82">
        <v>2.8916388817645551</v>
      </c>
      <c r="P204" s="82">
        <v>3.6842780200051295</v>
      </c>
      <c r="Q204" s="82">
        <v>6.5759169017696841</v>
      </c>
    </row>
    <row r="205" spans="1:17" ht="15.75" thickBot="1" x14ac:dyDescent="0.3">
      <c r="A205" s="79" t="s">
        <v>660</v>
      </c>
      <c r="B205" s="80" t="s">
        <v>659</v>
      </c>
      <c r="C205" s="79" t="s">
        <v>25</v>
      </c>
      <c r="D205" s="81">
        <v>7357</v>
      </c>
      <c r="E205" s="81">
        <v>14967</v>
      </c>
      <c r="F205" s="81">
        <v>525</v>
      </c>
      <c r="G205" s="81">
        <v>855</v>
      </c>
      <c r="H205" s="81">
        <v>75</v>
      </c>
      <c r="I205" s="81">
        <v>0</v>
      </c>
      <c r="J205" s="81">
        <v>8832</v>
      </c>
      <c r="K205" s="81">
        <v>11865</v>
      </c>
      <c r="L205" s="81">
        <v>0</v>
      </c>
      <c r="M205" s="81">
        <v>20697</v>
      </c>
      <c r="N205" s="81">
        <v>37119</v>
      </c>
      <c r="O205" s="82">
        <v>2.8132390920212043</v>
      </c>
      <c r="P205" s="82">
        <v>2.2219654750577682</v>
      </c>
      <c r="Q205" s="82">
        <v>5.0453989397852386</v>
      </c>
    </row>
    <row r="206" spans="1:17" ht="15.75" thickBot="1" x14ac:dyDescent="0.3">
      <c r="A206" s="79" t="s">
        <v>666</v>
      </c>
      <c r="B206" s="80" t="s">
        <v>665</v>
      </c>
      <c r="C206" s="79" t="s">
        <v>25</v>
      </c>
      <c r="D206" s="81">
        <v>7103</v>
      </c>
      <c r="E206" s="81">
        <v>27653</v>
      </c>
      <c r="F206" s="81">
        <v>2478</v>
      </c>
      <c r="G206" s="81">
        <v>0</v>
      </c>
      <c r="H206" s="81">
        <v>41</v>
      </c>
      <c r="I206" s="81">
        <v>1</v>
      </c>
      <c r="J206" s="81">
        <v>8600</v>
      </c>
      <c r="K206" s="81">
        <v>3400</v>
      </c>
      <c r="L206" s="81">
        <v>0</v>
      </c>
      <c r="M206" s="81">
        <v>12000</v>
      </c>
      <c r="N206" s="81">
        <v>42131</v>
      </c>
      <c r="O206" s="82">
        <v>1.6894270026749261</v>
      </c>
      <c r="P206" s="82">
        <v>4.2420104181331828</v>
      </c>
      <c r="Q206" s="82">
        <v>5.9314374208081091</v>
      </c>
    </row>
    <row r="207" spans="1:17" ht="15.75" thickBot="1" x14ac:dyDescent="0.3">
      <c r="A207" s="79" t="s">
        <v>670</v>
      </c>
      <c r="B207" s="80" t="s">
        <v>669</v>
      </c>
      <c r="C207" s="79" t="s">
        <v>25</v>
      </c>
      <c r="D207" s="81">
        <v>10188</v>
      </c>
      <c r="E207" s="81">
        <v>40000</v>
      </c>
      <c r="F207" s="81">
        <v>1500</v>
      </c>
      <c r="G207" s="81">
        <v>2798</v>
      </c>
      <c r="H207" s="81">
        <v>80</v>
      </c>
      <c r="I207" s="81">
        <v>1</v>
      </c>
      <c r="J207" s="81" t="s">
        <v>1624</v>
      </c>
      <c r="K207" s="81" t="s">
        <v>1624</v>
      </c>
      <c r="L207" s="81" t="s">
        <v>1624</v>
      </c>
      <c r="M207" s="81" t="s">
        <v>1624</v>
      </c>
      <c r="N207" s="81" t="s">
        <v>1625</v>
      </c>
      <c r="O207" s="81" t="s">
        <v>1625</v>
      </c>
      <c r="P207" s="82">
        <v>4.3480565371024733</v>
      </c>
      <c r="Q207" s="81" t="s">
        <v>1625</v>
      </c>
    </row>
    <row r="208" spans="1:17" ht="15.75" thickBot="1" x14ac:dyDescent="0.3">
      <c r="A208" s="79" t="s">
        <v>676</v>
      </c>
      <c r="B208" s="80" t="s">
        <v>675</v>
      </c>
      <c r="C208" s="79" t="s">
        <v>25</v>
      </c>
      <c r="D208" s="81">
        <v>7272</v>
      </c>
      <c r="E208" s="81">
        <v>25278</v>
      </c>
      <c r="F208" s="81">
        <v>484</v>
      </c>
      <c r="G208" s="81">
        <v>3967</v>
      </c>
      <c r="H208" s="81">
        <v>51</v>
      </c>
      <c r="I208" s="81">
        <v>10</v>
      </c>
      <c r="J208" s="81">
        <v>18648</v>
      </c>
      <c r="K208" s="81">
        <v>4277</v>
      </c>
      <c r="L208" s="81">
        <v>0</v>
      </c>
      <c r="M208" s="81">
        <v>22925</v>
      </c>
      <c r="N208" s="81">
        <v>52654</v>
      </c>
      <c r="O208" s="82">
        <v>3.1525027502750276</v>
      </c>
      <c r="P208" s="82">
        <v>4.0881463146314632</v>
      </c>
      <c r="Q208" s="82">
        <v>7.2406490649064903</v>
      </c>
    </row>
    <row r="209" spans="1:17" ht="15.75" thickBot="1" x14ac:dyDescent="0.3">
      <c r="A209" s="79" t="s">
        <v>682</v>
      </c>
      <c r="B209" s="80" t="s">
        <v>681</v>
      </c>
      <c r="C209" s="79" t="s">
        <v>25</v>
      </c>
      <c r="D209" s="81">
        <v>11377</v>
      </c>
      <c r="E209" s="81">
        <v>41290</v>
      </c>
      <c r="F209" s="81">
        <v>1048</v>
      </c>
      <c r="G209" s="81">
        <v>1519</v>
      </c>
      <c r="H209" s="81">
        <v>79</v>
      </c>
      <c r="I209" s="81">
        <v>3</v>
      </c>
      <c r="J209" s="81">
        <v>14899</v>
      </c>
      <c r="K209" s="81">
        <v>3538</v>
      </c>
      <c r="L209" s="81">
        <v>196</v>
      </c>
      <c r="M209" s="81">
        <v>18633</v>
      </c>
      <c r="N209" s="81">
        <v>62490</v>
      </c>
      <c r="O209" s="82">
        <v>1.6377779731036302</v>
      </c>
      <c r="P209" s="82">
        <v>3.8548826579941986</v>
      </c>
      <c r="Q209" s="82">
        <v>5.492660631097829</v>
      </c>
    </row>
    <row r="210" spans="1:17" ht="15.75" thickBot="1" x14ac:dyDescent="0.3">
      <c r="A210" s="79" t="s">
        <v>694</v>
      </c>
      <c r="B210" s="80" t="s">
        <v>693</v>
      </c>
      <c r="C210" s="79" t="s">
        <v>25</v>
      </c>
      <c r="D210" s="81">
        <v>8386</v>
      </c>
      <c r="E210" s="81">
        <v>45794</v>
      </c>
      <c r="F210" s="81">
        <v>1007</v>
      </c>
      <c r="G210" s="81">
        <v>1002</v>
      </c>
      <c r="H210" s="81">
        <v>51</v>
      </c>
      <c r="I210" s="81">
        <v>3</v>
      </c>
      <c r="J210" s="81">
        <v>13654</v>
      </c>
      <c r="K210" s="81">
        <v>2638</v>
      </c>
      <c r="L210" s="81">
        <v>253</v>
      </c>
      <c r="M210" s="81">
        <v>16545</v>
      </c>
      <c r="N210" s="81">
        <v>64348</v>
      </c>
      <c r="O210" s="82">
        <v>1.9729310756021941</v>
      </c>
      <c r="P210" s="82">
        <v>5.7003338898163607</v>
      </c>
      <c r="Q210" s="82">
        <v>7.6732649654185545</v>
      </c>
    </row>
    <row r="211" spans="1:17" ht="15.75" thickBot="1" x14ac:dyDescent="0.3">
      <c r="A211" s="79" t="s">
        <v>700</v>
      </c>
      <c r="B211" s="80" t="s">
        <v>699</v>
      </c>
      <c r="C211" s="79" t="s">
        <v>25</v>
      </c>
      <c r="D211" s="81">
        <v>9110</v>
      </c>
      <c r="E211" s="81">
        <v>38206</v>
      </c>
      <c r="F211" s="81">
        <v>762</v>
      </c>
      <c r="G211" s="81">
        <v>1362</v>
      </c>
      <c r="H211" s="81">
        <v>48</v>
      </c>
      <c r="I211" s="81">
        <v>2</v>
      </c>
      <c r="J211" s="81">
        <v>6000</v>
      </c>
      <c r="K211" s="81">
        <v>10909</v>
      </c>
      <c r="L211" s="81">
        <v>0</v>
      </c>
      <c r="M211" s="81">
        <v>16909</v>
      </c>
      <c r="N211" s="81">
        <v>57239</v>
      </c>
      <c r="O211" s="82">
        <v>1.8560922063666301</v>
      </c>
      <c r="P211" s="82">
        <v>4.4270032930845229</v>
      </c>
      <c r="Q211" s="82">
        <v>6.2830954994511528</v>
      </c>
    </row>
    <row r="212" spans="1:17" ht="15.75" thickBot="1" x14ac:dyDescent="0.3">
      <c r="A212" s="79" t="s">
        <v>702</v>
      </c>
      <c r="B212" s="80" t="s">
        <v>701</v>
      </c>
      <c r="C212" s="79" t="s">
        <v>25</v>
      </c>
      <c r="D212" s="81">
        <v>9645</v>
      </c>
      <c r="E212" s="81">
        <v>56085</v>
      </c>
      <c r="F212" s="81">
        <v>2279</v>
      </c>
      <c r="G212" s="81">
        <v>2180</v>
      </c>
      <c r="H212" s="81">
        <v>56</v>
      </c>
      <c r="I212" s="81">
        <v>11</v>
      </c>
      <c r="J212" s="81">
        <v>6701</v>
      </c>
      <c r="K212" s="81">
        <v>3867</v>
      </c>
      <c r="L212" s="81">
        <v>265</v>
      </c>
      <c r="M212" s="81">
        <v>10833</v>
      </c>
      <c r="N212" s="81">
        <v>71377</v>
      </c>
      <c r="O212" s="82">
        <v>1.1231726283048211</v>
      </c>
      <c r="P212" s="82">
        <v>6.2772420943494041</v>
      </c>
      <c r="Q212" s="82">
        <v>7.400414722654225</v>
      </c>
    </row>
    <row r="213" spans="1:17" ht="15.75" thickBot="1" x14ac:dyDescent="0.3">
      <c r="A213" s="79" t="s">
        <v>718</v>
      </c>
      <c r="B213" s="80" t="s">
        <v>717</v>
      </c>
      <c r="C213" s="79" t="s">
        <v>25</v>
      </c>
      <c r="D213" s="81">
        <v>9301</v>
      </c>
      <c r="E213" s="81">
        <v>15004</v>
      </c>
      <c r="F213" s="81">
        <v>939</v>
      </c>
      <c r="G213" s="81">
        <v>1765</v>
      </c>
      <c r="H213" s="81">
        <v>26</v>
      </c>
      <c r="I213" s="81">
        <v>3</v>
      </c>
      <c r="J213" s="81">
        <v>26086</v>
      </c>
      <c r="K213" s="81">
        <v>5092</v>
      </c>
      <c r="L213" s="81">
        <v>137</v>
      </c>
      <c r="M213" s="81">
        <v>31315</v>
      </c>
      <c r="N213" s="81">
        <v>49049</v>
      </c>
      <c r="O213" s="82">
        <v>3.3668422750241911</v>
      </c>
      <c r="P213" s="82">
        <v>1.9038813030856898</v>
      </c>
      <c r="Q213" s="82">
        <v>5.2735189764541444</v>
      </c>
    </row>
    <row r="214" spans="1:17" ht="15.75" thickBot="1" x14ac:dyDescent="0.3">
      <c r="A214" s="79" t="s">
        <v>722</v>
      </c>
      <c r="B214" s="80" t="s">
        <v>721</v>
      </c>
      <c r="C214" s="79" t="s">
        <v>25</v>
      </c>
      <c r="D214" s="81">
        <v>7851</v>
      </c>
      <c r="E214" s="81">
        <v>26431</v>
      </c>
      <c r="F214" s="81">
        <v>1677</v>
      </c>
      <c r="G214" s="81">
        <v>1646</v>
      </c>
      <c r="H214" s="81">
        <v>51</v>
      </c>
      <c r="I214" s="81">
        <v>1</v>
      </c>
      <c r="J214" s="81">
        <v>29256</v>
      </c>
      <c r="K214" s="81">
        <v>4859</v>
      </c>
      <c r="L214" s="81">
        <v>137</v>
      </c>
      <c r="M214" s="81">
        <v>34252</v>
      </c>
      <c r="N214" s="81">
        <v>64006</v>
      </c>
      <c r="O214" s="82">
        <v>4.3627563367723861</v>
      </c>
      <c r="P214" s="82">
        <v>3.7898356897210546</v>
      </c>
      <c r="Q214" s="82">
        <v>8.1525920264934406</v>
      </c>
    </row>
    <row r="215" spans="1:17" ht="15.75" thickBot="1" x14ac:dyDescent="0.3">
      <c r="A215" s="79" t="s">
        <v>724</v>
      </c>
      <c r="B215" s="80" t="s">
        <v>723</v>
      </c>
      <c r="C215" s="79" t="s">
        <v>25</v>
      </c>
      <c r="D215" s="81">
        <v>10250</v>
      </c>
      <c r="E215" s="81">
        <v>29537</v>
      </c>
      <c r="F215" s="81">
        <v>467</v>
      </c>
      <c r="G215" s="81">
        <v>6933</v>
      </c>
      <c r="H215" s="81">
        <v>62</v>
      </c>
      <c r="I215" s="81">
        <v>2</v>
      </c>
      <c r="J215" s="81">
        <v>9236</v>
      </c>
      <c r="K215" s="81">
        <v>8832</v>
      </c>
      <c r="L215" s="81">
        <v>0</v>
      </c>
      <c r="M215" s="81">
        <v>18068</v>
      </c>
      <c r="N215" s="81">
        <v>55067</v>
      </c>
      <c r="O215" s="82">
        <v>1.7627317073170732</v>
      </c>
      <c r="P215" s="82">
        <v>3.6036097560975611</v>
      </c>
      <c r="Q215" s="82">
        <v>5.3723902439024389</v>
      </c>
    </row>
    <row r="216" spans="1:17" ht="15.75" thickBot="1" x14ac:dyDescent="0.3">
      <c r="A216" s="79" t="s">
        <v>734</v>
      </c>
      <c r="B216" s="80" t="s">
        <v>733</v>
      </c>
      <c r="C216" s="79" t="s">
        <v>25</v>
      </c>
      <c r="D216" s="81">
        <v>10662</v>
      </c>
      <c r="E216" s="81">
        <v>25796</v>
      </c>
      <c r="F216" s="81">
        <v>1020</v>
      </c>
      <c r="G216" s="81">
        <v>1661</v>
      </c>
      <c r="H216" s="81">
        <v>47</v>
      </c>
      <c r="I216" s="81">
        <v>3</v>
      </c>
      <c r="J216" s="81">
        <v>20896</v>
      </c>
      <c r="K216" s="81">
        <v>4739</v>
      </c>
      <c r="L216" s="81">
        <v>1</v>
      </c>
      <c r="M216" s="81">
        <v>25636</v>
      </c>
      <c r="N216" s="81">
        <v>54160</v>
      </c>
      <c r="O216" s="82">
        <v>2.4044269367848434</v>
      </c>
      <c r="P216" s="82">
        <v>2.6708872631776401</v>
      </c>
      <c r="Q216" s="82">
        <v>5.0797223785406116</v>
      </c>
    </row>
    <row r="217" spans="1:17" ht="15.75" thickBot="1" x14ac:dyDescent="0.3">
      <c r="A217" s="79" t="s">
        <v>738</v>
      </c>
      <c r="B217" s="80" t="s">
        <v>737</v>
      </c>
      <c r="C217" s="79" t="s">
        <v>25</v>
      </c>
      <c r="D217" s="81">
        <v>11985</v>
      </c>
      <c r="E217" s="81">
        <v>73398</v>
      </c>
      <c r="F217" s="81">
        <v>3822</v>
      </c>
      <c r="G217" s="81">
        <v>1819</v>
      </c>
      <c r="H217" s="81">
        <v>162</v>
      </c>
      <c r="I217" s="81">
        <v>1</v>
      </c>
      <c r="J217" s="81">
        <v>16584</v>
      </c>
      <c r="K217" s="81">
        <v>4545</v>
      </c>
      <c r="L217" s="81">
        <v>0</v>
      </c>
      <c r="M217" s="81">
        <v>21129</v>
      </c>
      <c r="N217" s="81">
        <v>100168</v>
      </c>
      <c r="O217" s="82">
        <v>1.7629536921151439</v>
      </c>
      <c r="P217" s="82">
        <v>6.5948268669169794</v>
      </c>
      <c r="Q217" s="82">
        <v>8.3577805590321237</v>
      </c>
    </row>
    <row r="218" spans="1:17" ht="15.75" thickBot="1" x14ac:dyDescent="0.3">
      <c r="A218" s="79" t="s">
        <v>740</v>
      </c>
      <c r="B218" s="80" t="s">
        <v>739</v>
      </c>
      <c r="C218" s="79" t="s">
        <v>25</v>
      </c>
      <c r="D218" s="81">
        <v>8147</v>
      </c>
      <c r="E218" s="81">
        <v>26777</v>
      </c>
      <c r="F218" s="81">
        <v>877</v>
      </c>
      <c r="G218" s="81">
        <v>865</v>
      </c>
      <c r="H218" s="81">
        <v>24</v>
      </c>
      <c r="I218" s="81">
        <v>0</v>
      </c>
      <c r="J218" s="81">
        <v>20896</v>
      </c>
      <c r="K218" s="81">
        <v>4739</v>
      </c>
      <c r="L218" s="81">
        <v>0</v>
      </c>
      <c r="M218" s="81">
        <v>25635</v>
      </c>
      <c r="N218" s="81">
        <v>54154</v>
      </c>
      <c r="O218" s="82">
        <v>3.1465570148520929</v>
      </c>
      <c r="P218" s="82">
        <v>3.5005523505584879</v>
      </c>
      <c r="Q218" s="82">
        <v>6.6471093654105804</v>
      </c>
    </row>
    <row r="219" spans="1:17" ht="15.75" thickBot="1" x14ac:dyDescent="0.3">
      <c r="A219" s="79" t="s">
        <v>748</v>
      </c>
      <c r="B219" s="80" t="s">
        <v>747</v>
      </c>
      <c r="C219" s="79" t="s">
        <v>25</v>
      </c>
      <c r="D219" s="81">
        <v>9714</v>
      </c>
      <c r="E219" s="81">
        <v>29628</v>
      </c>
      <c r="F219" s="81">
        <v>1897</v>
      </c>
      <c r="G219" s="81">
        <v>2463</v>
      </c>
      <c r="H219" s="81">
        <v>9</v>
      </c>
      <c r="I219" s="81">
        <v>0</v>
      </c>
      <c r="J219" s="81">
        <v>8507</v>
      </c>
      <c r="K219" s="81">
        <v>11861</v>
      </c>
      <c r="L219" s="81">
        <v>0</v>
      </c>
      <c r="M219" s="81">
        <v>20368</v>
      </c>
      <c r="N219" s="81">
        <v>54356</v>
      </c>
      <c r="O219" s="82">
        <v>2.0967675519868232</v>
      </c>
      <c r="P219" s="82">
        <v>3.4988676137533457</v>
      </c>
      <c r="Q219" s="82">
        <v>5.5956351657401688</v>
      </c>
    </row>
    <row r="220" spans="1:17" ht="15.75" thickBot="1" x14ac:dyDescent="0.3">
      <c r="A220" s="79" t="s">
        <v>776</v>
      </c>
      <c r="B220" s="80" t="s">
        <v>775</v>
      </c>
      <c r="C220" s="79" t="s">
        <v>25</v>
      </c>
      <c r="D220" s="81">
        <v>9514</v>
      </c>
      <c r="E220" s="81">
        <v>33114</v>
      </c>
      <c r="F220" s="81">
        <v>134</v>
      </c>
      <c r="G220" s="81">
        <v>1141</v>
      </c>
      <c r="H220" s="81">
        <v>1</v>
      </c>
      <c r="I220" s="81">
        <v>2</v>
      </c>
      <c r="J220" s="81">
        <v>31938</v>
      </c>
      <c r="K220" s="81">
        <v>5344</v>
      </c>
      <c r="L220" s="81">
        <v>137</v>
      </c>
      <c r="M220" s="81">
        <v>37419</v>
      </c>
      <c r="N220" s="81">
        <v>71808</v>
      </c>
      <c r="O220" s="82">
        <v>3.9330460374185412</v>
      </c>
      <c r="P220" s="82">
        <v>3.6145680050451965</v>
      </c>
      <c r="Q220" s="82">
        <v>7.5476140424637377</v>
      </c>
    </row>
    <row r="221" spans="1:17" ht="15.75" thickBot="1" x14ac:dyDescent="0.3">
      <c r="A221" s="79" t="s">
        <v>790</v>
      </c>
      <c r="B221" s="80" t="s">
        <v>789</v>
      </c>
      <c r="C221" s="79" t="s">
        <v>25</v>
      </c>
      <c r="D221" s="81">
        <v>9138</v>
      </c>
      <c r="E221" s="81">
        <v>29371</v>
      </c>
      <c r="F221" s="81">
        <v>1432</v>
      </c>
      <c r="G221" s="81">
        <v>845</v>
      </c>
      <c r="H221" s="81">
        <v>60</v>
      </c>
      <c r="I221" s="81">
        <v>0</v>
      </c>
      <c r="J221" s="81">
        <v>8308</v>
      </c>
      <c r="K221" s="81">
        <v>3700</v>
      </c>
      <c r="L221" s="81">
        <v>0</v>
      </c>
      <c r="M221" s="81">
        <v>12008</v>
      </c>
      <c r="N221" s="81">
        <v>43716</v>
      </c>
      <c r="O221" s="82">
        <v>1.3140731013350844</v>
      </c>
      <c r="P221" s="82">
        <v>3.4633398993215145</v>
      </c>
      <c r="Q221" s="82">
        <v>4.7839789888378199</v>
      </c>
    </row>
    <row r="222" spans="1:17" ht="15.75" thickBot="1" x14ac:dyDescent="0.3">
      <c r="A222" s="79" t="s">
        <v>792</v>
      </c>
      <c r="B222" s="80" t="s">
        <v>791</v>
      </c>
      <c r="C222" s="79" t="s">
        <v>25</v>
      </c>
      <c r="D222" s="81">
        <v>7370</v>
      </c>
      <c r="E222" s="81">
        <v>62181</v>
      </c>
      <c r="F222" s="81">
        <v>3212</v>
      </c>
      <c r="G222" s="81">
        <v>3723</v>
      </c>
      <c r="H222" s="81">
        <v>92</v>
      </c>
      <c r="I222" s="81">
        <v>2</v>
      </c>
      <c r="J222" s="81">
        <v>8825</v>
      </c>
      <c r="K222" s="81">
        <v>4309</v>
      </c>
      <c r="L222" s="81">
        <v>285</v>
      </c>
      <c r="M222" s="81">
        <v>13419</v>
      </c>
      <c r="N222" s="81">
        <v>82535</v>
      </c>
      <c r="O222" s="82">
        <v>1.8207598371777476</v>
      </c>
      <c r="P222" s="82">
        <v>9.3780189959294429</v>
      </c>
      <c r="Q222" s="82">
        <v>11.198778833107191</v>
      </c>
    </row>
    <row r="223" spans="1:17" ht="15.75" thickBot="1" x14ac:dyDescent="0.3">
      <c r="A223" s="79" t="s">
        <v>796</v>
      </c>
      <c r="B223" s="80" t="s">
        <v>795</v>
      </c>
      <c r="C223" s="79" t="s">
        <v>25</v>
      </c>
      <c r="D223" s="81">
        <v>8533</v>
      </c>
      <c r="E223" s="81">
        <v>49247</v>
      </c>
      <c r="F223" s="81">
        <v>6578</v>
      </c>
      <c r="G223" s="81">
        <v>9619</v>
      </c>
      <c r="H223" s="81">
        <v>85</v>
      </c>
      <c r="I223" s="81">
        <v>0</v>
      </c>
      <c r="J223" s="81">
        <v>9062</v>
      </c>
      <c r="K223" s="81">
        <v>3631</v>
      </c>
      <c r="L223" s="81">
        <v>0</v>
      </c>
      <c r="M223" s="81">
        <v>12693</v>
      </c>
      <c r="N223" s="81">
        <v>78222</v>
      </c>
      <c r="O223" s="82">
        <v>1.4875190437126451</v>
      </c>
      <c r="P223" s="82">
        <v>7.6695183405601783</v>
      </c>
      <c r="Q223" s="82">
        <v>9.1669987108871442</v>
      </c>
    </row>
    <row r="224" spans="1:17" ht="15.75" thickBot="1" x14ac:dyDescent="0.3">
      <c r="A224" s="79" t="s">
        <v>798</v>
      </c>
      <c r="B224" s="80" t="s">
        <v>797</v>
      </c>
      <c r="C224" s="79" t="s">
        <v>25</v>
      </c>
      <c r="D224" s="81">
        <v>11811</v>
      </c>
      <c r="E224" s="81">
        <v>38542</v>
      </c>
      <c r="F224" s="81">
        <v>2711</v>
      </c>
      <c r="G224" s="81">
        <v>3250</v>
      </c>
      <c r="H224" s="81">
        <v>167</v>
      </c>
      <c r="I224" s="81">
        <v>3</v>
      </c>
      <c r="J224" s="81">
        <v>19444</v>
      </c>
      <c r="K224" s="81">
        <v>178717</v>
      </c>
      <c r="L224" s="81">
        <v>16318</v>
      </c>
      <c r="M224" s="81">
        <v>214479</v>
      </c>
      <c r="N224" s="81">
        <v>259149</v>
      </c>
      <c r="O224" s="82">
        <v>18.159258318516638</v>
      </c>
      <c r="P224" s="82">
        <v>3.7679282025230716</v>
      </c>
      <c r="Q224" s="82">
        <v>21.941325882651764</v>
      </c>
    </row>
    <row r="225" spans="1:17" ht="15.75" thickBot="1" x14ac:dyDescent="0.3">
      <c r="A225" s="79" t="s">
        <v>804</v>
      </c>
      <c r="B225" s="80" t="s">
        <v>803</v>
      </c>
      <c r="C225" s="79" t="s">
        <v>25</v>
      </c>
      <c r="D225" s="81">
        <v>10014</v>
      </c>
      <c r="E225" s="81">
        <v>25478</v>
      </c>
      <c r="F225" s="81">
        <v>1317</v>
      </c>
      <c r="G225" s="81">
        <v>2974</v>
      </c>
      <c r="H225" s="81">
        <v>17</v>
      </c>
      <c r="I225" s="81">
        <v>27</v>
      </c>
      <c r="J225" s="81">
        <v>26399</v>
      </c>
      <c r="K225" s="81">
        <v>5381</v>
      </c>
      <c r="L225" s="81">
        <v>137</v>
      </c>
      <c r="M225" s="81">
        <v>31917</v>
      </c>
      <c r="N225" s="81">
        <v>61686</v>
      </c>
      <c r="O225" s="82">
        <v>3.1872378669862194</v>
      </c>
      <c r="P225" s="82">
        <v>2.9727381665668067</v>
      </c>
      <c r="Q225" s="82">
        <v>6.1599760335530256</v>
      </c>
    </row>
    <row r="226" spans="1:17" ht="15.75" thickBot="1" x14ac:dyDescent="0.3">
      <c r="A226" s="79" t="s">
        <v>19</v>
      </c>
      <c r="B226" s="80" t="s">
        <v>18</v>
      </c>
      <c r="C226" s="79" t="s">
        <v>22</v>
      </c>
      <c r="D226" s="81">
        <v>21133</v>
      </c>
      <c r="E226" s="81">
        <v>63423</v>
      </c>
      <c r="F226" s="81">
        <v>2992</v>
      </c>
      <c r="G226" s="81">
        <v>4583</v>
      </c>
      <c r="H226" s="81">
        <v>93</v>
      </c>
      <c r="I226" s="81">
        <v>16</v>
      </c>
      <c r="J226" s="81">
        <v>20435</v>
      </c>
      <c r="K226" s="81">
        <v>5722</v>
      </c>
      <c r="L226" s="81">
        <v>441</v>
      </c>
      <c r="M226" s="81">
        <v>26598</v>
      </c>
      <c r="N226" s="81">
        <v>97689</v>
      </c>
      <c r="O226" s="82">
        <v>1.2586002933800218</v>
      </c>
      <c r="P226" s="82">
        <v>3.3595798040978564</v>
      </c>
      <c r="Q226" s="82">
        <v>4.6225807978043818</v>
      </c>
    </row>
    <row r="227" spans="1:17" ht="15.75" thickBot="1" x14ac:dyDescent="0.3">
      <c r="A227" s="79" t="s">
        <v>36</v>
      </c>
      <c r="B227" s="80" t="s">
        <v>35</v>
      </c>
      <c r="C227" s="79" t="s">
        <v>22</v>
      </c>
      <c r="D227" s="81">
        <v>17401</v>
      </c>
      <c r="E227" s="81">
        <v>40666</v>
      </c>
      <c r="F227" s="81">
        <v>860</v>
      </c>
      <c r="G227" s="81">
        <v>2723</v>
      </c>
      <c r="H227" s="81">
        <v>47</v>
      </c>
      <c r="I227" s="81">
        <v>3</v>
      </c>
      <c r="J227" s="81">
        <v>12964</v>
      </c>
      <c r="K227" s="81">
        <v>2856</v>
      </c>
      <c r="L227" s="81">
        <v>734</v>
      </c>
      <c r="M227" s="81">
        <v>16554</v>
      </c>
      <c r="N227" s="81">
        <v>60803</v>
      </c>
      <c r="O227" s="82">
        <v>0.95132463651514276</v>
      </c>
      <c r="P227" s="82">
        <v>2.5428998333429114</v>
      </c>
      <c r="Q227" s="82">
        <v>3.4942244698580542</v>
      </c>
    </row>
    <row r="228" spans="1:17" ht="15.75" thickBot="1" x14ac:dyDescent="0.3">
      <c r="A228" s="79" t="s">
        <v>64</v>
      </c>
      <c r="B228" s="80" t="s">
        <v>63</v>
      </c>
      <c r="C228" s="79" t="s">
        <v>22</v>
      </c>
      <c r="D228" s="81">
        <v>21412</v>
      </c>
      <c r="E228" s="81">
        <v>53028</v>
      </c>
      <c r="F228" s="81">
        <v>4355</v>
      </c>
      <c r="G228" s="81">
        <v>11542</v>
      </c>
      <c r="H228" s="81">
        <v>82</v>
      </c>
      <c r="I228" s="81">
        <v>7</v>
      </c>
      <c r="J228" s="81">
        <v>44694</v>
      </c>
      <c r="K228" s="81">
        <v>38500</v>
      </c>
      <c r="L228" s="81">
        <v>853</v>
      </c>
      <c r="M228" s="81">
        <v>84047</v>
      </c>
      <c r="N228" s="81">
        <v>153054</v>
      </c>
      <c r="O228" s="82">
        <v>3.925228843639081</v>
      </c>
      <c r="P228" s="82">
        <v>3.2189893517653654</v>
      </c>
      <c r="Q228" s="82">
        <v>7.1480478236502893</v>
      </c>
    </row>
    <row r="229" spans="1:17" ht="15.75" thickBot="1" x14ac:dyDescent="0.3">
      <c r="A229" s="79" t="s">
        <v>68</v>
      </c>
      <c r="B229" s="80" t="s">
        <v>67</v>
      </c>
      <c r="C229" s="79" t="s">
        <v>22</v>
      </c>
      <c r="D229" s="81">
        <v>25883</v>
      </c>
      <c r="E229" s="81">
        <v>51477</v>
      </c>
      <c r="F229" s="81">
        <v>4325</v>
      </c>
      <c r="G229" s="81">
        <v>8103</v>
      </c>
      <c r="H229" s="81">
        <v>112</v>
      </c>
      <c r="I229" s="81">
        <v>6</v>
      </c>
      <c r="J229" s="81" t="s">
        <v>1624</v>
      </c>
      <c r="K229" s="81" t="s">
        <v>1624</v>
      </c>
      <c r="L229" s="81" t="s">
        <v>1624</v>
      </c>
      <c r="M229" s="81" t="s">
        <v>1624</v>
      </c>
      <c r="N229" s="81" t="s">
        <v>1625</v>
      </c>
      <c r="O229" s="81" t="s">
        <v>1625</v>
      </c>
      <c r="P229" s="82">
        <v>2.4689950933044855</v>
      </c>
      <c r="Q229" s="81" t="s">
        <v>1625</v>
      </c>
    </row>
    <row r="230" spans="1:17" ht="15.75" thickBot="1" x14ac:dyDescent="0.3">
      <c r="A230" s="79" t="s">
        <v>88</v>
      </c>
      <c r="B230" s="80" t="s">
        <v>87</v>
      </c>
      <c r="C230" s="79" t="s">
        <v>22</v>
      </c>
      <c r="D230" s="81">
        <v>24787</v>
      </c>
      <c r="E230" s="81">
        <v>112953</v>
      </c>
      <c r="F230" s="81">
        <v>2814</v>
      </c>
      <c r="G230" s="81">
        <v>6684</v>
      </c>
      <c r="H230" s="81">
        <v>72</v>
      </c>
      <c r="I230" s="81">
        <v>2</v>
      </c>
      <c r="J230" s="81">
        <v>17062</v>
      </c>
      <c r="K230" s="81">
        <v>3879</v>
      </c>
      <c r="L230" s="81">
        <v>290</v>
      </c>
      <c r="M230" s="81">
        <v>21231</v>
      </c>
      <c r="N230" s="81">
        <v>143754</v>
      </c>
      <c r="O230" s="82">
        <v>0.85653770121434625</v>
      </c>
      <c r="P230" s="82">
        <v>4.9401299068059874</v>
      </c>
      <c r="Q230" s="82">
        <v>5.7995723564771859</v>
      </c>
    </row>
    <row r="231" spans="1:17" ht="15.75" thickBot="1" x14ac:dyDescent="0.3">
      <c r="A231" s="79" t="s">
        <v>94</v>
      </c>
      <c r="B231" s="80" t="s">
        <v>93</v>
      </c>
      <c r="C231" s="79" t="s">
        <v>22</v>
      </c>
      <c r="D231" s="81">
        <v>14970</v>
      </c>
      <c r="E231" s="81">
        <v>61110</v>
      </c>
      <c r="F231" s="81">
        <v>6061</v>
      </c>
      <c r="G231" s="81">
        <v>8089</v>
      </c>
      <c r="H231" s="81">
        <v>105</v>
      </c>
      <c r="I231" s="81">
        <v>0</v>
      </c>
      <c r="J231" s="81">
        <v>43686</v>
      </c>
      <c r="K231" s="81">
        <v>19883</v>
      </c>
      <c r="L231" s="81">
        <v>852</v>
      </c>
      <c r="M231" s="81">
        <v>64421</v>
      </c>
      <c r="N231" s="81">
        <v>139681</v>
      </c>
      <c r="O231" s="82">
        <v>4.303340013360053</v>
      </c>
      <c r="P231" s="82">
        <v>5.0273881095524384</v>
      </c>
      <c r="Q231" s="82">
        <v>9.3307281229124914</v>
      </c>
    </row>
    <row r="232" spans="1:17" ht="15.75" thickBot="1" x14ac:dyDescent="0.3">
      <c r="A232" s="79" t="s">
        <v>104</v>
      </c>
      <c r="B232" s="80" t="s">
        <v>103</v>
      </c>
      <c r="C232" s="79" t="s">
        <v>22</v>
      </c>
      <c r="D232" s="81">
        <v>20025</v>
      </c>
      <c r="E232" s="81">
        <v>42267</v>
      </c>
      <c r="F232" s="81">
        <v>1986</v>
      </c>
      <c r="G232" s="81">
        <v>4147</v>
      </c>
      <c r="H232" s="81">
        <v>2</v>
      </c>
      <c r="I232" s="81">
        <v>0</v>
      </c>
      <c r="J232" s="81">
        <v>6412</v>
      </c>
      <c r="K232" s="81">
        <v>6278</v>
      </c>
      <c r="L232" s="81">
        <v>1317</v>
      </c>
      <c r="M232" s="81">
        <v>14007</v>
      </c>
      <c r="N232" s="81">
        <v>62407</v>
      </c>
      <c r="O232" s="82">
        <v>0.69947565543071166</v>
      </c>
      <c r="P232" s="82">
        <v>2.4169787765293385</v>
      </c>
      <c r="Q232" s="82">
        <v>3.11645443196005</v>
      </c>
    </row>
    <row r="233" spans="1:17" ht="15.75" thickBot="1" x14ac:dyDescent="0.3">
      <c r="A233" s="79" t="s">
        <v>116</v>
      </c>
      <c r="B233" s="80" t="s">
        <v>115</v>
      </c>
      <c r="C233" s="79" t="s">
        <v>22</v>
      </c>
      <c r="D233" s="81">
        <v>15175</v>
      </c>
      <c r="E233" s="81">
        <v>39657</v>
      </c>
      <c r="F233" s="81">
        <v>4333</v>
      </c>
      <c r="G233" s="81">
        <v>6297</v>
      </c>
      <c r="H233" s="81">
        <v>54</v>
      </c>
      <c r="I233" s="81">
        <v>4</v>
      </c>
      <c r="J233" s="81">
        <v>83287</v>
      </c>
      <c r="K233" s="81">
        <v>35054</v>
      </c>
      <c r="L233" s="81">
        <v>0</v>
      </c>
      <c r="M233" s="81">
        <v>118341</v>
      </c>
      <c r="N233" s="81">
        <v>168628</v>
      </c>
      <c r="O233" s="82">
        <v>7.7984184514003294</v>
      </c>
      <c r="P233" s="82">
        <v>3.3138056013179571</v>
      </c>
      <c r="Q233" s="82">
        <v>11.112224052718286</v>
      </c>
    </row>
    <row r="234" spans="1:17" ht="15.75" thickBot="1" x14ac:dyDescent="0.3">
      <c r="A234" s="79" t="s">
        <v>118</v>
      </c>
      <c r="B234" s="80" t="s">
        <v>117</v>
      </c>
      <c r="C234" s="79" t="s">
        <v>22</v>
      </c>
      <c r="D234" s="81">
        <v>12667</v>
      </c>
      <c r="E234" s="81">
        <v>33407</v>
      </c>
      <c r="F234" s="81">
        <v>1561</v>
      </c>
      <c r="G234" s="81">
        <v>2345</v>
      </c>
      <c r="H234" s="81">
        <v>125</v>
      </c>
      <c r="I234" s="81">
        <v>2</v>
      </c>
      <c r="J234" s="81">
        <v>7155</v>
      </c>
      <c r="K234" s="81">
        <v>3495</v>
      </c>
      <c r="L234" s="81">
        <v>0</v>
      </c>
      <c r="M234" s="81">
        <v>10650</v>
      </c>
      <c r="N234" s="81">
        <v>47963</v>
      </c>
      <c r="O234" s="82">
        <v>0.84076734822767818</v>
      </c>
      <c r="P234" s="82">
        <v>2.9456856398515829</v>
      </c>
      <c r="Q234" s="82">
        <v>3.7864529880792612</v>
      </c>
    </row>
    <row r="235" spans="1:17" ht="15.75" thickBot="1" x14ac:dyDescent="0.3">
      <c r="A235" s="79" t="s">
        <v>122</v>
      </c>
      <c r="B235" s="80" t="s">
        <v>121</v>
      </c>
      <c r="C235" s="79" t="s">
        <v>22</v>
      </c>
      <c r="D235" s="81">
        <v>19336</v>
      </c>
      <c r="E235" s="81">
        <v>37725</v>
      </c>
      <c r="F235" s="81">
        <v>3040</v>
      </c>
      <c r="G235" s="81">
        <v>2351</v>
      </c>
      <c r="H235" s="81">
        <v>50</v>
      </c>
      <c r="I235" s="81">
        <v>3</v>
      </c>
      <c r="J235" s="81">
        <v>20560</v>
      </c>
      <c r="K235" s="81">
        <v>4622</v>
      </c>
      <c r="L235" s="81">
        <v>2</v>
      </c>
      <c r="M235" s="81">
        <v>25184</v>
      </c>
      <c r="N235" s="81">
        <v>68350</v>
      </c>
      <c r="O235" s="82">
        <v>1.3024410426148116</v>
      </c>
      <c r="P235" s="82">
        <v>2.2298303682250724</v>
      </c>
      <c r="Q235" s="82">
        <v>3.5348572610674389</v>
      </c>
    </row>
    <row r="236" spans="1:17" ht="15.75" thickBot="1" x14ac:dyDescent="0.3">
      <c r="A236" s="79" t="s">
        <v>158</v>
      </c>
      <c r="B236" s="80" t="s">
        <v>157</v>
      </c>
      <c r="C236" s="79" t="s">
        <v>22</v>
      </c>
      <c r="D236" s="81">
        <v>15068</v>
      </c>
      <c r="E236" s="81">
        <v>41765</v>
      </c>
      <c r="F236" s="81">
        <v>3097</v>
      </c>
      <c r="G236" s="81">
        <v>5398</v>
      </c>
      <c r="H236" s="81">
        <v>65</v>
      </c>
      <c r="I236" s="81">
        <v>8</v>
      </c>
      <c r="J236" s="81">
        <v>16487</v>
      </c>
      <c r="K236" s="81">
        <v>3857</v>
      </c>
      <c r="L236" s="81">
        <v>246</v>
      </c>
      <c r="M236" s="81">
        <v>20590</v>
      </c>
      <c r="N236" s="81">
        <v>70850</v>
      </c>
      <c r="O236" s="82">
        <v>1.3664719936288825</v>
      </c>
      <c r="P236" s="82">
        <v>3.335545526944518</v>
      </c>
      <c r="Q236" s="82">
        <v>4.7020175205734009</v>
      </c>
    </row>
    <row r="237" spans="1:17" ht="15.75" thickBot="1" x14ac:dyDescent="0.3">
      <c r="A237" s="79" t="s">
        <v>162</v>
      </c>
      <c r="B237" s="80" t="s">
        <v>161</v>
      </c>
      <c r="C237" s="79" t="s">
        <v>22</v>
      </c>
      <c r="D237" s="81">
        <v>24370</v>
      </c>
      <c r="E237" s="81">
        <v>47933</v>
      </c>
      <c r="F237" s="81">
        <v>2734</v>
      </c>
      <c r="G237" s="81">
        <v>4197</v>
      </c>
      <c r="H237" s="81">
        <v>51</v>
      </c>
      <c r="I237" s="81">
        <v>2</v>
      </c>
      <c r="J237" s="81">
        <v>7073</v>
      </c>
      <c r="K237" s="81">
        <v>98983</v>
      </c>
      <c r="L237" s="81">
        <v>38939</v>
      </c>
      <c r="M237" s="81">
        <v>144995</v>
      </c>
      <c r="N237" s="81">
        <v>199859</v>
      </c>
      <c r="O237" s="82">
        <v>5.949733278621256</v>
      </c>
      <c r="P237" s="82">
        <v>2.2512925728354536</v>
      </c>
      <c r="Q237" s="82">
        <v>8.2010258514567091</v>
      </c>
    </row>
    <row r="238" spans="1:17" ht="15.75" thickBot="1" x14ac:dyDescent="0.3">
      <c r="A238" s="79" t="s">
        <v>166</v>
      </c>
      <c r="B238" s="80" t="s">
        <v>165</v>
      </c>
      <c r="C238" s="79" t="s">
        <v>22</v>
      </c>
      <c r="D238" s="81">
        <v>13894</v>
      </c>
      <c r="E238" s="81">
        <v>58081</v>
      </c>
      <c r="F238" s="81">
        <v>4240</v>
      </c>
      <c r="G238" s="81">
        <v>3229</v>
      </c>
      <c r="H238" s="81">
        <v>120</v>
      </c>
      <c r="I238" s="81">
        <v>4</v>
      </c>
      <c r="J238" s="81">
        <v>22028</v>
      </c>
      <c r="K238" s="81">
        <v>3892</v>
      </c>
      <c r="L238" s="81">
        <v>134</v>
      </c>
      <c r="M238" s="81">
        <v>26054</v>
      </c>
      <c r="N238" s="81">
        <v>91604</v>
      </c>
      <c r="O238" s="82">
        <v>1.8751979271628041</v>
      </c>
      <c r="P238" s="82">
        <v>4.7178638261119907</v>
      </c>
      <c r="Q238" s="82">
        <v>6.593061753274795</v>
      </c>
    </row>
    <row r="239" spans="1:17" ht="15.75" thickBot="1" x14ac:dyDescent="0.3">
      <c r="A239" s="79" t="s">
        <v>168</v>
      </c>
      <c r="B239" s="80" t="s">
        <v>167</v>
      </c>
      <c r="C239" s="79" t="s">
        <v>22</v>
      </c>
      <c r="D239" s="81">
        <v>15010</v>
      </c>
      <c r="E239" s="81">
        <v>49343</v>
      </c>
      <c r="F239" s="81">
        <v>6999</v>
      </c>
      <c r="G239" s="81">
        <v>7474</v>
      </c>
      <c r="H239" s="81">
        <v>128</v>
      </c>
      <c r="I239" s="81">
        <v>7</v>
      </c>
      <c r="J239" s="81" t="s">
        <v>1624</v>
      </c>
      <c r="K239" s="81" t="s">
        <v>1624</v>
      </c>
      <c r="L239" s="81" t="s">
        <v>1624</v>
      </c>
      <c r="M239" s="81" t="s">
        <v>1624</v>
      </c>
      <c r="N239" s="81" t="s">
        <v>1625</v>
      </c>
      <c r="O239" s="81" t="s">
        <v>1625</v>
      </c>
      <c r="P239" s="82">
        <v>4.2515656229180543</v>
      </c>
      <c r="Q239" s="81" t="s">
        <v>1625</v>
      </c>
    </row>
    <row r="240" spans="1:17" ht="15.75" thickBot="1" x14ac:dyDescent="0.3">
      <c r="A240" s="79" t="s">
        <v>182</v>
      </c>
      <c r="B240" s="80" t="s">
        <v>181</v>
      </c>
      <c r="C240" s="79" t="s">
        <v>22</v>
      </c>
      <c r="D240" s="81">
        <v>12982</v>
      </c>
      <c r="E240" s="81">
        <v>68674</v>
      </c>
      <c r="F240" s="81">
        <v>1800</v>
      </c>
      <c r="G240" s="81">
        <v>4162</v>
      </c>
      <c r="H240" s="81">
        <v>50</v>
      </c>
      <c r="I240" s="81">
        <v>2</v>
      </c>
      <c r="J240" s="81">
        <v>17348</v>
      </c>
      <c r="K240" s="81">
        <v>3594</v>
      </c>
      <c r="L240" s="81">
        <v>291</v>
      </c>
      <c r="M240" s="81">
        <v>21233</v>
      </c>
      <c r="N240" s="81">
        <v>95869</v>
      </c>
      <c r="O240" s="82">
        <v>1.635572330919735</v>
      </c>
      <c r="P240" s="82">
        <v>5.7491911877984903</v>
      </c>
      <c r="Q240" s="82">
        <v>7.3847635187182252</v>
      </c>
    </row>
    <row r="241" spans="1:17" ht="15.75" thickBot="1" x14ac:dyDescent="0.3">
      <c r="A241" s="79" t="s">
        <v>192</v>
      </c>
      <c r="B241" s="80" t="s">
        <v>191</v>
      </c>
      <c r="C241" s="79" t="s">
        <v>22</v>
      </c>
      <c r="D241" s="81">
        <v>14854</v>
      </c>
      <c r="E241" s="81">
        <v>65140</v>
      </c>
      <c r="F241" s="81">
        <v>5149</v>
      </c>
      <c r="G241" s="81">
        <v>5524</v>
      </c>
      <c r="H241" s="81">
        <v>43</v>
      </c>
      <c r="I241" s="81">
        <v>3</v>
      </c>
      <c r="J241" s="81" t="s">
        <v>1624</v>
      </c>
      <c r="K241" s="81" t="s">
        <v>1624</v>
      </c>
      <c r="L241" s="81" t="s">
        <v>1624</v>
      </c>
      <c r="M241" s="81" t="s">
        <v>1624</v>
      </c>
      <c r="N241" s="81" t="s">
        <v>1625</v>
      </c>
      <c r="O241" s="81" t="s">
        <v>1625</v>
      </c>
      <c r="P241" s="82">
        <v>5.1038777433687894</v>
      </c>
      <c r="Q241" s="81" t="s">
        <v>1625</v>
      </c>
    </row>
    <row r="242" spans="1:17" ht="15.75" thickBot="1" x14ac:dyDescent="0.3">
      <c r="A242" s="79" t="s">
        <v>198</v>
      </c>
      <c r="B242" s="80" t="s">
        <v>197</v>
      </c>
      <c r="C242" s="79" t="s">
        <v>22</v>
      </c>
      <c r="D242" s="81">
        <v>14074</v>
      </c>
      <c r="E242" s="81">
        <v>45139</v>
      </c>
      <c r="F242" s="81">
        <v>2058</v>
      </c>
      <c r="G242" s="81">
        <v>5627</v>
      </c>
      <c r="H242" s="81">
        <v>26</v>
      </c>
      <c r="I242" s="81">
        <v>3</v>
      </c>
      <c r="J242" s="81">
        <v>9113</v>
      </c>
      <c r="K242" s="81">
        <v>4438</v>
      </c>
      <c r="L242" s="81">
        <v>285</v>
      </c>
      <c r="M242" s="81">
        <v>13836</v>
      </c>
      <c r="N242" s="81">
        <v>66660</v>
      </c>
      <c r="O242" s="82">
        <v>0.98308938468097196</v>
      </c>
      <c r="P242" s="82">
        <v>3.7533039647577091</v>
      </c>
      <c r="Q242" s="82">
        <v>4.7363933494386812</v>
      </c>
    </row>
    <row r="243" spans="1:17" ht="15.75" thickBot="1" x14ac:dyDescent="0.3">
      <c r="A243" s="79" t="s">
        <v>224</v>
      </c>
      <c r="B243" s="80" t="s">
        <v>223</v>
      </c>
      <c r="C243" s="79" t="s">
        <v>22</v>
      </c>
      <c r="D243" s="81">
        <v>20542</v>
      </c>
      <c r="E243" s="81">
        <v>29561</v>
      </c>
      <c r="F243" s="81">
        <v>1275</v>
      </c>
      <c r="G243" s="81">
        <v>5101</v>
      </c>
      <c r="H243" s="81">
        <v>52</v>
      </c>
      <c r="I243" s="81">
        <v>7</v>
      </c>
      <c r="J243" s="81">
        <v>19710</v>
      </c>
      <c r="K243" s="81">
        <v>7746</v>
      </c>
      <c r="L243" s="81">
        <v>1496</v>
      </c>
      <c r="M243" s="81">
        <v>28952</v>
      </c>
      <c r="N243" s="81">
        <v>64889</v>
      </c>
      <c r="O243" s="82">
        <v>1.4094051212150716</v>
      </c>
      <c r="P243" s="82">
        <v>1.7494401713562457</v>
      </c>
      <c r="Q243" s="82">
        <v>3.1588452925713173</v>
      </c>
    </row>
    <row r="244" spans="1:17" ht="15.75" thickBot="1" x14ac:dyDescent="0.3">
      <c r="A244" s="79" t="s">
        <v>226</v>
      </c>
      <c r="B244" s="80" t="s">
        <v>225</v>
      </c>
      <c r="C244" s="79" t="s">
        <v>22</v>
      </c>
      <c r="D244" s="81">
        <v>19591</v>
      </c>
      <c r="E244" s="81">
        <v>82414</v>
      </c>
      <c r="F244" s="81">
        <v>13508</v>
      </c>
      <c r="G244" s="81">
        <v>10951</v>
      </c>
      <c r="H244" s="81">
        <v>130</v>
      </c>
      <c r="I244" s="81">
        <v>13</v>
      </c>
      <c r="J244" s="81" t="s">
        <v>1624</v>
      </c>
      <c r="K244" s="81" t="s">
        <v>1624</v>
      </c>
      <c r="L244" s="81" t="s">
        <v>1624</v>
      </c>
      <c r="M244" s="81" t="s">
        <v>1624</v>
      </c>
      <c r="N244" s="81" t="s">
        <v>1625</v>
      </c>
      <c r="O244" s="81" t="s">
        <v>1625</v>
      </c>
      <c r="P244" s="82">
        <v>5.4552090245520901</v>
      </c>
      <c r="Q244" s="81" t="s">
        <v>1625</v>
      </c>
    </row>
    <row r="245" spans="1:17" ht="15.75" thickBot="1" x14ac:dyDescent="0.3">
      <c r="A245" s="79" t="s">
        <v>234</v>
      </c>
      <c r="B245" s="80" t="s">
        <v>233</v>
      </c>
      <c r="C245" s="79" t="s">
        <v>22</v>
      </c>
      <c r="D245" s="81">
        <v>13306</v>
      </c>
      <c r="E245" s="81">
        <v>24504</v>
      </c>
      <c r="F245" s="81">
        <v>673</v>
      </c>
      <c r="G245" s="81">
        <v>2669</v>
      </c>
      <c r="H245" s="81">
        <v>33</v>
      </c>
      <c r="I245" s="81">
        <v>4</v>
      </c>
      <c r="J245" s="81">
        <v>17062</v>
      </c>
      <c r="K245" s="81">
        <v>3879</v>
      </c>
      <c r="L245" s="81">
        <v>290</v>
      </c>
      <c r="M245" s="81">
        <v>21231</v>
      </c>
      <c r="N245" s="81">
        <v>49077</v>
      </c>
      <c r="O245" s="82">
        <v>1.5955959717420714</v>
      </c>
      <c r="P245" s="82">
        <v>2.0927401172403428</v>
      </c>
      <c r="Q245" s="82">
        <v>3.6883360889824139</v>
      </c>
    </row>
    <row r="246" spans="1:17" ht="15.75" thickBot="1" x14ac:dyDescent="0.3">
      <c r="A246" s="79" t="s">
        <v>244</v>
      </c>
      <c r="B246" s="80" t="s">
        <v>243</v>
      </c>
      <c r="C246" s="79" t="s">
        <v>22</v>
      </c>
      <c r="D246" s="81">
        <v>12670</v>
      </c>
      <c r="E246" s="81">
        <v>11747</v>
      </c>
      <c r="F246" s="81">
        <v>485</v>
      </c>
      <c r="G246" s="81">
        <v>954</v>
      </c>
      <c r="H246" s="81">
        <v>44</v>
      </c>
      <c r="I246" s="81">
        <v>3</v>
      </c>
      <c r="J246" s="81" t="s">
        <v>1624</v>
      </c>
      <c r="K246" s="81" t="s">
        <v>1624</v>
      </c>
      <c r="L246" s="81" t="s">
        <v>1624</v>
      </c>
      <c r="M246" s="81" t="s">
        <v>1624</v>
      </c>
      <c r="N246" s="81" t="s">
        <v>1625</v>
      </c>
      <c r="O246" s="81" t="s">
        <v>1625</v>
      </c>
      <c r="P246" s="82">
        <v>1.0407261247040251</v>
      </c>
      <c r="Q246" s="81" t="s">
        <v>1625</v>
      </c>
    </row>
    <row r="247" spans="1:17" ht="15.75" thickBot="1" x14ac:dyDescent="0.3">
      <c r="A247" s="79" t="s">
        <v>260</v>
      </c>
      <c r="B247" s="80" t="s">
        <v>259</v>
      </c>
      <c r="C247" s="79" t="s">
        <v>22</v>
      </c>
      <c r="D247" s="81">
        <v>25830</v>
      </c>
      <c r="E247" s="81">
        <v>78704</v>
      </c>
      <c r="F247" s="81">
        <v>2884</v>
      </c>
      <c r="G247" s="81">
        <v>3831</v>
      </c>
      <c r="H247" s="81">
        <v>70</v>
      </c>
      <c r="I247" s="81">
        <v>6</v>
      </c>
      <c r="J247" s="81">
        <v>8825</v>
      </c>
      <c r="K247" s="81">
        <v>4309</v>
      </c>
      <c r="L247" s="81">
        <v>285</v>
      </c>
      <c r="M247" s="81">
        <v>13419</v>
      </c>
      <c r="N247" s="81">
        <v>98838</v>
      </c>
      <c r="O247" s="82">
        <v>0.51951219512195124</v>
      </c>
      <c r="P247" s="82">
        <v>3.3069686411149828</v>
      </c>
      <c r="Q247" s="82">
        <v>3.8264808362369336</v>
      </c>
    </row>
    <row r="248" spans="1:17" ht="15.75" thickBot="1" x14ac:dyDescent="0.3">
      <c r="A248" s="79" t="s">
        <v>268</v>
      </c>
      <c r="B248" s="80" t="s">
        <v>267</v>
      </c>
      <c r="C248" s="79" t="s">
        <v>22</v>
      </c>
      <c r="D248" s="81">
        <v>14230</v>
      </c>
      <c r="E248" s="81">
        <v>41032</v>
      </c>
      <c r="F248" s="81">
        <v>367</v>
      </c>
      <c r="G248" s="81">
        <v>2609</v>
      </c>
      <c r="H248" s="81">
        <v>26</v>
      </c>
      <c r="I248" s="81">
        <v>2</v>
      </c>
      <c r="J248" s="81">
        <v>9062</v>
      </c>
      <c r="K248" s="81">
        <v>12200</v>
      </c>
      <c r="L248" s="81">
        <v>0</v>
      </c>
      <c r="M248" s="81">
        <v>21262</v>
      </c>
      <c r="N248" s="81">
        <v>65296</v>
      </c>
      <c r="O248" s="82">
        <v>1.4941672522839073</v>
      </c>
      <c r="P248" s="82">
        <v>3.0926212227687984</v>
      </c>
      <c r="Q248" s="82">
        <v>4.5886156008432888</v>
      </c>
    </row>
    <row r="249" spans="1:17" ht="15.75" thickBot="1" x14ac:dyDescent="0.3">
      <c r="A249" s="79" t="s">
        <v>270</v>
      </c>
      <c r="B249" s="80" t="s">
        <v>269</v>
      </c>
      <c r="C249" s="79" t="s">
        <v>22</v>
      </c>
      <c r="D249" s="81">
        <v>19900</v>
      </c>
      <c r="E249" s="81">
        <v>56835</v>
      </c>
      <c r="F249" s="81">
        <v>7968</v>
      </c>
      <c r="G249" s="81">
        <v>9248</v>
      </c>
      <c r="H249" s="81">
        <v>107</v>
      </c>
      <c r="I249" s="81">
        <v>9</v>
      </c>
      <c r="J249" s="81">
        <v>35779</v>
      </c>
      <c r="K249" s="81">
        <v>47311</v>
      </c>
      <c r="L249" s="81">
        <v>31816</v>
      </c>
      <c r="M249" s="81">
        <v>114906</v>
      </c>
      <c r="N249" s="81">
        <v>188957</v>
      </c>
      <c r="O249" s="82">
        <v>5.7741708542713566</v>
      </c>
      <c r="P249" s="82">
        <v>3.7211557788944725</v>
      </c>
      <c r="Q249" s="82">
        <v>9.4953266331658295</v>
      </c>
    </row>
    <row r="250" spans="1:17" ht="15.75" thickBot="1" x14ac:dyDescent="0.3">
      <c r="A250" s="79" t="s">
        <v>274</v>
      </c>
      <c r="B250" s="80" t="s">
        <v>273</v>
      </c>
      <c r="C250" s="79" t="s">
        <v>22</v>
      </c>
      <c r="D250" s="81">
        <v>17626</v>
      </c>
      <c r="E250" s="81">
        <v>72869</v>
      </c>
      <c r="F250" s="81">
        <v>4856</v>
      </c>
      <c r="G250" s="81">
        <v>6347</v>
      </c>
      <c r="H250" s="81">
        <v>61</v>
      </c>
      <c r="I250" s="81">
        <v>4</v>
      </c>
      <c r="J250" s="81" t="s">
        <v>1624</v>
      </c>
      <c r="K250" s="81" t="s">
        <v>1624</v>
      </c>
      <c r="L250" s="81" t="s">
        <v>1624</v>
      </c>
      <c r="M250" s="81" t="s">
        <v>1624</v>
      </c>
      <c r="N250" s="81" t="s">
        <v>1625</v>
      </c>
      <c r="O250" s="81" t="s">
        <v>1625</v>
      </c>
      <c r="P250" s="82">
        <v>4.7697719278338822</v>
      </c>
      <c r="Q250" s="81" t="s">
        <v>1625</v>
      </c>
    </row>
    <row r="251" spans="1:17" ht="15.75" thickBot="1" x14ac:dyDescent="0.3">
      <c r="A251" s="79" t="s">
        <v>276</v>
      </c>
      <c r="B251" s="80" t="s">
        <v>275</v>
      </c>
      <c r="C251" s="79" t="s">
        <v>22</v>
      </c>
      <c r="D251" s="81">
        <v>17823</v>
      </c>
      <c r="E251" s="81">
        <v>50185</v>
      </c>
      <c r="F251" s="81">
        <v>8113</v>
      </c>
      <c r="G251" s="81">
        <v>4900</v>
      </c>
      <c r="H251" s="81">
        <v>60</v>
      </c>
      <c r="I251" s="81">
        <v>1</v>
      </c>
      <c r="J251" s="81">
        <v>16000</v>
      </c>
      <c r="K251" s="81">
        <v>2815</v>
      </c>
      <c r="L251" s="81">
        <v>4</v>
      </c>
      <c r="M251" s="81">
        <v>18819</v>
      </c>
      <c r="N251" s="81">
        <v>82017</v>
      </c>
      <c r="O251" s="82">
        <v>1.0558828480053863</v>
      </c>
      <c r="P251" s="82">
        <v>3.5458676990405658</v>
      </c>
      <c r="Q251" s="82">
        <v>4.6017505470459517</v>
      </c>
    </row>
    <row r="252" spans="1:17" ht="15.75" thickBot="1" x14ac:dyDescent="0.3">
      <c r="A252" s="79" t="s">
        <v>282</v>
      </c>
      <c r="B252" s="80" t="s">
        <v>281</v>
      </c>
      <c r="C252" s="79" t="s">
        <v>22</v>
      </c>
      <c r="D252" s="81">
        <v>17068</v>
      </c>
      <c r="E252" s="81">
        <v>32189</v>
      </c>
      <c r="F252" s="81">
        <v>3039</v>
      </c>
      <c r="G252" s="81">
        <v>4960</v>
      </c>
      <c r="H252" s="81">
        <v>22</v>
      </c>
      <c r="I252" s="81">
        <v>4</v>
      </c>
      <c r="J252" s="81">
        <v>6890</v>
      </c>
      <c r="K252" s="81">
        <v>1738</v>
      </c>
      <c r="L252" s="81">
        <v>0</v>
      </c>
      <c r="M252" s="81">
        <v>8628</v>
      </c>
      <c r="N252" s="81">
        <v>48816</v>
      </c>
      <c r="O252" s="82">
        <v>0.50550738223576286</v>
      </c>
      <c r="P252" s="82">
        <v>2.354581673306773</v>
      </c>
      <c r="Q252" s="82">
        <v>2.8600890555425358</v>
      </c>
    </row>
    <row r="253" spans="1:17" ht="15.75" thickBot="1" x14ac:dyDescent="0.3">
      <c r="A253" s="79" t="s">
        <v>288</v>
      </c>
      <c r="B253" s="80" t="s">
        <v>287</v>
      </c>
      <c r="C253" s="79" t="s">
        <v>22</v>
      </c>
      <c r="D253" s="81">
        <v>14480</v>
      </c>
      <c r="E253" s="81">
        <v>50778</v>
      </c>
      <c r="F253" s="81">
        <v>3292</v>
      </c>
      <c r="G253" s="81">
        <v>4983</v>
      </c>
      <c r="H253" s="81">
        <v>49</v>
      </c>
      <c r="I253" s="81">
        <v>12</v>
      </c>
      <c r="J253" s="81">
        <v>16943</v>
      </c>
      <c r="K253" s="81">
        <v>2905</v>
      </c>
      <c r="L253" s="81">
        <v>32</v>
      </c>
      <c r="M253" s="81">
        <v>19880</v>
      </c>
      <c r="N253" s="81">
        <v>78982</v>
      </c>
      <c r="O253" s="82">
        <v>1.3729281767955801</v>
      </c>
      <c r="P253" s="82">
        <v>4.0782458563535915</v>
      </c>
      <c r="Q253" s="82">
        <v>5.4545580110497234</v>
      </c>
    </row>
    <row r="254" spans="1:17" ht="15.75" thickBot="1" x14ac:dyDescent="0.3">
      <c r="A254" s="79" t="s">
        <v>292</v>
      </c>
      <c r="B254" s="80" t="s">
        <v>291</v>
      </c>
      <c r="C254" s="79" t="s">
        <v>22</v>
      </c>
      <c r="D254" s="81">
        <v>13326</v>
      </c>
      <c r="E254" s="81">
        <v>92297</v>
      </c>
      <c r="F254" s="81">
        <v>6472</v>
      </c>
      <c r="G254" s="81">
        <v>5366</v>
      </c>
      <c r="H254" s="81">
        <v>145</v>
      </c>
      <c r="I254" s="81">
        <v>7</v>
      </c>
      <c r="J254" s="81">
        <v>28015</v>
      </c>
      <c r="K254" s="81">
        <v>20932</v>
      </c>
      <c r="L254" s="81">
        <v>0</v>
      </c>
      <c r="M254" s="81">
        <v>48947</v>
      </c>
      <c r="N254" s="81">
        <v>153082</v>
      </c>
      <c r="O254" s="82">
        <v>3.6730451748461652</v>
      </c>
      <c r="P254" s="82">
        <v>7.8144229326129375</v>
      </c>
      <c r="Q254" s="82">
        <v>11.487468107459103</v>
      </c>
    </row>
    <row r="255" spans="1:17" ht="15.75" thickBot="1" x14ac:dyDescent="0.3">
      <c r="A255" s="79" t="s">
        <v>294</v>
      </c>
      <c r="B255" s="80" t="s">
        <v>293</v>
      </c>
      <c r="C255" s="79" t="s">
        <v>22</v>
      </c>
      <c r="D255" s="81">
        <v>13598</v>
      </c>
      <c r="E255" s="81">
        <v>16110</v>
      </c>
      <c r="F255" s="81">
        <v>388</v>
      </c>
      <c r="G255" s="81">
        <v>1026</v>
      </c>
      <c r="H255" s="81">
        <v>0</v>
      </c>
      <c r="I255" s="81">
        <v>3</v>
      </c>
      <c r="J255" s="81" t="s">
        <v>1624</v>
      </c>
      <c r="K255" s="81" t="s">
        <v>1624</v>
      </c>
      <c r="L255" s="81" t="s">
        <v>1624</v>
      </c>
      <c r="M255" s="81" t="s">
        <v>1624</v>
      </c>
      <c r="N255" s="81" t="s">
        <v>1625</v>
      </c>
      <c r="O255" s="81" t="s">
        <v>1625</v>
      </c>
      <c r="P255" s="82">
        <v>1.2887189292543022</v>
      </c>
      <c r="Q255" s="81" t="s">
        <v>1625</v>
      </c>
    </row>
    <row r="256" spans="1:17" ht="15.75" thickBot="1" x14ac:dyDescent="0.3">
      <c r="A256" s="79" t="s">
        <v>312</v>
      </c>
      <c r="B256" s="80" t="s">
        <v>311</v>
      </c>
      <c r="C256" s="79" t="s">
        <v>22</v>
      </c>
      <c r="D256" s="81">
        <v>25692</v>
      </c>
      <c r="E256" s="81">
        <v>61538</v>
      </c>
      <c r="F256" s="81">
        <v>4007</v>
      </c>
      <c r="G256" s="81">
        <v>5425</v>
      </c>
      <c r="H256" s="81">
        <v>74</v>
      </c>
      <c r="I256" s="81">
        <v>3</v>
      </c>
      <c r="J256" s="81">
        <v>16505</v>
      </c>
      <c r="K256" s="81">
        <v>4459</v>
      </c>
      <c r="L256" s="81">
        <v>0</v>
      </c>
      <c r="M256" s="81">
        <v>20964</v>
      </c>
      <c r="N256" s="81">
        <v>92008</v>
      </c>
      <c r="O256" s="82">
        <v>0.81597384399813166</v>
      </c>
      <c r="P256" s="82">
        <v>2.7623384711194148</v>
      </c>
      <c r="Q256" s="82">
        <v>3.581192589132804</v>
      </c>
    </row>
    <row r="257" spans="1:17" ht="15.75" thickBot="1" x14ac:dyDescent="0.3">
      <c r="A257" s="79" t="s">
        <v>320</v>
      </c>
      <c r="B257" s="80" t="s">
        <v>319</v>
      </c>
      <c r="C257" s="79" t="s">
        <v>22</v>
      </c>
      <c r="D257" s="81">
        <v>15959</v>
      </c>
      <c r="E257" s="81">
        <v>32318</v>
      </c>
      <c r="F257" s="81">
        <v>1797</v>
      </c>
      <c r="G257" s="81">
        <v>3156</v>
      </c>
      <c r="H257" s="81">
        <v>33</v>
      </c>
      <c r="I257" s="81">
        <v>18</v>
      </c>
      <c r="J257" s="81">
        <v>82886</v>
      </c>
      <c r="K257" s="81">
        <v>27846</v>
      </c>
      <c r="L257" s="81">
        <v>0</v>
      </c>
      <c r="M257" s="81">
        <v>110732</v>
      </c>
      <c r="N257" s="81">
        <v>148003</v>
      </c>
      <c r="O257" s="82">
        <v>6.9385299830816471</v>
      </c>
      <c r="P257" s="82">
        <v>2.3354220189234915</v>
      </c>
      <c r="Q257" s="82">
        <v>9.2739520020051387</v>
      </c>
    </row>
    <row r="258" spans="1:17" ht="15.75" thickBot="1" x14ac:dyDescent="0.3">
      <c r="A258" s="79" t="s">
        <v>330</v>
      </c>
      <c r="B258" s="80" t="s">
        <v>329</v>
      </c>
      <c r="C258" s="79" t="s">
        <v>22</v>
      </c>
      <c r="D258" s="81">
        <v>21165</v>
      </c>
      <c r="E258" s="81">
        <v>37406</v>
      </c>
      <c r="F258" s="81">
        <v>4339</v>
      </c>
      <c r="G258" s="81">
        <v>4982</v>
      </c>
      <c r="H258" s="81">
        <v>51</v>
      </c>
      <c r="I258" s="81">
        <v>3</v>
      </c>
      <c r="J258" s="81">
        <v>2418</v>
      </c>
      <c r="K258" s="81">
        <v>442</v>
      </c>
      <c r="L258" s="81">
        <v>0</v>
      </c>
      <c r="M258" s="81">
        <v>2860</v>
      </c>
      <c r="N258" s="81">
        <v>49587</v>
      </c>
      <c r="O258" s="82">
        <v>0.13512875029529883</v>
      </c>
      <c r="P258" s="82">
        <v>2.2077486416253249</v>
      </c>
      <c r="Q258" s="82">
        <v>2.3428773919206236</v>
      </c>
    </row>
    <row r="259" spans="1:17" ht="15.75" thickBot="1" x14ac:dyDescent="0.3">
      <c r="A259" s="79" t="s">
        <v>332</v>
      </c>
      <c r="B259" s="80" t="s">
        <v>331</v>
      </c>
      <c r="C259" s="79" t="s">
        <v>22</v>
      </c>
      <c r="D259" s="81">
        <v>22423</v>
      </c>
      <c r="E259" s="81">
        <v>75690</v>
      </c>
      <c r="F259" s="81">
        <v>461</v>
      </c>
      <c r="G259" s="81">
        <v>1577</v>
      </c>
      <c r="H259" s="81">
        <v>33</v>
      </c>
      <c r="I259" s="81">
        <v>0</v>
      </c>
      <c r="J259" s="81">
        <v>0</v>
      </c>
      <c r="K259" s="81">
        <v>0</v>
      </c>
      <c r="L259" s="81">
        <v>0</v>
      </c>
      <c r="M259" s="81">
        <v>0</v>
      </c>
      <c r="N259" s="81">
        <v>77728</v>
      </c>
      <c r="O259" s="82">
        <v>0</v>
      </c>
      <c r="P259" s="82">
        <v>3.4664407082014002</v>
      </c>
      <c r="Q259" s="82">
        <v>3.4664407082014002</v>
      </c>
    </row>
    <row r="260" spans="1:17" ht="15.75" thickBot="1" x14ac:dyDescent="0.3">
      <c r="A260" s="79" t="s">
        <v>336</v>
      </c>
      <c r="B260" s="80" t="s">
        <v>335</v>
      </c>
      <c r="C260" s="79" t="s">
        <v>22</v>
      </c>
      <c r="D260" s="81">
        <v>14236</v>
      </c>
      <c r="E260" s="81">
        <v>40713</v>
      </c>
      <c r="F260" s="81">
        <v>3237</v>
      </c>
      <c r="G260" s="81">
        <v>3456</v>
      </c>
      <c r="H260" s="81">
        <v>21</v>
      </c>
      <c r="I260" s="81">
        <v>4</v>
      </c>
      <c r="J260" s="81">
        <v>13267</v>
      </c>
      <c r="K260" s="81">
        <v>2695</v>
      </c>
      <c r="L260" s="81">
        <v>32</v>
      </c>
      <c r="M260" s="81">
        <v>15994</v>
      </c>
      <c r="N260" s="81">
        <v>63400</v>
      </c>
      <c r="O260" s="82">
        <v>1.1234897443101994</v>
      </c>
      <c r="P260" s="82">
        <v>3.3300084293340828</v>
      </c>
      <c r="Q260" s="82">
        <v>4.4534981736442818</v>
      </c>
    </row>
    <row r="261" spans="1:17" ht="15.75" thickBot="1" x14ac:dyDescent="0.3">
      <c r="A261" s="79" t="s">
        <v>338</v>
      </c>
      <c r="B261" s="80" t="s">
        <v>337</v>
      </c>
      <c r="C261" s="79" t="s">
        <v>22</v>
      </c>
      <c r="D261" s="81">
        <v>12920</v>
      </c>
      <c r="E261" s="81">
        <v>28451</v>
      </c>
      <c r="F261" s="81">
        <v>911</v>
      </c>
      <c r="G261" s="81">
        <v>1096</v>
      </c>
      <c r="H261" s="81">
        <v>50</v>
      </c>
      <c r="I261" s="81">
        <v>1</v>
      </c>
      <c r="J261" s="81">
        <v>23152</v>
      </c>
      <c r="K261" s="81">
        <v>2235</v>
      </c>
      <c r="L261" s="81">
        <v>184</v>
      </c>
      <c r="M261" s="81">
        <v>25571</v>
      </c>
      <c r="N261" s="81">
        <v>56079</v>
      </c>
      <c r="O261" s="82">
        <v>1.9791795665634675</v>
      </c>
      <c r="P261" s="82">
        <v>2.3574303405572756</v>
      </c>
      <c r="Q261" s="82">
        <v>4.3404798761609911</v>
      </c>
    </row>
    <row r="262" spans="1:17" ht="15.75" thickBot="1" x14ac:dyDescent="0.3">
      <c r="A262" s="79" t="s">
        <v>340</v>
      </c>
      <c r="B262" s="80" t="s">
        <v>339</v>
      </c>
      <c r="C262" s="79" t="s">
        <v>22</v>
      </c>
      <c r="D262" s="81">
        <v>24587</v>
      </c>
      <c r="E262" s="81">
        <v>21299</v>
      </c>
      <c r="F262" s="81">
        <v>2003</v>
      </c>
      <c r="G262" s="81">
        <v>3674</v>
      </c>
      <c r="H262" s="81">
        <v>7</v>
      </c>
      <c r="I262" s="81">
        <v>7</v>
      </c>
      <c r="J262" s="81">
        <v>13704</v>
      </c>
      <c r="K262" s="81">
        <v>3798</v>
      </c>
      <c r="L262" s="81">
        <v>103</v>
      </c>
      <c r="M262" s="81">
        <v>17605</v>
      </c>
      <c r="N262" s="81">
        <v>44588</v>
      </c>
      <c r="O262" s="82">
        <v>0.71602879570504741</v>
      </c>
      <c r="P262" s="82">
        <v>1.0971651685850246</v>
      </c>
      <c r="Q262" s="82">
        <v>1.813478667588563</v>
      </c>
    </row>
    <row r="263" spans="1:17" ht="15.75" thickBot="1" x14ac:dyDescent="0.3">
      <c r="A263" s="79" t="s">
        <v>346</v>
      </c>
      <c r="B263" s="80" t="s">
        <v>345</v>
      </c>
      <c r="C263" s="79" t="s">
        <v>22</v>
      </c>
      <c r="D263" s="81">
        <v>13233</v>
      </c>
      <c r="E263" s="81">
        <v>39850</v>
      </c>
      <c r="F263" s="81">
        <v>2145</v>
      </c>
      <c r="G263" s="81">
        <v>4945</v>
      </c>
      <c r="H263" s="81">
        <v>41</v>
      </c>
      <c r="I263" s="81">
        <v>3</v>
      </c>
      <c r="J263" s="81" t="s">
        <v>1624</v>
      </c>
      <c r="K263" s="81" t="s">
        <v>1624</v>
      </c>
      <c r="L263" s="81" t="s">
        <v>1624</v>
      </c>
      <c r="M263" s="81" t="s">
        <v>1624</v>
      </c>
      <c r="N263" s="81" t="s">
        <v>1625</v>
      </c>
      <c r="O263" s="81" t="s">
        <v>1625</v>
      </c>
      <c r="P263" s="82">
        <v>3.5471926244993575</v>
      </c>
      <c r="Q263" s="81" t="s">
        <v>1625</v>
      </c>
    </row>
    <row r="264" spans="1:17" ht="15.75" thickBot="1" x14ac:dyDescent="0.3">
      <c r="A264" s="79" t="s">
        <v>348</v>
      </c>
      <c r="B264" s="80" t="s">
        <v>347</v>
      </c>
      <c r="C264" s="79" t="s">
        <v>22</v>
      </c>
      <c r="D264" s="81">
        <v>16422</v>
      </c>
      <c r="E264" s="81">
        <v>74242</v>
      </c>
      <c r="F264" s="81">
        <v>3308</v>
      </c>
      <c r="G264" s="81">
        <v>4668</v>
      </c>
      <c r="H264" s="81">
        <v>47</v>
      </c>
      <c r="I264" s="81">
        <v>3</v>
      </c>
      <c r="J264" s="81">
        <v>21662</v>
      </c>
      <c r="K264" s="81">
        <v>7665</v>
      </c>
      <c r="L264" s="81">
        <v>814</v>
      </c>
      <c r="M264" s="81">
        <v>30141</v>
      </c>
      <c r="N264" s="81">
        <v>112359</v>
      </c>
      <c r="O264" s="82">
        <v>1.8354037267080745</v>
      </c>
      <c r="P264" s="82">
        <v>5.0065765436609428</v>
      </c>
      <c r="Q264" s="82">
        <v>6.8419802703690173</v>
      </c>
    </row>
    <row r="265" spans="1:17" ht="15.75" thickBot="1" x14ac:dyDescent="0.3">
      <c r="A265" s="79" t="s">
        <v>356</v>
      </c>
      <c r="B265" s="80" t="s">
        <v>355</v>
      </c>
      <c r="C265" s="79" t="s">
        <v>22</v>
      </c>
      <c r="D265" s="81">
        <v>19202</v>
      </c>
      <c r="E265" s="81">
        <v>76155</v>
      </c>
      <c r="F265" s="81">
        <v>5265</v>
      </c>
      <c r="G265" s="81">
        <v>6801</v>
      </c>
      <c r="H265" s="81">
        <v>117</v>
      </c>
      <c r="I265" s="81">
        <v>4</v>
      </c>
      <c r="J265" s="81">
        <v>49412</v>
      </c>
      <c r="K265" s="81">
        <v>14756</v>
      </c>
      <c r="L265" s="81">
        <v>1094</v>
      </c>
      <c r="M265" s="81">
        <v>65262</v>
      </c>
      <c r="N265" s="81">
        <v>153600</v>
      </c>
      <c r="O265" s="82">
        <v>3.3987084678679302</v>
      </c>
      <c r="P265" s="82">
        <v>4.5943651702947612</v>
      </c>
      <c r="Q265" s="82">
        <v>7.9991667534631805</v>
      </c>
    </row>
    <row r="266" spans="1:17" ht="15.75" thickBot="1" x14ac:dyDescent="0.3">
      <c r="A266" s="79" t="s">
        <v>360</v>
      </c>
      <c r="B266" s="80" t="s">
        <v>359</v>
      </c>
      <c r="C266" s="79" t="s">
        <v>22</v>
      </c>
      <c r="D266" s="81">
        <v>23088</v>
      </c>
      <c r="E266" s="81">
        <v>31949</v>
      </c>
      <c r="F266" s="81">
        <v>2784</v>
      </c>
      <c r="G266" s="81">
        <v>2402</v>
      </c>
      <c r="H266" s="81">
        <v>38</v>
      </c>
      <c r="I266" s="81">
        <v>0</v>
      </c>
      <c r="J266" s="81">
        <v>15000</v>
      </c>
      <c r="K266" s="81">
        <v>3131</v>
      </c>
      <c r="L266" s="81">
        <v>406</v>
      </c>
      <c r="M266" s="81">
        <v>18537</v>
      </c>
      <c r="N266" s="81">
        <v>55672</v>
      </c>
      <c r="O266" s="82">
        <v>0.80288461538461542</v>
      </c>
      <c r="P266" s="82">
        <v>1.6084112959112959</v>
      </c>
      <c r="Q266" s="82">
        <v>2.4112959112959111</v>
      </c>
    </row>
    <row r="267" spans="1:17" ht="15.75" thickBot="1" x14ac:dyDescent="0.3">
      <c r="A267" s="79" t="s">
        <v>368</v>
      </c>
      <c r="B267" s="80" t="s">
        <v>367</v>
      </c>
      <c r="C267" s="79" t="s">
        <v>22</v>
      </c>
      <c r="D267" s="81">
        <v>15322</v>
      </c>
      <c r="E267" s="81">
        <v>30586</v>
      </c>
      <c r="F267" s="81">
        <v>2543</v>
      </c>
      <c r="G267" s="81">
        <v>4532</v>
      </c>
      <c r="H267" s="81">
        <v>70</v>
      </c>
      <c r="I267" s="81">
        <v>4</v>
      </c>
      <c r="J267" s="81">
        <v>21028</v>
      </c>
      <c r="K267" s="81">
        <v>4852</v>
      </c>
      <c r="L267" s="81">
        <v>80</v>
      </c>
      <c r="M267" s="81">
        <v>25960</v>
      </c>
      <c r="N267" s="81">
        <v>63621</v>
      </c>
      <c r="O267" s="82">
        <v>1.6942957838402297</v>
      </c>
      <c r="P267" s="82">
        <v>2.4579689335595876</v>
      </c>
      <c r="Q267" s="82">
        <v>4.1522647173998175</v>
      </c>
    </row>
    <row r="268" spans="1:17" ht="15.75" thickBot="1" x14ac:dyDescent="0.3">
      <c r="A268" s="79" t="s">
        <v>370</v>
      </c>
      <c r="B268" s="80" t="s">
        <v>369</v>
      </c>
      <c r="C268" s="79" t="s">
        <v>22</v>
      </c>
      <c r="D268" s="81">
        <v>22115</v>
      </c>
      <c r="E268" s="81">
        <v>65108</v>
      </c>
      <c r="F268" s="81">
        <v>5764</v>
      </c>
      <c r="G268" s="81">
        <v>5822</v>
      </c>
      <c r="H268" s="81">
        <v>121</v>
      </c>
      <c r="I268" s="81">
        <v>2</v>
      </c>
      <c r="J268" s="81">
        <v>16778</v>
      </c>
      <c r="K268" s="81">
        <v>7131</v>
      </c>
      <c r="L268" s="81">
        <v>293</v>
      </c>
      <c r="M268" s="81">
        <v>24202</v>
      </c>
      <c r="N268" s="81">
        <v>100896</v>
      </c>
      <c r="O268" s="82">
        <v>1.0943703368754238</v>
      </c>
      <c r="P268" s="82">
        <v>3.4679629210942799</v>
      </c>
      <c r="Q268" s="82">
        <v>4.562333257969704</v>
      </c>
    </row>
    <row r="269" spans="1:17" ht="15.75" thickBot="1" x14ac:dyDescent="0.3">
      <c r="A269" s="79" t="s">
        <v>384</v>
      </c>
      <c r="B269" s="80" t="s">
        <v>383</v>
      </c>
      <c r="C269" s="79" t="s">
        <v>22</v>
      </c>
      <c r="D269" s="81">
        <v>21638</v>
      </c>
      <c r="E269" s="81">
        <v>31951</v>
      </c>
      <c r="F269" s="81">
        <v>1745</v>
      </c>
      <c r="G269" s="81">
        <v>1869</v>
      </c>
      <c r="H269" s="81">
        <v>43</v>
      </c>
      <c r="I269" s="81">
        <v>4</v>
      </c>
      <c r="J269" s="81">
        <v>9516</v>
      </c>
      <c r="K269" s="81">
        <v>3917</v>
      </c>
      <c r="L269" s="81">
        <v>1</v>
      </c>
      <c r="M269" s="81">
        <v>13434</v>
      </c>
      <c r="N269" s="81">
        <v>49042</v>
      </c>
      <c r="O269" s="82">
        <v>0.62085220445512523</v>
      </c>
      <c r="P269" s="82">
        <v>1.6436361955818468</v>
      </c>
      <c r="Q269" s="82">
        <v>2.2664756446991405</v>
      </c>
    </row>
    <row r="270" spans="1:17" ht="15.75" thickBot="1" x14ac:dyDescent="0.3">
      <c r="A270" s="79" t="s">
        <v>390</v>
      </c>
      <c r="B270" s="80" t="s">
        <v>389</v>
      </c>
      <c r="C270" s="79" t="s">
        <v>22</v>
      </c>
      <c r="D270" s="81">
        <v>13600</v>
      </c>
      <c r="E270" s="81">
        <v>43102</v>
      </c>
      <c r="F270" s="81">
        <v>1621</v>
      </c>
      <c r="G270" s="81">
        <v>1554</v>
      </c>
      <c r="H270" s="81">
        <v>12</v>
      </c>
      <c r="I270" s="81">
        <v>0</v>
      </c>
      <c r="J270" s="81">
        <v>8466</v>
      </c>
      <c r="K270" s="81">
        <v>3967</v>
      </c>
      <c r="L270" s="81">
        <v>265</v>
      </c>
      <c r="M270" s="81">
        <v>12698</v>
      </c>
      <c r="N270" s="81">
        <v>58987</v>
      </c>
      <c r="O270" s="82">
        <v>0.93367647058823533</v>
      </c>
      <c r="P270" s="82">
        <v>3.4027205882352942</v>
      </c>
      <c r="Q270" s="82">
        <v>4.3372794117647056</v>
      </c>
    </row>
    <row r="271" spans="1:17" ht="15.75" thickBot="1" x14ac:dyDescent="0.3">
      <c r="A271" s="79" t="s">
        <v>404</v>
      </c>
      <c r="B271" s="80" t="s">
        <v>403</v>
      </c>
      <c r="C271" s="79" t="s">
        <v>22</v>
      </c>
      <c r="D271" s="81">
        <v>17153</v>
      </c>
      <c r="E271" s="81">
        <v>31295</v>
      </c>
      <c r="F271" s="81">
        <v>1486</v>
      </c>
      <c r="G271" s="81">
        <v>1495</v>
      </c>
      <c r="H271" s="81">
        <v>19</v>
      </c>
      <c r="I271" s="81">
        <v>1</v>
      </c>
      <c r="J271" s="81">
        <v>24373</v>
      </c>
      <c r="K271" s="81">
        <v>4338</v>
      </c>
      <c r="L271" s="81">
        <v>137</v>
      </c>
      <c r="M271" s="81">
        <v>28848</v>
      </c>
      <c r="N271" s="81">
        <v>63143</v>
      </c>
      <c r="O271" s="82">
        <v>1.6818049320818516</v>
      </c>
      <c r="P271" s="82">
        <v>1.9982510348044074</v>
      </c>
      <c r="Q271" s="82">
        <v>3.6811636448434677</v>
      </c>
    </row>
    <row r="272" spans="1:17" ht="15.75" thickBot="1" x14ac:dyDescent="0.3">
      <c r="A272" s="79" t="s">
        <v>423</v>
      </c>
      <c r="B272" s="80" t="s">
        <v>422</v>
      </c>
      <c r="C272" s="79" t="s">
        <v>22</v>
      </c>
      <c r="D272" s="81">
        <v>25369</v>
      </c>
      <c r="E272" s="81">
        <v>32022</v>
      </c>
      <c r="F272" s="81">
        <v>641</v>
      </c>
      <c r="G272" s="81">
        <v>644</v>
      </c>
      <c r="H272" s="81">
        <v>22</v>
      </c>
      <c r="I272" s="81">
        <v>0</v>
      </c>
      <c r="J272" s="81">
        <v>47496</v>
      </c>
      <c r="K272" s="81">
        <v>19883</v>
      </c>
      <c r="L272" s="81">
        <v>852</v>
      </c>
      <c r="M272" s="81">
        <v>68231</v>
      </c>
      <c r="N272" s="81">
        <v>101538</v>
      </c>
      <c r="O272" s="82">
        <v>2.6895423548425241</v>
      </c>
      <c r="P272" s="82">
        <v>1.3129015727856834</v>
      </c>
      <c r="Q272" s="82">
        <v>4.0024439276282076</v>
      </c>
    </row>
    <row r="273" spans="1:17" ht="15.75" thickBot="1" x14ac:dyDescent="0.3">
      <c r="A273" s="79" t="s">
        <v>439</v>
      </c>
      <c r="B273" s="80" t="s">
        <v>438</v>
      </c>
      <c r="C273" s="79" t="s">
        <v>22</v>
      </c>
      <c r="D273" s="81">
        <v>22258</v>
      </c>
      <c r="E273" s="81">
        <v>86443</v>
      </c>
      <c r="F273" s="81">
        <v>9094</v>
      </c>
      <c r="G273" s="81">
        <v>7168</v>
      </c>
      <c r="H273" s="81">
        <v>107</v>
      </c>
      <c r="I273" s="81">
        <v>15</v>
      </c>
      <c r="J273" s="81">
        <v>17146</v>
      </c>
      <c r="K273" s="81">
        <v>3857</v>
      </c>
      <c r="L273" s="81">
        <v>667</v>
      </c>
      <c r="M273" s="81">
        <v>21670</v>
      </c>
      <c r="N273" s="81">
        <v>124375</v>
      </c>
      <c r="O273" s="82">
        <v>0.9735825321232815</v>
      </c>
      <c r="P273" s="82">
        <v>4.6142959834666186</v>
      </c>
      <c r="Q273" s="82">
        <v>5.5878785155899005</v>
      </c>
    </row>
    <row r="274" spans="1:17" ht="15.75" thickBot="1" x14ac:dyDescent="0.3">
      <c r="A274" s="79" t="s">
        <v>452</v>
      </c>
      <c r="B274" s="80" t="s">
        <v>451</v>
      </c>
      <c r="C274" s="79" t="s">
        <v>22</v>
      </c>
      <c r="D274" s="81">
        <v>14545</v>
      </c>
      <c r="E274" s="81">
        <v>47766</v>
      </c>
      <c r="F274" s="81">
        <v>1992</v>
      </c>
      <c r="G274" s="81">
        <v>7400</v>
      </c>
      <c r="H274" s="81">
        <v>148</v>
      </c>
      <c r="I274" s="81">
        <v>16</v>
      </c>
      <c r="J274" s="81">
        <v>36374</v>
      </c>
      <c r="K274" s="81">
        <v>20333</v>
      </c>
      <c r="L274" s="81">
        <v>2922</v>
      </c>
      <c r="M274" s="81">
        <v>59629</v>
      </c>
      <c r="N274" s="81">
        <v>116787</v>
      </c>
      <c r="O274" s="82">
        <v>4.0996218631832244</v>
      </c>
      <c r="P274" s="82">
        <v>3.9297353042282572</v>
      </c>
      <c r="Q274" s="82">
        <v>8.0293571674114812</v>
      </c>
    </row>
    <row r="275" spans="1:17" ht="15.75" thickBot="1" x14ac:dyDescent="0.3">
      <c r="A275" s="79" t="s">
        <v>458</v>
      </c>
      <c r="B275" s="80" t="s">
        <v>457</v>
      </c>
      <c r="C275" s="79" t="s">
        <v>22</v>
      </c>
      <c r="D275" s="81">
        <v>13452</v>
      </c>
      <c r="E275" s="81">
        <v>42381</v>
      </c>
      <c r="F275" s="81">
        <v>1824</v>
      </c>
      <c r="G275" s="81">
        <v>1918</v>
      </c>
      <c r="H275" s="81">
        <v>65</v>
      </c>
      <c r="I275" s="81">
        <v>11</v>
      </c>
      <c r="J275" s="81">
        <v>13271</v>
      </c>
      <c r="K275" s="81">
        <v>4708</v>
      </c>
      <c r="L275" s="81">
        <v>61</v>
      </c>
      <c r="M275" s="81">
        <v>18040</v>
      </c>
      <c r="N275" s="81">
        <v>64163</v>
      </c>
      <c r="O275" s="82">
        <v>1.3410645257210823</v>
      </c>
      <c r="P275" s="82">
        <v>3.4287094855783526</v>
      </c>
      <c r="Q275" s="82">
        <v>4.7697740112994351</v>
      </c>
    </row>
    <row r="276" spans="1:17" ht="15.75" thickBot="1" x14ac:dyDescent="0.3">
      <c r="A276" s="79" t="s">
        <v>472</v>
      </c>
      <c r="B276" s="80" t="s">
        <v>471</v>
      </c>
      <c r="C276" s="79" t="s">
        <v>22</v>
      </c>
      <c r="D276" s="81">
        <v>22995</v>
      </c>
      <c r="E276" s="81">
        <v>63545</v>
      </c>
      <c r="F276" s="81">
        <v>7058</v>
      </c>
      <c r="G276" s="81">
        <v>10549</v>
      </c>
      <c r="H276" s="81">
        <v>179</v>
      </c>
      <c r="I276" s="81">
        <v>9</v>
      </c>
      <c r="J276" s="81">
        <v>24360</v>
      </c>
      <c r="K276" s="81">
        <v>43234</v>
      </c>
      <c r="L276" s="81">
        <v>1344</v>
      </c>
      <c r="M276" s="81">
        <v>68938</v>
      </c>
      <c r="N276" s="81">
        <v>150090</v>
      </c>
      <c r="O276" s="82">
        <v>2.9979560774081322</v>
      </c>
      <c r="P276" s="82">
        <v>3.5291150250054359</v>
      </c>
      <c r="Q276" s="82">
        <v>6.5270711024135686</v>
      </c>
    </row>
    <row r="277" spans="1:17" ht="15.75" thickBot="1" x14ac:dyDescent="0.3">
      <c r="A277" s="79" t="s">
        <v>482</v>
      </c>
      <c r="B277" s="80" t="s">
        <v>481</v>
      </c>
      <c r="C277" s="79" t="s">
        <v>22</v>
      </c>
      <c r="D277" s="81">
        <v>14948</v>
      </c>
      <c r="E277" s="81">
        <v>49003</v>
      </c>
      <c r="F277" s="81">
        <v>3725</v>
      </c>
      <c r="G277" s="81">
        <v>7628</v>
      </c>
      <c r="H277" s="81">
        <v>95</v>
      </c>
      <c r="I277" s="81">
        <v>4</v>
      </c>
      <c r="J277" s="81">
        <v>19839</v>
      </c>
      <c r="K277" s="81">
        <v>4444</v>
      </c>
      <c r="L277" s="81">
        <v>0</v>
      </c>
      <c r="M277" s="81">
        <v>24283</v>
      </c>
      <c r="N277" s="81">
        <v>84639</v>
      </c>
      <c r="O277" s="82">
        <v>1.6244982606368745</v>
      </c>
      <c r="P277" s="82">
        <v>4.0377308001070373</v>
      </c>
      <c r="Q277" s="82">
        <v>5.6622290607439121</v>
      </c>
    </row>
    <row r="278" spans="1:17" ht="15.75" thickBot="1" x14ac:dyDescent="0.3">
      <c r="A278" s="79" t="s">
        <v>486</v>
      </c>
      <c r="B278" s="80" t="s">
        <v>485</v>
      </c>
      <c r="C278" s="79" t="s">
        <v>22</v>
      </c>
      <c r="D278" s="81">
        <v>18393</v>
      </c>
      <c r="E278" s="81">
        <v>85712</v>
      </c>
      <c r="F278" s="81">
        <v>5340</v>
      </c>
      <c r="G278" s="81">
        <v>3102</v>
      </c>
      <c r="H278" s="81">
        <v>109</v>
      </c>
      <c r="I278" s="81">
        <v>4</v>
      </c>
      <c r="J278" s="81">
        <v>17427</v>
      </c>
      <c r="K278" s="81">
        <v>4046</v>
      </c>
      <c r="L278" s="81">
        <v>291</v>
      </c>
      <c r="M278" s="81">
        <v>21764</v>
      </c>
      <c r="N278" s="81">
        <v>116027</v>
      </c>
      <c r="O278" s="82">
        <v>1.1832762463980862</v>
      </c>
      <c r="P278" s="82">
        <v>5.1190126678627736</v>
      </c>
      <c r="Q278" s="82">
        <v>6.3082150818246072</v>
      </c>
    </row>
    <row r="279" spans="1:17" ht="15.75" thickBot="1" x14ac:dyDescent="0.3">
      <c r="A279" s="79" t="s">
        <v>496</v>
      </c>
      <c r="B279" s="80" t="s">
        <v>495</v>
      </c>
      <c r="C279" s="79" t="s">
        <v>22</v>
      </c>
      <c r="D279" s="81">
        <v>14384</v>
      </c>
      <c r="E279" s="81">
        <v>47104</v>
      </c>
      <c r="F279" s="81">
        <v>1681</v>
      </c>
      <c r="G279" s="81">
        <v>2320</v>
      </c>
      <c r="H279" s="81">
        <v>51</v>
      </c>
      <c r="I279" s="81">
        <v>1</v>
      </c>
      <c r="J279" s="81">
        <v>6891</v>
      </c>
      <c r="K279" s="81">
        <v>3646</v>
      </c>
      <c r="L279" s="81">
        <v>265</v>
      </c>
      <c r="M279" s="81">
        <v>10802</v>
      </c>
      <c r="N279" s="81">
        <v>61958</v>
      </c>
      <c r="O279" s="82">
        <v>0.75097330367074522</v>
      </c>
      <c r="P279" s="82">
        <v>3.5529060066740823</v>
      </c>
      <c r="Q279" s="82">
        <v>4.3074249165739706</v>
      </c>
    </row>
    <row r="280" spans="1:17" ht="15.75" thickBot="1" x14ac:dyDescent="0.3">
      <c r="A280" s="79" t="s">
        <v>500</v>
      </c>
      <c r="B280" s="80" t="s">
        <v>499</v>
      </c>
      <c r="C280" s="79" t="s">
        <v>22</v>
      </c>
      <c r="D280" s="81">
        <v>17511</v>
      </c>
      <c r="E280" s="81">
        <v>25302</v>
      </c>
      <c r="F280" s="81">
        <v>3060</v>
      </c>
      <c r="G280" s="81">
        <v>5190</v>
      </c>
      <c r="H280" s="81">
        <v>68</v>
      </c>
      <c r="I280" s="81">
        <v>0</v>
      </c>
      <c r="J280" s="81">
        <v>31021</v>
      </c>
      <c r="K280" s="81">
        <v>9800</v>
      </c>
      <c r="L280" s="81">
        <v>0</v>
      </c>
      <c r="M280" s="81">
        <v>40821</v>
      </c>
      <c r="N280" s="81">
        <v>74373</v>
      </c>
      <c r="O280" s="82">
        <v>2.331163268802467</v>
      </c>
      <c r="P280" s="82">
        <v>1.9160527668322769</v>
      </c>
      <c r="Q280" s="82">
        <v>4.2472160356347439</v>
      </c>
    </row>
    <row r="281" spans="1:17" ht="15.75" thickBot="1" x14ac:dyDescent="0.3">
      <c r="A281" s="79" t="s">
        <v>502</v>
      </c>
      <c r="B281" s="80" t="s">
        <v>501</v>
      </c>
      <c r="C281" s="79" t="s">
        <v>22</v>
      </c>
      <c r="D281" s="81">
        <v>15736</v>
      </c>
      <c r="E281" s="81">
        <v>68834</v>
      </c>
      <c r="F281" s="81">
        <v>3403</v>
      </c>
      <c r="G281" s="81">
        <v>6644</v>
      </c>
      <c r="H281" s="81">
        <v>195</v>
      </c>
      <c r="I281" s="81">
        <v>2</v>
      </c>
      <c r="J281" s="81">
        <v>21167</v>
      </c>
      <c r="K281" s="81">
        <v>8045</v>
      </c>
      <c r="L281" s="81">
        <v>953</v>
      </c>
      <c r="M281" s="81">
        <v>30165</v>
      </c>
      <c r="N281" s="81">
        <v>109241</v>
      </c>
      <c r="O281" s="82">
        <v>1.9169420437214031</v>
      </c>
      <c r="P281" s="82">
        <v>5.0127732587697</v>
      </c>
      <c r="Q281" s="82">
        <v>6.9421072699542448</v>
      </c>
    </row>
    <row r="282" spans="1:17" ht="15.75" thickBot="1" x14ac:dyDescent="0.3">
      <c r="A282" s="79" t="s">
        <v>506</v>
      </c>
      <c r="B282" s="80" t="s">
        <v>505</v>
      </c>
      <c r="C282" s="79" t="s">
        <v>22</v>
      </c>
      <c r="D282" s="81">
        <v>13097</v>
      </c>
      <c r="E282" s="81">
        <v>38100</v>
      </c>
      <c r="F282" s="81">
        <v>745</v>
      </c>
      <c r="G282" s="81">
        <v>2600</v>
      </c>
      <c r="H282" s="81">
        <v>60</v>
      </c>
      <c r="I282" s="81">
        <v>1</v>
      </c>
      <c r="J282" s="81">
        <v>26500</v>
      </c>
      <c r="K282" s="81">
        <v>5000</v>
      </c>
      <c r="L282" s="81">
        <v>200</v>
      </c>
      <c r="M282" s="81">
        <v>31700</v>
      </c>
      <c r="N282" s="81">
        <v>73145</v>
      </c>
      <c r="O282" s="82">
        <v>2.4204016186913035</v>
      </c>
      <c r="P282" s="82">
        <v>3.1644651446896237</v>
      </c>
      <c r="Q282" s="82">
        <v>5.5848667633809272</v>
      </c>
    </row>
    <row r="283" spans="1:17" ht="15.75" thickBot="1" x14ac:dyDescent="0.3">
      <c r="A283" s="79" t="s">
        <v>516</v>
      </c>
      <c r="B283" s="80" t="s">
        <v>515</v>
      </c>
      <c r="C283" s="79" t="s">
        <v>22</v>
      </c>
      <c r="D283" s="81">
        <v>22857</v>
      </c>
      <c r="E283" s="81">
        <v>70535</v>
      </c>
      <c r="F283" s="81">
        <v>2480</v>
      </c>
      <c r="G283" s="81">
        <v>7775</v>
      </c>
      <c r="H283" s="81">
        <v>83</v>
      </c>
      <c r="I283" s="81">
        <v>17</v>
      </c>
      <c r="J283" s="81">
        <v>11310</v>
      </c>
      <c r="K283" s="81">
        <v>3031</v>
      </c>
      <c r="L283" s="81">
        <v>-1</v>
      </c>
      <c r="M283" s="81">
        <v>14340</v>
      </c>
      <c r="N283" s="81">
        <v>95130</v>
      </c>
      <c r="O283" s="82">
        <v>0.62737892111825699</v>
      </c>
      <c r="P283" s="82">
        <v>3.5345845911536946</v>
      </c>
      <c r="Q283" s="82">
        <v>4.161963512271952</v>
      </c>
    </row>
    <row r="284" spans="1:17" ht="15.75" thickBot="1" x14ac:dyDescent="0.3">
      <c r="A284" s="79" t="s">
        <v>530</v>
      </c>
      <c r="B284" s="80" t="s">
        <v>529</v>
      </c>
      <c r="C284" s="79" t="s">
        <v>22</v>
      </c>
      <c r="D284" s="81">
        <v>24520</v>
      </c>
      <c r="E284" s="81">
        <v>75558</v>
      </c>
      <c r="F284" s="81">
        <v>2864</v>
      </c>
      <c r="G284" s="81">
        <v>4954</v>
      </c>
      <c r="H284" s="81">
        <v>102</v>
      </c>
      <c r="I284" s="81">
        <v>0</v>
      </c>
      <c r="J284" s="81">
        <v>13050</v>
      </c>
      <c r="K284" s="81">
        <v>2927</v>
      </c>
      <c r="L284" s="81">
        <v>289</v>
      </c>
      <c r="M284" s="81">
        <v>16266</v>
      </c>
      <c r="N284" s="81">
        <v>99744</v>
      </c>
      <c r="O284" s="82">
        <v>0.66337683523654156</v>
      </c>
      <c r="P284" s="82">
        <v>3.4003262642740619</v>
      </c>
      <c r="Q284" s="82">
        <v>4.067862969004894</v>
      </c>
    </row>
    <row r="285" spans="1:17" ht="15.75" thickBot="1" x14ac:dyDescent="0.3">
      <c r="A285" s="79" t="s">
        <v>546</v>
      </c>
      <c r="B285" s="80" t="s">
        <v>545</v>
      </c>
      <c r="C285" s="79" t="s">
        <v>22</v>
      </c>
      <c r="D285" s="81">
        <v>12561</v>
      </c>
      <c r="E285" s="81">
        <v>80847</v>
      </c>
      <c r="F285" s="81">
        <v>2848</v>
      </c>
      <c r="G285" s="81">
        <v>3816</v>
      </c>
      <c r="H285" s="81">
        <v>82</v>
      </c>
      <c r="I285" s="81">
        <v>0</v>
      </c>
      <c r="J285" s="81">
        <v>21031</v>
      </c>
      <c r="K285" s="81">
        <v>4852</v>
      </c>
      <c r="L285" s="81">
        <v>0</v>
      </c>
      <c r="M285" s="81">
        <v>25883</v>
      </c>
      <c r="N285" s="81">
        <v>113394</v>
      </c>
      <c r="O285" s="82">
        <v>2.0605843483799062</v>
      </c>
      <c r="P285" s="82">
        <v>6.9668816177055968</v>
      </c>
      <c r="Q285" s="82">
        <v>9.0274659660855026</v>
      </c>
    </row>
    <row r="286" spans="1:17" ht="15.75" thickBot="1" x14ac:dyDescent="0.3">
      <c r="A286" s="79" t="s">
        <v>556</v>
      </c>
      <c r="B286" s="80" t="s">
        <v>555</v>
      </c>
      <c r="C286" s="79" t="s">
        <v>22</v>
      </c>
      <c r="D286" s="81">
        <v>24164</v>
      </c>
      <c r="E286" s="81">
        <v>82448</v>
      </c>
      <c r="F286" s="81">
        <v>4981</v>
      </c>
      <c r="G286" s="81">
        <v>7476</v>
      </c>
      <c r="H286" s="81">
        <v>94</v>
      </c>
      <c r="I286" s="81">
        <v>39</v>
      </c>
      <c r="J286" s="81">
        <v>24373</v>
      </c>
      <c r="K286" s="81">
        <v>4338</v>
      </c>
      <c r="L286" s="81">
        <v>137</v>
      </c>
      <c r="M286" s="81">
        <v>28848</v>
      </c>
      <c r="N286" s="81">
        <v>123753</v>
      </c>
      <c r="O286" s="82">
        <v>1.1938420791259725</v>
      </c>
      <c r="P286" s="82">
        <v>3.9275368316503889</v>
      </c>
      <c r="Q286" s="82">
        <v>5.1213789107763619</v>
      </c>
    </row>
    <row r="287" spans="1:17" ht="15.75" thickBot="1" x14ac:dyDescent="0.3">
      <c r="A287" s="79" t="s">
        <v>558</v>
      </c>
      <c r="B287" s="80" t="s">
        <v>557</v>
      </c>
      <c r="C287" s="79" t="s">
        <v>22</v>
      </c>
      <c r="D287" s="81">
        <v>14230</v>
      </c>
      <c r="E287" s="81">
        <v>42149</v>
      </c>
      <c r="F287" s="81">
        <v>3395</v>
      </c>
      <c r="G287" s="81">
        <v>6936</v>
      </c>
      <c r="H287" s="81">
        <v>62</v>
      </c>
      <c r="I287" s="81">
        <v>2</v>
      </c>
      <c r="J287" s="81">
        <v>13901</v>
      </c>
      <c r="K287" s="81">
        <v>4489</v>
      </c>
      <c r="L287" s="81">
        <v>552</v>
      </c>
      <c r="M287" s="81">
        <v>18942</v>
      </c>
      <c r="N287" s="81">
        <v>71484</v>
      </c>
      <c r="O287" s="82">
        <v>1.3311314125087843</v>
      </c>
      <c r="P287" s="82">
        <v>3.6879831342234715</v>
      </c>
      <c r="Q287" s="82">
        <v>5.0234715390021085</v>
      </c>
    </row>
    <row r="288" spans="1:17" ht="15.75" thickBot="1" x14ac:dyDescent="0.3">
      <c r="A288" s="79" t="s">
        <v>562</v>
      </c>
      <c r="B288" s="80" t="s">
        <v>561</v>
      </c>
      <c r="C288" s="79" t="s">
        <v>22</v>
      </c>
      <c r="D288" s="81">
        <v>20526</v>
      </c>
      <c r="E288" s="81">
        <v>65765</v>
      </c>
      <c r="F288" s="81">
        <v>6350</v>
      </c>
      <c r="G288" s="81">
        <v>7067</v>
      </c>
      <c r="H288" s="81">
        <v>133</v>
      </c>
      <c r="I288" s="81">
        <v>7</v>
      </c>
      <c r="J288" s="81">
        <v>21662</v>
      </c>
      <c r="K288" s="81">
        <v>7665</v>
      </c>
      <c r="L288" s="81">
        <v>814</v>
      </c>
      <c r="M288" s="81">
        <v>30141</v>
      </c>
      <c r="N288" s="81">
        <v>109323</v>
      </c>
      <c r="O288" s="82">
        <v>1.4684302835428238</v>
      </c>
      <c r="P288" s="82">
        <v>3.8576439637532887</v>
      </c>
      <c r="Q288" s="82">
        <v>5.3260742472961127</v>
      </c>
    </row>
    <row r="289" spans="1:17" ht="15.75" thickBot="1" x14ac:dyDescent="0.3">
      <c r="A289" s="79" t="s">
        <v>570</v>
      </c>
      <c r="B289" s="80" t="s">
        <v>569</v>
      </c>
      <c r="C289" s="79" t="s">
        <v>22</v>
      </c>
      <c r="D289" s="81">
        <v>13579</v>
      </c>
      <c r="E289" s="81">
        <v>41563</v>
      </c>
      <c r="F289" s="81">
        <v>1836</v>
      </c>
      <c r="G289" s="81">
        <v>3665</v>
      </c>
      <c r="H289" s="81">
        <v>65</v>
      </c>
      <c r="I289" s="81">
        <v>1</v>
      </c>
      <c r="J289" s="81">
        <v>12733</v>
      </c>
      <c r="K289" s="81">
        <v>2626</v>
      </c>
      <c r="L289" s="81">
        <v>289</v>
      </c>
      <c r="M289" s="81">
        <v>15648</v>
      </c>
      <c r="N289" s="81">
        <v>62712</v>
      </c>
      <c r="O289" s="82">
        <v>1.1523676264820679</v>
      </c>
      <c r="P289" s="82">
        <v>3.4659400544959129</v>
      </c>
      <c r="Q289" s="82">
        <v>4.6183076809779804</v>
      </c>
    </row>
    <row r="290" spans="1:17" ht="15.75" thickBot="1" x14ac:dyDescent="0.3">
      <c r="A290" s="79" t="s">
        <v>580</v>
      </c>
      <c r="B290" s="80" t="s">
        <v>579</v>
      </c>
      <c r="C290" s="79" t="s">
        <v>22</v>
      </c>
      <c r="D290" s="81">
        <v>16709</v>
      </c>
      <c r="E290" s="81">
        <v>50000</v>
      </c>
      <c r="F290" s="81">
        <v>7148</v>
      </c>
      <c r="G290" s="81">
        <v>4019</v>
      </c>
      <c r="H290" s="81">
        <v>106</v>
      </c>
      <c r="I290" s="81">
        <v>2</v>
      </c>
      <c r="J290" s="81">
        <v>24374</v>
      </c>
      <c r="K290" s="81">
        <v>6404</v>
      </c>
      <c r="L290" s="81">
        <v>1846</v>
      </c>
      <c r="M290" s="81">
        <v>32624</v>
      </c>
      <c r="N290" s="81">
        <v>93897</v>
      </c>
      <c r="O290" s="82">
        <v>1.9524806990244779</v>
      </c>
      <c r="P290" s="82">
        <v>3.66072176671255</v>
      </c>
      <c r="Q290" s="82">
        <v>5.619546352265246</v>
      </c>
    </row>
    <row r="291" spans="1:17" ht="15.75" thickBot="1" x14ac:dyDescent="0.3">
      <c r="A291" s="79" t="s">
        <v>596</v>
      </c>
      <c r="B291" s="80" t="s">
        <v>595</v>
      </c>
      <c r="C291" s="79" t="s">
        <v>22</v>
      </c>
      <c r="D291" s="81">
        <v>19629</v>
      </c>
      <c r="E291" s="81">
        <v>50226</v>
      </c>
      <c r="F291" s="81">
        <v>4182</v>
      </c>
      <c r="G291" s="81">
        <v>-1</v>
      </c>
      <c r="H291" s="81">
        <v>95</v>
      </c>
      <c r="I291" s="81">
        <v>7</v>
      </c>
      <c r="J291" s="81" t="s">
        <v>1624</v>
      </c>
      <c r="K291" s="81" t="s">
        <v>1624</v>
      </c>
      <c r="L291" s="81" t="s">
        <v>1624</v>
      </c>
      <c r="M291" s="81" t="s">
        <v>1624</v>
      </c>
      <c r="N291" s="81" t="s">
        <v>1625</v>
      </c>
      <c r="O291" s="81" t="s">
        <v>1625</v>
      </c>
      <c r="P291" s="82">
        <v>2.7717662642009273</v>
      </c>
      <c r="Q291" s="81" t="s">
        <v>1625</v>
      </c>
    </row>
    <row r="292" spans="1:17" ht="15.75" thickBot="1" x14ac:dyDescent="0.3">
      <c r="A292" s="79" t="s">
        <v>598</v>
      </c>
      <c r="B292" s="80" t="s">
        <v>597</v>
      </c>
      <c r="C292" s="79" t="s">
        <v>22</v>
      </c>
      <c r="D292" s="81">
        <v>13912</v>
      </c>
      <c r="E292" s="81">
        <v>35576</v>
      </c>
      <c r="F292" s="81">
        <v>3218</v>
      </c>
      <c r="G292" s="81">
        <v>3795</v>
      </c>
      <c r="H292" s="81">
        <v>51</v>
      </c>
      <c r="I292" s="81">
        <v>6</v>
      </c>
      <c r="J292" s="81">
        <v>22399</v>
      </c>
      <c r="K292" s="81">
        <v>7157</v>
      </c>
      <c r="L292" s="81">
        <v>0</v>
      </c>
      <c r="M292" s="81">
        <v>29556</v>
      </c>
      <c r="N292" s="81">
        <v>72145</v>
      </c>
      <c r="O292" s="82">
        <v>2.1244968372627948</v>
      </c>
      <c r="P292" s="82">
        <v>3.0613139735480162</v>
      </c>
      <c r="Q292" s="82">
        <v>5.1858108108108105</v>
      </c>
    </row>
    <row r="293" spans="1:17" ht="15.75" thickBot="1" x14ac:dyDescent="0.3">
      <c r="A293" s="79" t="s">
        <v>602</v>
      </c>
      <c r="B293" s="80" t="s">
        <v>601</v>
      </c>
      <c r="C293" s="79" t="s">
        <v>22</v>
      </c>
      <c r="D293" s="81">
        <v>14878</v>
      </c>
      <c r="E293" s="81">
        <v>54904</v>
      </c>
      <c r="F293" s="81">
        <v>1339</v>
      </c>
      <c r="G293" s="81">
        <v>5865</v>
      </c>
      <c r="H293" s="81">
        <v>113</v>
      </c>
      <c r="I293" s="81">
        <v>7</v>
      </c>
      <c r="J293" s="81">
        <v>16751</v>
      </c>
      <c r="K293" s="81">
        <v>3384</v>
      </c>
      <c r="L293" s="81">
        <v>134</v>
      </c>
      <c r="M293" s="81">
        <v>20269</v>
      </c>
      <c r="N293" s="81">
        <v>82377</v>
      </c>
      <c r="O293" s="82">
        <v>1.3623470896625891</v>
      </c>
      <c r="P293" s="82">
        <v>4.1744858179862883</v>
      </c>
      <c r="Q293" s="82">
        <v>5.5368329076488774</v>
      </c>
    </row>
    <row r="294" spans="1:17" ht="15.75" thickBot="1" x14ac:dyDescent="0.3">
      <c r="A294" s="79" t="s">
        <v>636</v>
      </c>
      <c r="B294" s="80" t="s">
        <v>635</v>
      </c>
      <c r="C294" s="79" t="s">
        <v>22</v>
      </c>
      <c r="D294" s="81">
        <v>12486</v>
      </c>
      <c r="E294" s="81">
        <v>56969</v>
      </c>
      <c r="F294" s="81">
        <v>1723</v>
      </c>
      <c r="G294" s="81">
        <v>7721</v>
      </c>
      <c r="H294" s="81">
        <v>45</v>
      </c>
      <c r="I294" s="81">
        <v>1</v>
      </c>
      <c r="J294" s="81">
        <v>43686</v>
      </c>
      <c r="K294" s="81">
        <v>19883</v>
      </c>
      <c r="L294" s="81">
        <v>852</v>
      </c>
      <c r="M294" s="81">
        <v>64421</v>
      </c>
      <c r="N294" s="81">
        <v>130834</v>
      </c>
      <c r="O294" s="82">
        <v>5.1594585936248603</v>
      </c>
      <c r="P294" s="82">
        <v>5.3189972769501841</v>
      </c>
      <c r="Q294" s="82">
        <v>10.478455870575043</v>
      </c>
    </row>
    <row r="295" spans="1:17" ht="15.75" thickBot="1" x14ac:dyDescent="0.3">
      <c r="A295" s="79" t="s">
        <v>662</v>
      </c>
      <c r="B295" s="80" t="s">
        <v>661</v>
      </c>
      <c r="C295" s="79" t="s">
        <v>22</v>
      </c>
      <c r="D295" s="81">
        <v>16753</v>
      </c>
      <c r="E295" s="81">
        <v>71257</v>
      </c>
      <c r="F295" s="81">
        <v>7824</v>
      </c>
      <c r="G295" s="81">
        <v>12765</v>
      </c>
      <c r="H295" s="81">
        <v>128</v>
      </c>
      <c r="I295" s="81">
        <v>24</v>
      </c>
      <c r="J295" s="81">
        <v>110051</v>
      </c>
      <c r="K295" s="81">
        <v>84179</v>
      </c>
      <c r="L295" s="81">
        <v>1918</v>
      </c>
      <c r="M295" s="81">
        <v>196148</v>
      </c>
      <c r="N295" s="81">
        <v>287994</v>
      </c>
      <c r="O295" s="82">
        <v>11.708231361547186</v>
      </c>
      <c r="P295" s="82">
        <v>5.4823613681131738</v>
      </c>
      <c r="Q295" s="82">
        <v>17.190592729660359</v>
      </c>
    </row>
    <row r="296" spans="1:17" ht="15.75" thickBot="1" x14ac:dyDescent="0.3">
      <c r="A296" s="79" t="s">
        <v>704</v>
      </c>
      <c r="B296" s="80" t="s">
        <v>703</v>
      </c>
      <c r="C296" s="79" t="s">
        <v>22</v>
      </c>
      <c r="D296" s="81">
        <v>18260</v>
      </c>
      <c r="E296" s="81">
        <v>72342</v>
      </c>
      <c r="F296" s="81">
        <v>4637</v>
      </c>
      <c r="G296" s="81">
        <v>8675</v>
      </c>
      <c r="H296" s="81">
        <v>110</v>
      </c>
      <c r="I296" s="81">
        <v>13</v>
      </c>
      <c r="J296" s="81" t="s">
        <v>1624</v>
      </c>
      <c r="K296" s="81" t="s">
        <v>1624</v>
      </c>
      <c r="L296" s="81" t="s">
        <v>1624</v>
      </c>
      <c r="M296" s="81" t="s">
        <v>1624</v>
      </c>
      <c r="N296" s="81" t="s">
        <v>1625</v>
      </c>
      <c r="O296" s="81" t="s">
        <v>1625</v>
      </c>
      <c r="P296" s="82">
        <v>4.6907995618838996</v>
      </c>
      <c r="Q296" s="81" t="s">
        <v>1625</v>
      </c>
    </row>
    <row r="297" spans="1:17" ht="15.75" thickBot="1" x14ac:dyDescent="0.3">
      <c r="A297" s="79" t="s">
        <v>706</v>
      </c>
      <c r="B297" s="80" t="s">
        <v>705</v>
      </c>
      <c r="C297" s="79" t="s">
        <v>22</v>
      </c>
      <c r="D297" s="81">
        <v>13940</v>
      </c>
      <c r="E297" s="81">
        <v>62478</v>
      </c>
      <c r="F297" s="81">
        <v>6312</v>
      </c>
      <c r="G297" s="81">
        <v>6523</v>
      </c>
      <c r="H297" s="81">
        <v>72</v>
      </c>
      <c r="I297" s="81">
        <v>7</v>
      </c>
      <c r="J297" s="81">
        <v>54670</v>
      </c>
      <c r="K297" s="81">
        <v>21013</v>
      </c>
      <c r="L297" s="81">
        <v>852</v>
      </c>
      <c r="M297" s="81">
        <v>76535</v>
      </c>
      <c r="N297" s="81">
        <v>151848</v>
      </c>
      <c r="O297" s="82">
        <v>5.4903156384505021</v>
      </c>
      <c r="P297" s="82">
        <v>5.4026542324246769</v>
      </c>
      <c r="Q297" s="82">
        <v>10.892969870875179</v>
      </c>
    </row>
    <row r="298" spans="1:17" ht="15.75" thickBot="1" x14ac:dyDescent="0.3">
      <c r="A298" s="79" t="s">
        <v>712</v>
      </c>
      <c r="B298" s="80" t="s">
        <v>711</v>
      </c>
      <c r="C298" s="79" t="s">
        <v>22</v>
      </c>
      <c r="D298" s="81">
        <v>17937</v>
      </c>
      <c r="E298" s="81">
        <v>44295</v>
      </c>
      <c r="F298" s="81">
        <v>1453</v>
      </c>
      <c r="G298" s="81">
        <v>2891</v>
      </c>
      <c r="H298" s="81">
        <v>76</v>
      </c>
      <c r="I298" s="81">
        <v>1</v>
      </c>
      <c r="J298" s="81">
        <v>13686</v>
      </c>
      <c r="K298" s="81">
        <v>3108</v>
      </c>
      <c r="L298" s="81">
        <v>30000</v>
      </c>
      <c r="M298" s="81">
        <v>46794</v>
      </c>
      <c r="N298" s="81">
        <v>95433</v>
      </c>
      <c r="O298" s="82">
        <v>2.6087974577688575</v>
      </c>
      <c r="P298" s="82">
        <v>2.7116574678039806</v>
      </c>
      <c r="Q298" s="82">
        <v>5.3204549255728386</v>
      </c>
    </row>
    <row r="299" spans="1:17" ht="15.75" thickBot="1" x14ac:dyDescent="0.3">
      <c r="A299" s="79" t="s">
        <v>730</v>
      </c>
      <c r="B299" s="80" t="s">
        <v>729</v>
      </c>
      <c r="C299" s="79" t="s">
        <v>22</v>
      </c>
      <c r="D299" s="81">
        <v>18134</v>
      </c>
      <c r="E299" s="81">
        <v>44295</v>
      </c>
      <c r="F299" s="81">
        <v>3429</v>
      </c>
      <c r="G299" s="81">
        <v>3306</v>
      </c>
      <c r="H299" s="81">
        <v>123</v>
      </c>
      <c r="I299" s="81">
        <v>5</v>
      </c>
      <c r="J299" s="81" t="s">
        <v>1624</v>
      </c>
      <c r="K299" s="81" t="s">
        <v>1624</v>
      </c>
      <c r="L299" s="81" t="s">
        <v>1624</v>
      </c>
      <c r="M299" s="81" t="s">
        <v>1624</v>
      </c>
      <c r="N299" s="81" t="s">
        <v>1625</v>
      </c>
      <c r="O299" s="81" t="s">
        <v>1625</v>
      </c>
      <c r="P299" s="82">
        <v>2.8140509540090437</v>
      </c>
      <c r="Q299" s="81" t="s">
        <v>1625</v>
      </c>
    </row>
    <row r="300" spans="1:17" ht="15.75" thickBot="1" x14ac:dyDescent="0.3">
      <c r="A300" s="79" t="s">
        <v>742</v>
      </c>
      <c r="B300" s="80" t="s">
        <v>741</v>
      </c>
      <c r="C300" s="79" t="s">
        <v>22</v>
      </c>
      <c r="D300" s="81">
        <v>15497</v>
      </c>
      <c r="E300" s="81">
        <v>27328</v>
      </c>
      <c r="F300" s="81">
        <v>57</v>
      </c>
      <c r="G300" s="81">
        <v>610</v>
      </c>
      <c r="H300" s="81">
        <v>17</v>
      </c>
      <c r="I300" s="81">
        <v>0</v>
      </c>
      <c r="J300" s="81">
        <v>8832</v>
      </c>
      <c r="K300" s="81">
        <v>12057</v>
      </c>
      <c r="L300" s="81">
        <v>0</v>
      </c>
      <c r="M300" s="81">
        <v>20889</v>
      </c>
      <c r="N300" s="81">
        <v>48884</v>
      </c>
      <c r="O300" s="82">
        <v>1.3479383106407692</v>
      </c>
      <c r="P300" s="82">
        <v>1.8064786732916047</v>
      </c>
      <c r="Q300" s="82">
        <v>3.1544169839323741</v>
      </c>
    </row>
    <row r="301" spans="1:17" ht="15.75" thickBot="1" x14ac:dyDescent="0.3">
      <c r="A301" s="79" t="s">
        <v>746</v>
      </c>
      <c r="B301" s="80" t="s">
        <v>745</v>
      </c>
      <c r="C301" s="79" t="s">
        <v>22</v>
      </c>
      <c r="D301" s="81">
        <v>14253</v>
      </c>
      <c r="E301" s="81">
        <v>39724</v>
      </c>
      <c r="F301" s="81">
        <v>1720</v>
      </c>
      <c r="G301" s="81">
        <v>2773</v>
      </c>
      <c r="H301" s="81">
        <v>60</v>
      </c>
      <c r="I301" s="81">
        <v>11</v>
      </c>
      <c r="J301" s="81">
        <v>17105</v>
      </c>
      <c r="K301" s="81">
        <v>3800</v>
      </c>
      <c r="L301" s="81">
        <v>290</v>
      </c>
      <c r="M301" s="81">
        <v>21195</v>
      </c>
      <c r="N301" s="81">
        <v>65412</v>
      </c>
      <c r="O301" s="82">
        <v>1.4870553567669964</v>
      </c>
      <c r="P301" s="82">
        <v>3.1022942538412965</v>
      </c>
      <c r="Q301" s="82">
        <v>4.5893496106082932</v>
      </c>
    </row>
    <row r="302" spans="1:17" ht="15.75" thickBot="1" x14ac:dyDescent="0.3">
      <c r="A302" s="79" t="s">
        <v>766</v>
      </c>
      <c r="B302" s="80" t="s">
        <v>765</v>
      </c>
      <c r="C302" s="79" t="s">
        <v>22</v>
      </c>
      <c r="D302" s="81">
        <v>12238</v>
      </c>
      <c r="E302" s="81">
        <v>28051</v>
      </c>
      <c r="F302" s="81">
        <v>1993</v>
      </c>
      <c r="G302" s="81">
        <v>5529</v>
      </c>
      <c r="H302" s="81">
        <v>31</v>
      </c>
      <c r="I302" s="81">
        <v>5</v>
      </c>
      <c r="J302" s="81">
        <v>17062</v>
      </c>
      <c r="K302" s="81">
        <v>3879</v>
      </c>
      <c r="L302" s="81">
        <v>290</v>
      </c>
      <c r="M302" s="81">
        <v>21231</v>
      </c>
      <c r="N302" s="81">
        <v>56804</v>
      </c>
      <c r="O302" s="82">
        <v>1.7348422944925641</v>
      </c>
      <c r="P302" s="82">
        <v>2.9067658114070927</v>
      </c>
      <c r="Q302" s="82">
        <v>4.6416081058996568</v>
      </c>
    </row>
    <row r="303" spans="1:17" ht="15.75" thickBot="1" x14ac:dyDescent="0.3">
      <c r="A303" s="79" t="s">
        <v>786</v>
      </c>
      <c r="B303" s="80" t="s">
        <v>785</v>
      </c>
      <c r="C303" s="79" t="s">
        <v>22</v>
      </c>
      <c r="D303" s="81">
        <v>17593</v>
      </c>
      <c r="E303" s="81">
        <v>75736</v>
      </c>
      <c r="F303" s="81">
        <v>4402</v>
      </c>
      <c r="G303" s="81">
        <v>6085</v>
      </c>
      <c r="H303" s="81">
        <v>55</v>
      </c>
      <c r="I303" s="81">
        <v>0</v>
      </c>
      <c r="J303" s="81">
        <v>43736</v>
      </c>
      <c r="K303" s="81">
        <v>19938</v>
      </c>
      <c r="L303" s="81">
        <v>875</v>
      </c>
      <c r="M303" s="81">
        <v>64549</v>
      </c>
      <c r="N303" s="81">
        <v>150827</v>
      </c>
      <c r="O303" s="82">
        <v>3.669016085943273</v>
      </c>
      <c r="P303" s="82">
        <v>4.9009833456488376</v>
      </c>
      <c r="Q303" s="82">
        <v>8.5731256749843681</v>
      </c>
    </row>
    <row r="304" spans="1:17" ht="15.75" thickBot="1" x14ac:dyDescent="0.3">
      <c r="A304" s="79" t="s">
        <v>812</v>
      </c>
      <c r="B304" s="80" t="s">
        <v>811</v>
      </c>
      <c r="C304" s="79" t="s">
        <v>22</v>
      </c>
      <c r="D304" s="81">
        <v>13498</v>
      </c>
      <c r="E304" s="81">
        <v>48200</v>
      </c>
      <c r="F304" s="81">
        <v>4265</v>
      </c>
      <c r="G304" s="81">
        <v>6170</v>
      </c>
      <c r="H304" s="81">
        <v>97</v>
      </c>
      <c r="I304" s="81">
        <v>9</v>
      </c>
      <c r="J304" s="81">
        <v>52331</v>
      </c>
      <c r="K304" s="81">
        <v>20536</v>
      </c>
      <c r="L304" s="81">
        <v>1815</v>
      </c>
      <c r="M304" s="81">
        <v>74682</v>
      </c>
      <c r="N304" s="81">
        <v>133414</v>
      </c>
      <c r="O304" s="82">
        <v>5.5328196769891838</v>
      </c>
      <c r="P304" s="82">
        <v>4.3439768854645129</v>
      </c>
      <c r="Q304" s="82">
        <v>9.883982812268485</v>
      </c>
    </row>
    <row r="305" spans="1:17" ht="15.75" thickBot="1" x14ac:dyDescent="0.3">
      <c r="A305" s="79" t="s">
        <v>38</v>
      </c>
      <c r="B305" s="80" t="s">
        <v>37</v>
      </c>
      <c r="C305" s="79" t="s">
        <v>39</v>
      </c>
      <c r="D305" s="81">
        <v>28210</v>
      </c>
      <c r="E305" s="81">
        <v>54092</v>
      </c>
      <c r="F305" s="81">
        <v>5100</v>
      </c>
      <c r="G305" s="81">
        <v>6793</v>
      </c>
      <c r="H305" s="81">
        <v>74</v>
      </c>
      <c r="I305" s="81">
        <v>4</v>
      </c>
      <c r="J305" s="81">
        <v>45833</v>
      </c>
      <c r="K305" s="81">
        <v>22796</v>
      </c>
      <c r="L305" s="81">
        <v>1556</v>
      </c>
      <c r="M305" s="81">
        <v>70185</v>
      </c>
      <c r="N305" s="81">
        <v>136244</v>
      </c>
      <c r="O305" s="82">
        <v>2.4879475363346333</v>
      </c>
      <c r="P305" s="82">
        <v>2.3390641616448069</v>
      </c>
      <c r="Q305" s="82">
        <v>4.8296348812477845</v>
      </c>
    </row>
    <row r="306" spans="1:17" ht="15.75" thickBot="1" x14ac:dyDescent="0.3">
      <c r="A306" s="79" t="s">
        <v>41</v>
      </c>
      <c r="B306" s="80" t="s">
        <v>40</v>
      </c>
      <c r="C306" s="79" t="s">
        <v>39</v>
      </c>
      <c r="D306" s="81">
        <v>28283</v>
      </c>
      <c r="E306" s="81">
        <v>46057</v>
      </c>
      <c r="F306" s="81">
        <v>3134</v>
      </c>
      <c r="G306" s="81">
        <v>5783</v>
      </c>
      <c r="H306" s="81">
        <v>38</v>
      </c>
      <c r="I306" s="81">
        <v>4</v>
      </c>
      <c r="J306" s="81" t="s">
        <v>1624</v>
      </c>
      <c r="K306" s="81" t="s">
        <v>1624</v>
      </c>
      <c r="L306" s="81" t="s">
        <v>1624</v>
      </c>
      <c r="M306" s="81" t="s">
        <v>1624</v>
      </c>
      <c r="N306" s="81" t="s">
        <v>1625</v>
      </c>
      <c r="O306" s="81" t="s">
        <v>1625</v>
      </c>
      <c r="P306" s="82">
        <v>1.9437117703213944</v>
      </c>
      <c r="Q306" s="81" t="s">
        <v>1625</v>
      </c>
    </row>
    <row r="307" spans="1:17" ht="15.75" thickBot="1" x14ac:dyDescent="0.3">
      <c r="A307" s="79" t="s">
        <v>49</v>
      </c>
      <c r="B307" s="80" t="s">
        <v>48</v>
      </c>
      <c r="C307" s="79" t="s">
        <v>39</v>
      </c>
      <c r="D307" s="81">
        <v>29598</v>
      </c>
      <c r="E307" s="81">
        <v>70456</v>
      </c>
      <c r="F307" s="81">
        <v>1991</v>
      </c>
      <c r="G307" s="81">
        <v>2752</v>
      </c>
      <c r="H307" s="81">
        <v>105</v>
      </c>
      <c r="I307" s="81">
        <v>8</v>
      </c>
      <c r="J307" s="81">
        <v>9113</v>
      </c>
      <c r="K307" s="81">
        <v>9567</v>
      </c>
      <c r="L307" s="81">
        <v>24561</v>
      </c>
      <c r="M307" s="81">
        <v>43241</v>
      </c>
      <c r="N307" s="81">
        <v>118440</v>
      </c>
      <c r="O307" s="82">
        <v>1.4609433069802014</v>
      </c>
      <c r="P307" s="82">
        <v>2.5406784242178526</v>
      </c>
      <c r="Q307" s="82">
        <v>4.0016217311980542</v>
      </c>
    </row>
    <row r="308" spans="1:17" ht="15.75" thickBot="1" x14ac:dyDescent="0.3">
      <c r="A308" s="79" t="s">
        <v>72</v>
      </c>
      <c r="B308" s="80" t="s">
        <v>71</v>
      </c>
      <c r="C308" s="79" t="s">
        <v>39</v>
      </c>
      <c r="D308" s="81">
        <v>35350</v>
      </c>
      <c r="E308" s="81">
        <v>95312</v>
      </c>
      <c r="F308" s="81">
        <v>7176</v>
      </c>
      <c r="G308" s="81">
        <v>15808</v>
      </c>
      <c r="H308" s="81">
        <v>297</v>
      </c>
      <c r="I308" s="81">
        <v>22</v>
      </c>
      <c r="J308" s="81">
        <v>19791</v>
      </c>
      <c r="K308" s="81">
        <v>17364</v>
      </c>
      <c r="L308" s="81">
        <v>3379</v>
      </c>
      <c r="M308" s="81">
        <v>40534</v>
      </c>
      <c r="N308" s="81">
        <v>159127</v>
      </c>
      <c r="O308" s="82">
        <v>1.1466478076379067</v>
      </c>
      <c r="P308" s="82">
        <v>3.3464214992927865</v>
      </c>
      <c r="Q308" s="82">
        <v>4.5014710042432817</v>
      </c>
    </row>
    <row r="309" spans="1:17" ht="15.75" thickBot="1" x14ac:dyDescent="0.3">
      <c r="A309" s="79" t="s">
        <v>84</v>
      </c>
      <c r="B309" s="80" t="s">
        <v>83</v>
      </c>
      <c r="C309" s="79" t="s">
        <v>39</v>
      </c>
      <c r="D309" s="81">
        <v>42361</v>
      </c>
      <c r="E309" s="81">
        <v>83214</v>
      </c>
      <c r="F309" s="81">
        <v>5611</v>
      </c>
      <c r="G309" s="81">
        <v>6235</v>
      </c>
      <c r="H309" s="81">
        <v>138</v>
      </c>
      <c r="I309" s="81">
        <v>4</v>
      </c>
      <c r="J309" s="81">
        <v>52918</v>
      </c>
      <c r="K309" s="81">
        <v>16260</v>
      </c>
      <c r="L309" s="81">
        <v>1320</v>
      </c>
      <c r="M309" s="81">
        <v>70498</v>
      </c>
      <c r="N309" s="81">
        <v>165558</v>
      </c>
      <c r="O309" s="82">
        <v>1.6642194471329761</v>
      </c>
      <c r="P309" s="82">
        <v>2.2440452302825711</v>
      </c>
      <c r="Q309" s="82">
        <v>3.9082646774155472</v>
      </c>
    </row>
    <row r="310" spans="1:17" ht="15.75" thickBot="1" x14ac:dyDescent="0.3">
      <c r="A310" s="79" t="s">
        <v>108</v>
      </c>
      <c r="B310" s="80" t="s">
        <v>107</v>
      </c>
      <c r="C310" s="79" t="s">
        <v>39</v>
      </c>
      <c r="D310" s="81">
        <v>41070</v>
      </c>
      <c r="E310" s="81">
        <v>235420</v>
      </c>
      <c r="F310" s="81">
        <v>21810</v>
      </c>
      <c r="G310" s="81">
        <v>25718</v>
      </c>
      <c r="H310" s="81">
        <v>407</v>
      </c>
      <c r="I310" s="81">
        <v>82</v>
      </c>
      <c r="J310" s="81">
        <v>21163</v>
      </c>
      <c r="K310" s="81">
        <v>6880</v>
      </c>
      <c r="L310" s="81">
        <v>0</v>
      </c>
      <c r="M310" s="81">
        <v>28043</v>
      </c>
      <c r="N310" s="81">
        <v>310991</v>
      </c>
      <c r="O310" s="82">
        <v>0.68280983686389096</v>
      </c>
      <c r="P310" s="82">
        <v>6.8894083272461648</v>
      </c>
      <c r="Q310" s="82">
        <v>7.5722181641100557</v>
      </c>
    </row>
    <row r="311" spans="1:17" ht="15.75" thickBot="1" x14ac:dyDescent="0.3">
      <c r="A311" s="79" t="s">
        <v>114</v>
      </c>
      <c r="B311" s="80" t="s">
        <v>113</v>
      </c>
      <c r="C311" s="79" t="s">
        <v>39</v>
      </c>
      <c r="D311" s="81">
        <v>46905</v>
      </c>
      <c r="E311" s="81">
        <v>98689</v>
      </c>
      <c r="F311" s="81">
        <v>1942</v>
      </c>
      <c r="G311" s="81">
        <v>11460</v>
      </c>
      <c r="H311" s="81">
        <v>142</v>
      </c>
      <c r="I311" s="81">
        <v>5</v>
      </c>
      <c r="J311" s="81" t="s">
        <v>1624</v>
      </c>
      <c r="K311" s="81" t="s">
        <v>1624</v>
      </c>
      <c r="L311" s="81" t="s">
        <v>1624</v>
      </c>
      <c r="M311" s="81" t="s">
        <v>1624</v>
      </c>
      <c r="N311" s="81" t="s">
        <v>1625</v>
      </c>
      <c r="O311" s="81" t="s">
        <v>1625</v>
      </c>
      <c r="P311" s="82">
        <v>2.389745229719646</v>
      </c>
      <c r="Q311" s="81" t="s">
        <v>1625</v>
      </c>
    </row>
    <row r="312" spans="1:17" ht="15.75" thickBot="1" x14ac:dyDescent="0.3">
      <c r="A312" s="79" t="s">
        <v>124</v>
      </c>
      <c r="B312" s="80" t="s">
        <v>123</v>
      </c>
      <c r="C312" s="79" t="s">
        <v>39</v>
      </c>
      <c r="D312" s="81">
        <v>43254</v>
      </c>
      <c r="E312" s="81">
        <v>77009</v>
      </c>
      <c r="F312" s="81">
        <v>9139</v>
      </c>
      <c r="G312" s="81">
        <v>8354</v>
      </c>
      <c r="H312" s="81">
        <v>140</v>
      </c>
      <c r="I312" s="81">
        <v>8</v>
      </c>
      <c r="J312" s="81">
        <v>47541</v>
      </c>
      <c r="K312" s="81">
        <v>16484</v>
      </c>
      <c r="L312" s="81">
        <v>1510</v>
      </c>
      <c r="M312" s="81">
        <v>65535</v>
      </c>
      <c r="N312" s="81">
        <v>160177</v>
      </c>
      <c r="O312" s="82">
        <v>1.5151199889027605</v>
      </c>
      <c r="P312" s="82">
        <v>2.1848152771997964</v>
      </c>
      <c r="Q312" s="82">
        <v>3.7031719609747076</v>
      </c>
    </row>
    <row r="313" spans="1:17" ht="15.75" thickBot="1" x14ac:dyDescent="0.3">
      <c r="A313" s="79" t="s">
        <v>134</v>
      </c>
      <c r="B313" s="80" t="s">
        <v>133</v>
      </c>
      <c r="C313" s="79" t="s">
        <v>39</v>
      </c>
      <c r="D313" s="81">
        <v>35087</v>
      </c>
      <c r="E313" s="81">
        <v>74026</v>
      </c>
      <c r="F313" s="81">
        <v>2360</v>
      </c>
      <c r="G313" s="81">
        <v>5931</v>
      </c>
      <c r="H313" s="81">
        <v>150</v>
      </c>
      <c r="I313" s="81">
        <v>2</v>
      </c>
      <c r="J313" s="81">
        <v>21950</v>
      </c>
      <c r="K313" s="81">
        <v>3813</v>
      </c>
      <c r="L313" s="81">
        <v>134</v>
      </c>
      <c r="M313" s="81">
        <v>25897</v>
      </c>
      <c r="N313" s="81">
        <v>108214</v>
      </c>
      <c r="O313" s="82">
        <v>0.73807963063242799</v>
      </c>
      <c r="P313" s="82">
        <v>2.3460825946931911</v>
      </c>
      <c r="Q313" s="82">
        <v>3.0841622253256191</v>
      </c>
    </row>
    <row r="314" spans="1:17" ht="15.75" thickBot="1" x14ac:dyDescent="0.3">
      <c r="A314" s="79" t="s">
        <v>150</v>
      </c>
      <c r="B314" s="80" t="s">
        <v>149</v>
      </c>
      <c r="C314" s="79" t="s">
        <v>39</v>
      </c>
      <c r="D314" s="81">
        <v>38002</v>
      </c>
      <c r="E314" s="81">
        <v>68221</v>
      </c>
      <c r="F314" s="81">
        <v>4593</v>
      </c>
      <c r="G314" s="81">
        <v>9088</v>
      </c>
      <c r="H314" s="81">
        <v>211</v>
      </c>
      <c r="I314" s="81">
        <v>4</v>
      </c>
      <c r="J314" s="81">
        <v>9452</v>
      </c>
      <c r="K314" s="81">
        <v>10170</v>
      </c>
      <c r="L314" s="81">
        <v>2668</v>
      </c>
      <c r="M314" s="81">
        <v>22290</v>
      </c>
      <c r="N314" s="81">
        <v>104192</v>
      </c>
      <c r="O314" s="82">
        <v>0.58654807641703066</v>
      </c>
      <c r="P314" s="82">
        <v>2.1552023577706438</v>
      </c>
      <c r="Q314" s="82">
        <v>2.7417504341876744</v>
      </c>
    </row>
    <row r="315" spans="1:17" ht="15.75" thickBot="1" x14ac:dyDescent="0.3">
      <c r="A315" s="79" t="s">
        <v>170</v>
      </c>
      <c r="B315" s="80" t="s">
        <v>169</v>
      </c>
      <c r="C315" s="79" t="s">
        <v>39</v>
      </c>
      <c r="D315" s="81">
        <v>43381</v>
      </c>
      <c r="E315" s="81">
        <v>59328</v>
      </c>
      <c r="F315" s="81">
        <v>5585</v>
      </c>
      <c r="G315" s="81">
        <v>7506</v>
      </c>
      <c r="H315" s="81">
        <v>173</v>
      </c>
      <c r="I315" s="81">
        <v>10</v>
      </c>
      <c r="J315" s="81">
        <v>42906</v>
      </c>
      <c r="K315" s="81">
        <v>18819</v>
      </c>
      <c r="L315" s="81">
        <v>295</v>
      </c>
      <c r="M315" s="81">
        <v>62020</v>
      </c>
      <c r="N315" s="81">
        <v>134439</v>
      </c>
      <c r="O315" s="82">
        <v>1.4296581452709711</v>
      </c>
      <c r="P315" s="82">
        <v>1.6693713837855282</v>
      </c>
      <c r="Q315" s="82">
        <v>3.0990295290564993</v>
      </c>
    </row>
    <row r="316" spans="1:17" ht="15.75" thickBot="1" x14ac:dyDescent="0.3">
      <c r="A316" s="79" t="s">
        <v>174</v>
      </c>
      <c r="B316" s="80" t="s">
        <v>173</v>
      </c>
      <c r="C316" s="79" t="s">
        <v>39</v>
      </c>
      <c r="D316" s="81">
        <v>35563</v>
      </c>
      <c r="E316" s="81">
        <v>87607</v>
      </c>
      <c r="F316" s="81">
        <v>10319</v>
      </c>
      <c r="G316" s="81">
        <v>14296</v>
      </c>
      <c r="H316" s="81">
        <v>116</v>
      </c>
      <c r="I316" s="81">
        <v>12</v>
      </c>
      <c r="J316" s="81">
        <v>30275</v>
      </c>
      <c r="K316" s="81">
        <v>13361</v>
      </c>
      <c r="L316" s="81">
        <v>2310</v>
      </c>
      <c r="M316" s="81">
        <v>45946</v>
      </c>
      <c r="N316" s="81">
        <v>158168</v>
      </c>
      <c r="O316" s="82">
        <v>1.2919607457188651</v>
      </c>
      <c r="P316" s="82">
        <v>3.1555830497989485</v>
      </c>
      <c r="Q316" s="82">
        <v>4.4475437955178139</v>
      </c>
    </row>
    <row r="317" spans="1:17" ht="15.75" thickBot="1" x14ac:dyDescent="0.3">
      <c r="A317" s="79" t="s">
        <v>188</v>
      </c>
      <c r="B317" s="80" t="s">
        <v>187</v>
      </c>
      <c r="C317" s="79" t="s">
        <v>39</v>
      </c>
      <c r="D317" s="81">
        <v>40186</v>
      </c>
      <c r="E317" s="81">
        <v>72811</v>
      </c>
      <c r="F317" s="81">
        <v>5373</v>
      </c>
      <c r="G317" s="81">
        <v>10481</v>
      </c>
      <c r="H317" s="81">
        <v>145</v>
      </c>
      <c r="I317" s="81">
        <v>9</v>
      </c>
      <c r="J317" s="81">
        <v>57306</v>
      </c>
      <c r="K317" s="81">
        <v>21768</v>
      </c>
      <c r="L317" s="81">
        <v>3434</v>
      </c>
      <c r="M317" s="81">
        <v>82508</v>
      </c>
      <c r="N317" s="81">
        <v>171173</v>
      </c>
      <c r="O317" s="82">
        <v>2.0531528392972676</v>
      </c>
      <c r="P317" s="82">
        <v>2.2063654008858808</v>
      </c>
      <c r="Q317" s="82">
        <v>4.259518240183148</v>
      </c>
    </row>
    <row r="318" spans="1:17" ht="15.75" thickBot="1" x14ac:dyDescent="0.3">
      <c r="A318" s="79" t="s">
        <v>190</v>
      </c>
      <c r="B318" s="80" t="s">
        <v>189</v>
      </c>
      <c r="C318" s="79" t="s">
        <v>39</v>
      </c>
      <c r="D318" s="81">
        <v>28263</v>
      </c>
      <c r="E318" s="81">
        <v>33808</v>
      </c>
      <c r="F318" s="81">
        <v>1730</v>
      </c>
      <c r="G318" s="81">
        <v>5234</v>
      </c>
      <c r="H318" s="81">
        <v>20</v>
      </c>
      <c r="I318" s="81">
        <v>3</v>
      </c>
      <c r="J318" s="81">
        <v>24575</v>
      </c>
      <c r="K318" s="81">
        <v>2127</v>
      </c>
      <c r="L318" s="81">
        <v>0</v>
      </c>
      <c r="M318" s="81">
        <v>26702</v>
      </c>
      <c r="N318" s="81">
        <v>67474</v>
      </c>
      <c r="O318" s="82">
        <v>0.94476877896897005</v>
      </c>
      <c r="P318" s="82">
        <v>1.4425927891589712</v>
      </c>
      <c r="Q318" s="82">
        <v>2.387361568127941</v>
      </c>
    </row>
    <row r="319" spans="1:17" ht="15.75" thickBot="1" x14ac:dyDescent="0.3">
      <c r="A319" s="79" t="s">
        <v>200</v>
      </c>
      <c r="B319" s="80" t="s">
        <v>199</v>
      </c>
      <c r="C319" s="79" t="s">
        <v>39</v>
      </c>
      <c r="D319" s="81">
        <v>26391</v>
      </c>
      <c r="E319" s="81">
        <v>59377</v>
      </c>
      <c r="F319" s="81">
        <v>6508</v>
      </c>
      <c r="G319" s="81">
        <v>7479</v>
      </c>
      <c r="H319" s="81">
        <v>235</v>
      </c>
      <c r="I319" s="81">
        <v>10</v>
      </c>
      <c r="J319" s="81" t="s">
        <v>1624</v>
      </c>
      <c r="K319" s="81" t="s">
        <v>1624</v>
      </c>
      <c r="L319" s="81" t="s">
        <v>1624</v>
      </c>
      <c r="M319" s="81" t="s">
        <v>1624</v>
      </c>
      <c r="N319" s="81" t="s">
        <v>1625</v>
      </c>
      <c r="O319" s="81" t="s">
        <v>1625</v>
      </c>
      <c r="P319" s="82">
        <v>2.7798870827175932</v>
      </c>
      <c r="Q319" s="81" t="s">
        <v>1625</v>
      </c>
    </row>
    <row r="320" spans="1:17" ht="15.75" thickBot="1" x14ac:dyDescent="0.3">
      <c r="A320" s="79" t="s">
        <v>218</v>
      </c>
      <c r="B320" s="80" t="s">
        <v>217</v>
      </c>
      <c r="C320" s="79" t="s">
        <v>39</v>
      </c>
      <c r="D320" s="81">
        <v>32799</v>
      </c>
      <c r="E320" s="81">
        <v>61451</v>
      </c>
      <c r="F320" s="81">
        <v>6268</v>
      </c>
      <c r="G320" s="81">
        <v>5425</v>
      </c>
      <c r="H320" s="81">
        <v>156</v>
      </c>
      <c r="I320" s="81">
        <v>2</v>
      </c>
      <c r="J320" s="81">
        <v>29788</v>
      </c>
      <c r="K320" s="81">
        <v>7447</v>
      </c>
      <c r="L320" s="81">
        <v>0</v>
      </c>
      <c r="M320" s="81">
        <v>37235</v>
      </c>
      <c r="N320" s="81">
        <v>110379</v>
      </c>
      <c r="O320" s="82">
        <v>1.1352480258544468</v>
      </c>
      <c r="P320" s="82">
        <v>2.2300679898777402</v>
      </c>
      <c r="Q320" s="82">
        <v>3.3653160157321871</v>
      </c>
    </row>
    <row r="321" spans="1:17" ht="15.75" thickBot="1" x14ac:dyDescent="0.3">
      <c r="A321" s="79" t="s">
        <v>228</v>
      </c>
      <c r="B321" s="80" t="s">
        <v>227</v>
      </c>
      <c r="C321" s="79" t="s">
        <v>39</v>
      </c>
      <c r="D321" s="81">
        <v>26168</v>
      </c>
      <c r="E321" s="81">
        <v>91555</v>
      </c>
      <c r="F321" s="81">
        <v>6686</v>
      </c>
      <c r="G321" s="81">
        <v>10519</v>
      </c>
      <c r="H321" s="81">
        <v>162</v>
      </c>
      <c r="I321" s="81">
        <v>5</v>
      </c>
      <c r="J321" s="81">
        <v>8466</v>
      </c>
      <c r="K321" s="81">
        <v>3967</v>
      </c>
      <c r="L321" s="81">
        <v>265</v>
      </c>
      <c r="M321" s="81">
        <v>12698</v>
      </c>
      <c r="N321" s="81">
        <v>121458</v>
      </c>
      <c r="O321" s="82">
        <v>0.48524915927850809</v>
      </c>
      <c r="P321" s="82">
        <v>4.1562213390400489</v>
      </c>
      <c r="Q321" s="82">
        <v>4.6414704983185571</v>
      </c>
    </row>
    <row r="322" spans="1:17" ht="15.75" thickBot="1" x14ac:dyDescent="0.3">
      <c r="A322" s="79" t="s">
        <v>240</v>
      </c>
      <c r="B322" s="80" t="s">
        <v>239</v>
      </c>
      <c r="C322" s="79" t="s">
        <v>39</v>
      </c>
      <c r="D322" s="81">
        <v>48579</v>
      </c>
      <c r="E322" s="81">
        <v>72721</v>
      </c>
      <c r="F322" s="81">
        <v>4008</v>
      </c>
      <c r="G322" s="81">
        <v>6279</v>
      </c>
      <c r="H322" s="81">
        <v>123</v>
      </c>
      <c r="I322" s="81">
        <v>8</v>
      </c>
      <c r="J322" s="81">
        <v>29061</v>
      </c>
      <c r="K322" s="81">
        <v>31873</v>
      </c>
      <c r="L322" s="81">
        <v>37585</v>
      </c>
      <c r="M322" s="81">
        <v>98519</v>
      </c>
      <c r="N322" s="81">
        <v>181650</v>
      </c>
      <c r="O322" s="82">
        <v>2.0280162210008439</v>
      </c>
      <c r="P322" s="82">
        <v>1.7087218757076104</v>
      </c>
      <c r="Q322" s="82">
        <v>3.7392700549620206</v>
      </c>
    </row>
    <row r="323" spans="1:17" ht="15.75" thickBot="1" x14ac:dyDescent="0.3">
      <c r="A323" s="79" t="s">
        <v>242</v>
      </c>
      <c r="B323" s="80" t="s">
        <v>241</v>
      </c>
      <c r="C323" s="79" t="s">
        <v>39</v>
      </c>
      <c r="D323" s="81">
        <v>32442</v>
      </c>
      <c r="E323" s="81">
        <v>60730</v>
      </c>
      <c r="F323" s="81">
        <v>3859</v>
      </c>
      <c r="G323" s="81">
        <v>4048</v>
      </c>
      <c r="H323" s="81">
        <v>84</v>
      </c>
      <c r="I323" s="81">
        <v>6</v>
      </c>
      <c r="J323" s="81">
        <v>16541</v>
      </c>
      <c r="K323" s="81">
        <v>8477</v>
      </c>
      <c r="L323" s="81">
        <v>32</v>
      </c>
      <c r="M323" s="81">
        <v>25050</v>
      </c>
      <c r="N323" s="81">
        <v>93687</v>
      </c>
      <c r="O323" s="82">
        <v>0.77214721657111152</v>
      </c>
      <c r="P323" s="82">
        <v>2.1156833734048455</v>
      </c>
      <c r="Q323" s="82">
        <v>2.8878305899759571</v>
      </c>
    </row>
    <row r="324" spans="1:17" ht="15.75" thickBot="1" x14ac:dyDescent="0.3">
      <c r="A324" s="79" t="s">
        <v>300</v>
      </c>
      <c r="B324" s="80" t="s">
        <v>299</v>
      </c>
      <c r="C324" s="79" t="s">
        <v>39</v>
      </c>
      <c r="D324" s="81">
        <v>27692</v>
      </c>
      <c r="E324" s="81">
        <v>46779</v>
      </c>
      <c r="F324" s="81">
        <v>2322</v>
      </c>
      <c r="G324" s="81">
        <v>6477</v>
      </c>
      <c r="H324" s="81">
        <v>34</v>
      </c>
      <c r="I324" s="81">
        <v>0</v>
      </c>
      <c r="J324" s="81">
        <v>31113</v>
      </c>
      <c r="K324" s="81">
        <v>49010</v>
      </c>
      <c r="L324" s="81">
        <v>1333</v>
      </c>
      <c r="M324" s="81">
        <v>81456</v>
      </c>
      <c r="N324" s="81">
        <v>137034</v>
      </c>
      <c r="O324" s="82">
        <v>2.9414993499927777</v>
      </c>
      <c r="P324" s="82">
        <v>2.0070056333959267</v>
      </c>
      <c r="Q324" s="82">
        <v>4.9485049833887045</v>
      </c>
    </row>
    <row r="325" spans="1:17" ht="15.75" thickBot="1" x14ac:dyDescent="0.3">
      <c r="A325" s="79" t="s">
        <v>308</v>
      </c>
      <c r="B325" s="80" t="s">
        <v>307</v>
      </c>
      <c r="C325" s="79" t="s">
        <v>39</v>
      </c>
      <c r="D325" s="81">
        <v>46985</v>
      </c>
      <c r="E325" s="81">
        <v>136299</v>
      </c>
      <c r="F325" s="81">
        <v>13241</v>
      </c>
      <c r="G325" s="81">
        <v>8483</v>
      </c>
      <c r="H325" s="81">
        <v>176</v>
      </c>
      <c r="I325" s="81">
        <v>0</v>
      </c>
      <c r="J325" s="81">
        <v>28913</v>
      </c>
      <c r="K325" s="81">
        <v>11462</v>
      </c>
      <c r="L325" s="81">
        <v>482</v>
      </c>
      <c r="M325" s="81">
        <v>40857</v>
      </c>
      <c r="N325" s="81">
        <v>198880</v>
      </c>
      <c r="O325" s="82">
        <v>0.86957539640310733</v>
      </c>
      <c r="P325" s="82">
        <v>3.3632648717675853</v>
      </c>
      <c r="Q325" s="82">
        <v>4.2328402681706931</v>
      </c>
    </row>
    <row r="326" spans="1:17" ht="15.75" thickBot="1" x14ac:dyDescent="0.3">
      <c r="A326" s="79" t="s">
        <v>328</v>
      </c>
      <c r="B326" s="80" t="s">
        <v>327</v>
      </c>
      <c r="C326" s="79" t="s">
        <v>39</v>
      </c>
      <c r="D326" s="81">
        <v>40898</v>
      </c>
      <c r="E326" s="81">
        <v>119494</v>
      </c>
      <c r="F326" s="81">
        <v>2711</v>
      </c>
      <c r="G326" s="81">
        <v>6237</v>
      </c>
      <c r="H326" s="81">
        <v>116</v>
      </c>
      <c r="I326" s="81">
        <v>3</v>
      </c>
      <c r="J326" s="81" t="s">
        <v>1624</v>
      </c>
      <c r="K326" s="81" t="s">
        <v>1624</v>
      </c>
      <c r="L326" s="81" t="s">
        <v>1624</v>
      </c>
      <c r="M326" s="81" t="s">
        <v>1624</v>
      </c>
      <c r="N326" s="81" t="s">
        <v>1625</v>
      </c>
      <c r="O326" s="81" t="s">
        <v>1625</v>
      </c>
      <c r="P326" s="82">
        <v>3.1405447699153992</v>
      </c>
      <c r="Q326" s="81" t="s">
        <v>1625</v>
      </c>
    </row>
    <row r="327" spans="1:17" ht="15.75" thickBot="1" x14ac:dyDescent="0.3">
      <c r="A327" s="79" t="s">
        <v>386</v>
      </c>
      <c r="B327" s="80" t="s">
        <v>385</v>
      </c>
      <c r="C327" s="79" t="s">
        <v>39</v>
      </c>
      <c r="D327" s="81">
        <v>41786</v>
      </c>
      <c r="E327" s="81">
        <v>110272</v>
      </c>
      <c r="F327" s="81">
        <v>5168</v>
      </c>
      <c r="G327" s="81">
        <v>0</v>
      </c>
      <c r="H327" s="81">
        <v>200</v>
      </c>
      <c r="I327" s="81">
        <v>4</v>
      </c>
      <c r="J327" s="81">
        <v>18729</v>
      </c>
      <c r="K327" s="81">
        <v>4503</v>
      </c>
      <c r="L327" s="81">
        <v>0</v>
      </c>
      <c r="M327" s="81">
        <v>23232</v>
      </c>
      <c r="N327" s="81">
        <v>138672</v>
      </c>
      <c r="O327" s="82">
        <v>0.55597568563633748</v>
      </c>
      <c r="P327" s="82">
        <v>2.7626477767673383</v>
      </c>
      <c r="Q327" s="82">
        <v>3.3186234624036759</v>
      </c>
    </row>
    <row r="328" spans="1:17" ht="15.75" thickBot="1" x14ac:dyDescent="0.3">
      <c r="A328" s="79" t="s">
        <v>431</v>
      </c>
      <c r="B328" s="80" t="s">
        <v>430</v>
      </c>
      <c r="C328" s="79" t="s">
        <v>39</v>
      </c>
      <c r="D328" s="81">
        <v>40771</v>
      </c>
      <c r="E328" s="81">
        <v>105202</v>
      </c>
      <c r="F328" s="81">
        <v>2681</v>
      </c>
      <c r="G328" s="81">
        <v>5446</v>
      </c>
      <c r="H328" s="81">
        <v>180</v>
      </c>
      <c r="I328" s="81">
        <v>9</v>
      </c>
      <c r="J328" s="81" t="s">
        <v>1624</v>
      </c>
      <c r="K328" s="81" t="s">
        <v>1624</v>
      </c>
      <c r="L328" s="81" t="s">
        <v>1624</v>
      </c>
      <c r="M328" s="81" t="s">
        <v>1624</v>
      </c>
      <c r="N328" s="81" t="s">
        <v>1625</v>
      </c>
      <c r="O328" s="81" t="s">
        <v>1625</v>
      </c>
      <c r="P328" s="82">
        <v>2.7796472983247895</v>
      </c>
      <c r="Q328" s="81" t="s">
        <v>1625</v>
      </c>
    </row>
    <row r="329" spans="1:17" ht="15.75" thickBot="1" x14ac:dyDescent="0.3">
      <c r="A329" s="79" t="s">
        <v>437</v>
      </c>
      <c r="B329" s="80" t="s">
        <v>436</v>
      </c>
      <c r="C329" s="79" t="s">
        <v>39</v>
      </c>
      <c r="D329" s="81">
        <v>38144</v>
      </c>
      <c r="E329" s="81">
        <v>39917</v>
      </c>
      <c r="F329" s="81">
        <v>2055</v>
      </c>
      <c r="G329" s="81">
        <v>3360</v>
      </c>
      <c r="H329" s="81">
        <v>28</v>
      </c>
      <c r="I329" s="81">
        <v>2</v>
      </c>
      <c r="J329" s="81">
        <v>3891</v>
      </c>
      <c r="K329" s="81">
        <v>0</v>
      </c>
      <c r="L329" s="81">
        <v>0</v>
      </c>
      <c r="M329" s="81">
        <v>3891</v>
      </c>
      <c r="N329" s="81">
        <v>49223</v>
      </c>
      <c r="O329" s="82">
        <v>0.10200817953020135</v>
      </c>
      <c r="P329" s="82">
        <v>1.1884437919463087</v>
      </c>
      <c r="Q329" s="82">
        <v>1.2904519714765101</v>
      </c>
    </row>
    <row r="330" spans="1:17" ht="15.75" thickBot="1" x14ac:dyDescent="0.3">
      <c r="A330" s="79" t="s">
        <v>448</v>
      </c>
      <c r="B330" s="80" t="s">
        <v>447</v>
      </c>
      <c r="C330" s="79" t="s">
        <v>39</v>
      </c>
      <c r="D330" s="81">
        <v>35540</v>
      </c>
      <c r="E330" s="81">
        <v>117251</v>
      </c>
      <c r="F330" s="81">
        <v>13417</v>
      </c>
      <c r="G330" s="81">
        <v>9962</v>
      </c>
      <c r="H330" s="81">
        <v>103</v>
      </c>
      <c r="I330" s="81">
        <v>12</v>
      </c>
      <c r="J330" s="81">
        <v>38768</v>
      </c>
      <c r="K330" s="81">
        <v>20115</v>
      </c>
      <c r="L330" s="81">
        <v>0</v>
      </c>
      <c r="M330" s="81">
        <v>58883</v>
      </c>
      <c r="N330" s="81">
        <v>199513</v>
      </c>
      <c r="O330" s="82">
        <v>1.6568092290377039</v>
      </c>
      <c r="P330" s="82">
        <v>3.9569499155880696</v>
      </c>
      <c r="Q330" s="82">
        <v>5.6137591446257735</v>
      </c>
    </row>
    <row r="331" spans="1:17" ht="15.75" thickBot="1" x14ac:dyDescent="0.3">
      <c r="A331" s="79" t="s">
        <v>464</v>
      </c>
      <c r="B331" s="80" t="s">
        <v>463</v>
      </c>
      <c r="C331" s="79" t="s">
        <v>39</v>
      </c>
      <c r="D331" s="81">
        <v>29694</v>
      </c>
      <c r="E331" s="81">
        <v>71465</v>
      </c>
      <c r="F331" s="81">
        <v>2747</v>
      </c>
      <c r="G331" s="81">
        <v>6253</v>
      </c>
      <c r="H331" s="81">
        <v>91</v>
      </c>
      <c r="I331" s="81">
        <v>6</v>
      </c>
      <c r="J331" s="81">
        <v>50764</v>
      </c>
      <c r="K331" s="81">
        <v>18120</v>
      </c>
      <c r="L331" s="81">
        <v>823</v>
      </c>
      <c r="M331" s="81">
        <v>69707</v>
      </c>
      <c r="N331" s="81">
        <v>150172</v>
      </c>
      <c r="O331" s="82">
        <v>2.3475112817404189</v>
      </c>
      <c r="P331" s="82">
        <v>2.7098066949552098</v>
      </c>
      <c r="Q331" s="82">
        <v>5.0573179766956287</v>
      </c>
    </row>
    <row r="332" spans="1:17" ht="15.75" thickBot="1" x14ac:dyDescent="0.3">
      <c r="A332" s="79" t="s">
        <v>484</v>
      </c>
      <c r="B332" s="80" t="s">
        <v>483</v>
      </c>
      <c r="C332" s="79" t="s">
        <v>39</v>
      </c>
      <c r="D332" s="81">
        <v>28646</v>
      </c>
      <c r="E332" s="81">
        <v>61050</v>
      </c>
      <c r="F332" s="81">
        <v>1846</v>
      </c>
      <c r="G332" s="81">
        <v>8893</v>
      </c>
      <c r="H332" s="81">
        <v>121</v>
      </c>
      <c r="I332" s="81">
        <v>11</v>
      </c>
      <c r="J332" s="81">
        <v>24373</v>
      </c>
      <c r="K332" s="81">
        <v>4359</v>
      </c>
      <c r="L332" s="81">
        <v>137</v>
      </c>
      <c r="M332" s="81">
        <v>28869</v>
      </c>
      <c r="N332" s="81">
        <v>100779</v>
      </c>
      <c r="O332" s="82">
        <v>1.007784681980032</v>
      </c>
      <c r="P332" s="82">
        <v>2.506074146477693</v>
      </c>
      <c r="Q332" s="82">
        <v>3.5180828038818683</v>
      </c>
    </row>
    <row r="333" spans="1:17" ht="15.75" thickBot="1" x14ac:dyDescent="0.3">
      <c r="A333" s="79" t="s">
        <v>538</v>
      </c>
      <c r="B333" s="80" t="s">
        <v>537</v>
      </c>
      <c r="C333" s="79" t="s">
        <v>39</v>
      </c>
      <c r="D333" s="81">
        <v>34467</v>
      </c>
      <c r="E333" s="81">
        <v>98253</v>
      </c>
      <c r="F333" s="81">
        <v>3608</v>
      </c>
      <c r="G333" s="81">
        <v>14215</v>
      </c>
      <c r="H333" s="81">
        <v>159</v>
      </c>
      <c r="I333" s="81">
        <v>59</v>
      </c>
      <c r="J333" s="81" t="s">
        <v>1624</v>
      </c>
      <c r="K333" s="81" t="s">
        <v>1624</v>
      </c>
      <c r="L333" s="81" t="s">
        <v>1624</v>
      </c>
      <c r="M333" s="81" t="s">
        <v>1624</v>
      </c>
      <c r="N333" s="81" t="s">
        <v>1625</v>
      </c>
      <c r="O333" s="81" t="s">
        <v>1625</v>
      </c>
      <c r="P333" s="82">
        <v>3.3677430585777701</v>
      </c>
      <c r="Q333" s="81" t="s">
        <v>1625</v>
      </c>
    </row>
    <row r="334" spans="1:17" ht="15.75" thickBot="1" x14ac:dyDescent="0.3">
      <c r="A334" s="79" t="s">
        <v>544</v>
      </c>
      <c r="B334" s="80" t="s">
        <v>543</v>
      </c>
      <c r="C334" s="79" t="s">
        <v>39</v>
      </c>
      <c r="D334" s="81">
        <v>29319</v>
      </c>
      <c r="E334" s="81">
        <v>78896</v>
      </c>
      <c r="F334" s="81">
        <v>3867</v>
      </c>
      <c r="G334" s="81">
        <v>4972</v>
      </c>
      <c r="H334" s="81">
        <v>65</v>
      </c>
      <c r="I334" s="81">
        <v>0</v>
      </c>
      <c r="J334" s="81">
        <v>50654</v>
      </c>
      <c r="K334" s="81">
        <v>14751</v>
      </c>
      <c r="L334" s="81">
        <v>843</v>
      </c>
      <c r="M334" s="81">
        <v>66248</v>
      </c>
      <c r="N334" s="81">
        <v>153983</v>
      </c>
      <c r="O334" s="82">
        <v>2.2595586479757155</v>
      </c>
      <c r="P334" s="82">
        <v>2.9924281182850709</v>
      </c>
      <c r="Q334" s="82">
        <v>5.2519867662607869</v>
      </c>
    </row>
    <row r="335" spans="1:17" ht="15.75" thickBot="1" x14ac:dyDescent="0.3">
      <c r="A335" s="79" t="s">
        <v>550</v>
      </c>
      <c r="B335" s="80" t="s">
        <v>549</v>
      </c>
      <c r="C335" s="79" t="s">
        <v>39</v>
      </c>
      <c r="D335" s="81">
        <v>35394</v>
      </c>
      <c r="E335" s="81">
        <v>90595</v>
      </c>
      <c r="F335" s="81">
        <v>10348</v>
      </c>
      <c r="G335" s="81">
        <v>19031</v>
      </c>
      <c r="H335" s="81">
        <v>220</v>
      </c>
      <c r="I335" s="81">
        <v>18</v>
      </c>
      <c r="J335" s="81">
        <v>86701</v>
      </c>
      <c r="K335" s="81">
        <v>44029</v>
      </c>
      <c r="L335" s="81">
        <v>2926</v>
      </c>
      <c r="M335" s="81">
        <v>133656</v>
      </c>
      <c r="N335" s="81">
        <v>253850</v>
      </c>
      <c r="O335" s="82">
        <v>3.7762332598745552</v>
      </c>
      <c r="P335" s="82">
        <v>3.3896705656325929</v>
      </c>
      <c r="Q335" s="82">
        <v>7.1721195682884105</v>
      </c>
    </row>
    <row r="336" spans="1:17" ht="15.75" thickBot="1" x14ac:dyDescent="0.3">
      <c r="A336" s="79" t="s">
        <v>578</v>
      </c>
      <c r="B336" s="80" t="s">
        <v>577</v>
      </c>
      <c r="C336" s="79" t="s">
        <v>39</v>
      </c>
      <c r="D336" s="81">
        <v>36441</v>
      </c>
      <c r="E336" s="81">
        <v>156758</v>
      </c>
      <c r="F336" s="81">
        <v>15775</v>
      </c>
      <c r="G336" s="81">
        <v>8196</v>
      </c>
      <c r="H336" s="81">
        <v>199</v>
      </c>
      <c r="I336" s="81">
        <v>20</v>
      </c>
      <c r="J336" s="81">
        <v>9113</v>
      </c>
      <c r="K336" s="81">
        <v>4438</v>
      </c>
      <c r="L336" s="81">
        <v>2308</v>
      </c>
      <c r="M336" s="81">
        <v>15859</v>
      </c>
      <c r="N336" s="81">
        <v>196588</v>
      </c>
      <c r="O336" s="82">
        <v>0.43519661919266761</v>
      </c>
      <c r="P336" s="82">
        <v>4.9594961718942949</v>
      </c>
      <c r="Q336" s="82">
        <v>5.3946927910869622</v>
      </c>
    </row>
    <row r="337" spans="1:17" ht="15.75" thickBot="1" x14ac:dyDescent="0.3">
      <c r="A337" s="79" t="s">
        <v>588</v>
      </c>
      <c r="B337" s="80" t="s">
        <v>587</v>
      </c>
      <c r="C337" s="79" t="s">
        <v>39</v>
      </c>
      <c r="D337" s="81">
        <v>36656</v>
      </c>
      <c r="E337" s="81">
        <v>192271</v>
      </c>
      <c r="F337" s="81">
        <v>17320</v>
      </c>
      <c r="G337" s="81">
        <v>23567</v>
      </c>
      <c r="H337" s="81">
        <v>364</v>
      </c>
      <c r="I337" s="81">
        <v>22</v>
      </c>
      <c r="J337" s="81" t="s">
        <v>1624</v>
      </c>
      <c r="K337" s="81" t="s">
        <v>1624</v>
      </c>
      <c r="L337" s="81" t="s">
        <v>1624</v>
      </c>
      <c r="M337" s="81" t="s">
        <v>1624</v>
      </c>
      <c r="N337" s="81" t="s">
        <v>1625</v>
      </c>
      <c r="O337" s="81" t="s">
        <v>1625</v>
      </c>
      <c r="P337" s="82">
        <v>6.3607049323439542</v>
      </c>
      <c r="Q337" s="81" t="s">
        <v>1625</v>
      </c>
    </row>
    <row r="338" spans="1:17" ht="15.75" thickBot="1" x14ac:dyDescent="0.3">
      <c r="A338" s="79" t="s">
        <v>616</v>
      </c>
      <c r="B338" s="80" t="s">
        <v>615</v>
      </c>
      <c r="C338" s="79" t="s">
        <v>39</v>
      </c>
      <c r="D338" s="81">
        <v>48362</v>
      </c>
      <c r="E338" s="81">
        <v>122007</v>
      </c>
      <c r="F338" s="81">
        <v>8483</v>
      </c>
      <c r="G338" s="81">
        <v>10395</v>
      </c>
      <c r="H338" s="81">
        <v>120</v>
      </c>
      <c r="I338" s="81">
        <v>10</v>
      </c>
      <c r="J338" s="81">
        <v>49307</v>
      </c>
      <c r="K338" s="81">
        <v>29281</v>
      </c>
      <c r="L338" s="81">
        <v>1529</v>
      </c>
      <c r="M338" s="81">
        <v>80117</v>
      </c>
      <c r="N338" s="81">
        <v>221002</v>
      </c>
      <c r="O338" s="82">
        <v>1.6566105620114966</v>
      </c>
      <c r="P338" s="82">
        <v>2.9131342789793639</v>
      </c>
      <c r="Q338" s="82">
        <v>4.569744840990861</v>
      </c>
    </row>
    <row r="339" spans="1:17" ht="15.75" thickBot="1" x14ac:dyDescent="0.3">
      <c r="A339" s="79" t="s">
        <v>640</v>
      </c>
      <c r="B339" s="80" t="s">
        <v>639</v>
      </c>
      <c r="C339" s="79" t="s">
        <v>39</v>
      </c>
      <c r="D339" s="81">
        <v>33839</v>
      </c>
      <c r="E339" s="81">
        <v>66592</v>
      </c>
      <c r="F339" s="81">
        <v>5534</v>
      </c>
      <c r="G339" s="81">
        <v>15263</v>
      </c>
      <c r="H339" s="81">
        <v>91</v>
      </c>
      <c r="I339" s="81">
        <v>5</v>
      </c>
      <c r="J339" s="81">
        <v>17215</v>
      </c>
      <c r="K339" s="81">
        <v>3675</v>
      </c>
      <c r="L339" s="81">
        <v>0</v>
      </c>
      <c r="M339" s="81">
        <v>20890</v>
      </c>
      <c r="N339" s="81">
        <v>108370</v>
      </c>
      <c r="O339" s="82">
        <v>0.61733502763084014</v>
      </c>
      <c r="P339" s="82">
        <v>2.5824935725050975</v>
      </c>
      <c r="Q339" s="82">
        <v>3.2025178048996721</v>
      </c>
    </row>
    <row r="340" spans="1:17" ht="15.75" thickBot="1" x14ac:dyDescent="0.3">
      <c r="A340" s="79" t="s">
        <v>642</v>
      </c>
      <c r="B340" s="80" t="s">
        <v>641</v>
      </c>
      <c r="C340" s="79" t="s">
        <v>39</v>
      </c>
      <c r="D340" s="81">
        <v>39868</v>
      </c>
      <c r="E340" s="81">
        <v>37755</v>
      </c>
      <c r="F340" s="81">
        <v>1658</v>
      </c>
      <c r="G340" s="81">
        <v>2917</v>
      </c>
      <c r="H340" s="81">
        <v>35</v>
      </c>
      <c r="I340" s="81">
        <v>5</v>
      </c>
      <c r="J340" s="81">
        <v>21754</v>
      </c>
      <c r="K340" s="81">
        <v>7814</v>
      </c>
      <c r="L340" s="81">
        <v>814</v>
      </c>
      <c r="M340" s="81">
        <v>30382</v>
      </c>
      <c r="N340" s="81">
        <v>72747</v>
      </c>
      <c r="O340" s="82">
        <v>0.76206481388582326</v>
      </c>
      <c r="P340" s="82">
        <v>1.0617537874987459</v>
      </c>
      <c r="Q340" s="82">
        <v>1.8246964984448681</v>
      </c>
    </row>
    <row r="341" spans="1:17" ht="15.75" thickBot="1" x14ac:dyDescent="0.3">
      <c r="A341" s="79" t="s">
        <v>646</v>
      </c>
      <c r="B341" s="80" t="s">
        <v>645</v>
      </c>
      <c r="C341" s="79" t="s">
        <v>39</v>
      </c>
      <c r="D341" s="81">
        <v>47299</v>
      </c>
      <c r="E341" s="81">
        <v>78706</v>
      </c>
      <c r="F341" s="81">
        <v>5481</v>
      </c>
      <c r="G341" s="81">
        <v>9757</v>
      </c>
      <c r="H341" s="81">
        <v>75</v>
      </c>
      <c r="I341" s="81">
        <v>8</v>
      </c>
      <c r="J341" s="81">
        <v>16143</v>
      </c>
      <c r="K341" s="81">
        <v>40919</v>
      </c>
      <c r="L341" s="81">
        <v>32</v>
      </c>
      <c r="M341" s="81">
        <v>57094</v>
      </c>
      <c r="N341" s="81">
        <v>151038</v>
      </c>
      <c r="O341" s="82">
        <v>1.2070868305883846</v>
      </c>
      <c r="P341" s="82">
        <v>1.9861730691980803</v>
      </c>
      <c r="Q341" s="82">
        <v>3.1932598997864647</v>
      </c>
    </row>
    <row r="342" spans="1:17" ht="15.75" thickBot="1" x14ac:dyDescent="0.3">
      <c r="A342" s="79" t="s">
        <v>664</v>
      </c>
      <c r="B342" s="80" t="s">
        <v>663</v>
      </c>
      <c r="C342" s="79" t="s">
        <v>39</v>
      </c>
      <c r="D342" s="81">
        <v>26376</v>
      </c>
      <c r="E342" s="81">
        <v>103617</v>
      </c>
      <c r="F342" s="81">
        <v>10784</v>
      </c>
      <c r="G342" s="81">
        <v>11669</v>
      </c>
      <c r="H342" s="81">
        <v>212</v>
      </c>
      <c r="I342" s="81">
        <v>20</v>
      </c>
      <c r="J342" s="81">
        <v>45686</v>
      </c>
      <c r="K342" s="81">
        <v>16681</v>
      </c>
      <c r="L342" s="81">
        <v>853</v>
      </c>
      <c r="M342" s="81">
        <v>63220</v>
      </c>
      <c r="N342" s="81">
        <v>189290</v>
      </c>
      <c r="O342" s="82">
        <v>2.3968759478313619</v>
      </c>
      <c r="P342" s="82">
        <v>4.7797239915074314</v>
      </c>
      <c r="Q342" s="82">
        <v>7.1765999393387929</v>
      </c>
    </row>
    <row r="343" spans="1:17" ht="15.75" thickBot="1" x14ac:dyDescent="0.3">
      <c r="A343" s="79" t="s">
        <v>688</v>
      </c>
      <c r="B343" s="80" t="s">
        <v>687</v>
      </c>
      <c r="C343" s="79" t="s">
        <v>39</v>
      </c>
      <c r="D343" s="81">
        <v>27920</v>
      </c>
      <c r="E343" s="81">
        <v>67175</v>
      </c>
      <c r="F343" s="81">
        <v>5190</v>
      </c>
      <c r="G343" s="81">
        <v>2849</v>
      </c>
      <c r="H343" s="81">
        <v>106</v>
      </c>
      <c r="I343" s="81">
        <v>19</v>
      </c>
      <c r="J343" s="81">
        <v>16052</v>
      </c>
      <c r="K343" s="81">
        <v>2565</v>
      </c>
      <c r="L343" s="81">
        <v>0</v>
      </c>
      <c r="M343" s="81">
        <v>18617</v>
      </c>
      <c r="N343" s="81">
        <v>93831</v>
      </c>
      <c r="O343" s="82">
        <v>0.66679799426934094</v>
      </c>
      <c r="P343" s="82">
        <v>2.6939111747851001</v>
      </c>
      <c r="Q343" s="82">
        <v>3.3607091690544411</v>
      </c>
    </row>
    <row r="344" spans="1:17" ht="15.75" thickBot="1" x14ac:dyDescent="0.3">
      <c r="A344" s="79" t="s">
        <v>698</v>
      </c>
      <c r="B344" s="80" t="s">
        <v>697</v>
      </c>
      <c r="C344" s="79" t="s">
        <v>39</v>
      </c>
      <c r="D344" s="81">
        <v>30047</v>
      </c>
      <c r="E344" s="81">
        <v>77749</v>
      </c>
      <c r="F344" s="81">
        <v>8535</v>
      </c>
      <c r="G344" s="81">
        <v>8137</v>
      </c>
      <c r="H344" s="81">
        <v>40</v>
      </c>
      <c r="I344" s="81">
        <v>4</v>
      </c>
      <c r="J344" s="81">
        <v>51382</v>
      </c>
      <c r="K344" s="81">
        <v>18634</v>
      </c>
      <c r="L344" s="81">
        <v>1085</v>
      </c>
      <c r="M344" s="81">
        <v>71101</v>
      </c>
      <c r="N344" s="81">
        <v>165562</v>
      </c>
      <c r="O344" s="82">
        <v>2.3663260891270341</v>
      </c>
      <c r="P344" s="82">
        <v>3.1424435051752253</v>
      </c>
      <c r="Q344" s="82">
        <v>5.5101008420141779</v>
      </c>
    </row>
    <row r="345" spans="1:17" ht="15.75" thickBot="1" x14ac:dyDescent="0.3">
      <c r="A345" s="79" t="s">
        <v>716</v>
      </c>
      <c r="B345" s="80" t="s">
        <v>715</v>
      </c>
      <c r="C345" s="79" t="s">
        <v>39</v>
      </c>
      <c r="D345" s="81">
        <v>43031</v>
      </c>
      <c r="E345" s="81">
        <v>217304</v>
      </c>
      <c r="F345" s="81">
        <v>8405</v>
      </c>
      <c r="G345" s="81">
        <v>14920</v>
      </c>
      <c r="H345" s="81">
        <v>260</v>
      </c>
      <c r="I345" s="81">
        <v>18</v>
      </c>
      <c r="J345" s="81">
        <v>8828</v>
      </c>
      <c r="K345" s="81">
        <v>4309</v>
      </c>
      <c r="L345" s="81">
        <v>285</v>
      </c>
      <c r="M345" s="81">
        <v>13422</v>
      </c>
      <c r="N345" s="81">
        <v>254051</v>
      </c>
      <c r="O345" s="82">
        <v>0.31191466617090002</v>
      </c>
      <c r="P345" s="82">
        <v>5.5919918198508052</v>
      </c>
      <c r="Q345" s="82">
        <v>5.9039064860217056</v>
      </c>
    </row>
    <row r="346" spans="1:17" ht="15.75" thickBot="1" x14ac:dyDescent="0.3">
      <c r="A346" s="79" t="s">
        <v>760</v>
      </c>
      <c r="B346" s="80" t="s">
        <v>759</v>
      </c>
      <c r="C346" s="79" t="s">
        <v>39</v>
      </c>
      <c r="D346" s="81">
        <v>44265</v>
      </c>
      <c r="E346" s="81">
        <v>138060</v>
      </c>
      <c r="F346" s="81">
        <v>3492</v>
      </c>
      <c r="G346" s="81">
        <v>15452</v>
      </c>
      <c r="H346" s="81">
        <v>332</v>
      </c>
      <c r="I346" s="81">
        <v>6</v>
      </c>
      <c r="J346" s="81">
        <v>17062</v>
      </c>
      <c r="K346" s="81">
        <v>3879</v>
      </c>
      <c r="L346" s="81">
        <v>2900</v>
      </c>
      <c r="M346" s="81">
        <v>23841</v>
      </c>
      <c r="N346" s="81">
        <v>181177</v>
      </c>
      <c r="O346" s="82">
        <v>0.53859708573364962</v>
      </c>
      <c r="P346" s="82">
        <v>3.5469106517564666</v>
      </c>
      <c r="Q346" s="82">
        <v>4.0930080198802665</v>
      </c>
    </row>
    <row r="347" spans="1:17" ht="15.75" thickBot="1" x14ac:dyDescent="0.3">
      <c r="A347" s="79" t="s">
        <v>800</v>
      </c>
      <c r="B347" s="80" t="s">
        <v>799</v>
      </c>
      <c r="C347" s="79" t="s">
        <v>39</v>
      </c>
      <c r="D347" s="81">
        <v>30019</v>
      </c>
      <c r="E347" s="81">
        <v>64312</v>
      </c>
      <c r="F347" s="81">
        <v>2219</v>
      </c>
      <c r="G347" s="81">
        <v>5422</v>
      </c>
      <c r="H347" s="81">
        <v>110</v>
      </c>
      <c r="I347" s="81">
        <v>6</v>
      </c>
      <c r="J347" s="81">
        <v>44489</v>
      </c>
      <c r="K347" s="81">
        <v>16615</v>
      </c>
      <c r="L347" s="81">
        <v>824</v>
      </c>
      <c r="M347" s="81">
        <v>61928</v>
      </c>
      <c r="N347" s="81">
        <v>133881</v>
      </c>
      <c r="O347" s="82">
        <v>2.0629601252540057</v>
      </c>
      <c r="P347" s="82">
        <v>2.3969152869849095</v>
      </c>
      <c r="Q347" s="82">
        <v>4.4598754122389153</v>
      </c>
    </row>
    <row r="348" spans="1:17" ht="15.75" thickBot="1" x14ac:dyDescent="0.3">
      <c r="A348" s="79" t="s">
        <v>53</v>
      </c>
      <c r="B348" s="80" t="s">
        <v>52</v>
      </c>
      <c r="C348" s="79" t="s">
        <v>54</v>
      </c>
      <c r="D348" s="81">
        <v>163590</v>
      </c>
      <c r="E348" s="81">
        <v>321091</v>
      </c>
      <c r="F348" s="81">
        <v>70127</v>
      </c>
      <c r="G348" s="81">
        <v>69842</v>
      </c>
      <c r="H348" s="81">
        <v>1207</v>
      </c>
      <c r="I348" s="81">
        <v>35</v>
      </c>
      <c r="J348" s="81">
        <v>37261</v>
      </c>
      <c r="K348" s="81">
        <v>44817</v>
      </c>
      <c r="L348" s="81">
        <v>1351</v>
      </c>
      <c r="M348" s="81">
        <v>83429</v>
      </c>
      <c r="N348" s="81">
        <v>544489</v>
      </c>
      <c r="O348" s="82">
        <v>0.50998838559814175</v>
      </c>
      <c r="P348" s="82">
        <v>2.8183874319946205</v>
      </c>
      <c r="Q348" s="82">
        <v>3.3283758175927622</v>
      </c>
    </row>
    <row r="349" spans="1:17" ht="15.75" thickBot="1" x14ac:dyDescent="0.3">
      <c r="A349" s="79" t="s">
        <v>78</v>
      </c>
      <c r="B349" s="80" t="s">
        <v>77</v>
      </c>
      <c r="C349" s="79" t="s">
        <v>54</v>
      </c>
      <c r="D349" s="81">
        <v>107681</v>
      </c>
      <c r="E349" s="81">
        <v>245565</v>
      </c>
      <c r="F349" s="81">
        <v>23249</v>
      </c>
      <c r="G349" s="81">
        <v>27148</v>
      </c>
      <c r="H349" s="81">
        <v>294</v>
      </c>
      <c r="I349" s="81">
        <v>13</v>
      </c>
      <c r="J349" s="81">
        <v>9440</v>
      </c>
      <c r="K349" s="81">
        <v>0</v>
      </c>
      <c r="L349" s="81">
        <v>0</v>
      </c>
      <c r="M349" s="81">
        <v>9440</v>
      </c>
      <c r="N349" s="81">
        <v>305402</v>
      </c>
      <c r="O349" s="82">
        <v>8.7666347823664337E-2</v>
      </c>
      <c r="P349" s="82">
        <v>2.7485071646808628</v>
      </c>
      <c r="Q349" s="82">
        <v>2.8361735125045273</v>
      </c>
    </row>
    <row r="350" spans="1:17" ht="15.75" thickBot="1" x14ac:dyDescent="0.3">
      <c r="A350" s="79" t="s">
        <v>140</v>
      </c>
      <c r="B350" s="80" t="s">
        <v>139</v>
      </c>
      <c r="C350" s="79" t="s">
        <v>54</v>
      </c>
      <c r="D350" s="81">
        <v>90173</v>
      </c>
      <c r="E350" s="81">
        <v>232472</v>
      </c>
      <c r="F350" s="81">
        <v>31781</v>
      </c>
      <c r="G350" s="81">
        <v>55295</v>
      </c>
      <c r="H350" s="81">
        <v>414</v>
      </c>
      <c r="I350" s="81">
        <v>34</v>
      </c>
      <c r="J350" s="81">
        <v>32946</v>
      </c>
      <c r="K350" s="81">
        <v>71125</v>
      </c>
      <c r="L350" s="81">
        <v>30627</v>
      </c>
      <c r="M350" s="81">
        <v>134698</v>
      </c>
      <c r="N350" s="81">
        <v>454660</v>
      </c>
      <c r="O350" s="82">
        <v>1.4937730806338927</v>
      </c>
      <c r="P350" s="82">
        <v>3.5437215130915019</v>
      </c>
      <c r="Q350" s="82">
        <v>5.0420857684672793</v>
      </c>
    </row>
    <row r="351" spans="1:17" ht="15.75" thickBot="1" x14ac:dyDescent="0.3">
      <c r="A351" s="79" t="s">
        <v>142</v>
      </c>
      <c r="B351" s="80" t="s">
        <v>141</v>
      </c>
      <c r="C351" s="79" t="s">
        <v>54</v>
      </c>
      <c r="D351" s="81">
        <v>238859</v>
      </c>
      <c r="E351" s="81">
        <v>386349</v>
      </c>
      <c r="F351" s="81">
        <v>47752</v>
      </c>
      <c r="G351" s="81">
        <v>88725</v>
      </c>
      <c r="H351" s="81">
        <v>586</v>
      </c>
      <c r="I351" s="81">
        <v>11</v>
      </c>
      <c r="J351" s="81">
        <v>129822</v>
      </c>
      <c r="K351" s="81">
        <v>114106</v>
      </c>
      <c r="L351" s="81">
        <v>42267</v>
      </c>
      <c r="M351" s="81">
        <v>286195</v>
      </c>
      <c r="N351" s="81">
        <v>809021</v>
      </c>
      <c r="O351" s="82">
        <v>1.1981754926546624</v>
      </c>
      <c r="P351" s="82">
        <v>2.1888478139823078</v>
      </c>
      <c r="Q351" s="82">
        <v>3.3870233066369697</v>
      </c>
    </row>
    <row r="352" spans="1:17" ht="15.75" thickBot="1" x14ac:dyDescent="0.3">
      <c r="A352" s="79" t="s">
        <v>172</v>
      </c>
      <c r="B352" s="80" t="s">
        <v>171</v>
      </c>
      <c r="C352" s="79" t="s">
        <v>54</v>
      </c>
      <c r="D352" s="81">
        <v>51640</v>
      </c>
      <c r="E352" s="81">
        <v>125164</v>
      </c>
      <c r="F352" s="81">
        <v>8082</v>
      </c>
      <c r="G352" s="81">
        <v>15610</v>
      </c>
      <c r="H352" s="81">
        <v>280</v>
      </c>
      <c r="I352" s="81">
        <v>4</v>
      </c>
      <c r="J352" s="81">
        <v>28250</v>
      </c>
      <c r="K352" s="81">
        <v>7215</v>
      </c>
      <c r="L352" s="81">
        <v>1474</v>
      </c>
      <c r="M352" s="81">
        <v>36939</v>
      </c>
      <c r="N352" s="81">
        <v>185795</v>
      </c>
      <c r="O352" s="82">
        <v>0.71531758326878392</v>
      </c>
      <c r="P352" s="82">
        <v>2.8825716498838112</v>
      </c>
      <c r="Q352" s="82">
        <v>3.5978892331525949</v>
      </c>
    </row>
    <row r="353" spans="1:17" ht="15.75" thickBot="1" x14ac:dyDescent="0.3">
      <c r="A353" s="79" t="s">
        <v>178</v>
      </c>
      <c r="B353" s="80" t="s">
        <v>177</v>
      </c>
      <c r="C353" s="79" t="s">
        <v>54</v>
      </c>
      <c r="D353" s="81">
        <v>169833</v>
      </c>
      <c r="E353" s="81">
        <v>285937</v>
      </c>
      <c r="F353" s="81">
        <v>39863</v>
      </c>
      <c r="G353" s="81">
        <v>52784</v>
      </c>
      <c r="H353" s="81">
        <v>343</v>
      </c>
      <c r="I353" s="81">
        <v>0</v>
      </c>
      <c r="J353" s="81">
        <v>15961</v>
      </c>
      <c r="K353" s="81">
        <v>4087</v>
      </c>
      <c r="L353" s="81">
        <v>182</v>
      </c>
      <c r="M353" s="81">
        <v>20230</v>
      </c>
      <c r="N353" s="81">
        <v>398814</v>
      </c>
      <c r="O353" s="82">
        <v>0.11911701494998027</v>
      </c>
      <c r="P353" s="82">
        <v>2.2291545223837534</v>
      </c>
      <c r="Q353" s="82">
        <v>2.3482715373337335</v>
      </c>
    </row>
    <row r="354" spans="1:17" ht="15.75" thickBot="1" x14ac:dyDescent="0.3">
      <c r="A354" s="79" t="s">
        <v>212</v>
      </c>
      <c r="B354" s="80" t="s">
        <v>211</v>
      </c>
      <c r="C354" s="79" t="s">
        <v>54</v>
      </c>
      <c r="D354" s="81">
        <v>57774</v>
      </c>
      <c r="E354" s="81">
        <v>116288</v>
      </c>
      <c r="F354" s="81">
        <v>2467</v>
      </c>
      <c r="G354" s="81">
        <v>13305</v>
      </c>
      <c r="H354" s="81">
        <v>281</v>
      </c>
      <c r="I354" s="81">
        <v>11</v>
      </c>
      <c r="J354" s="81">
        <v>17811</v>
      </c>
      <c r="K354" s="81">
        <v>3546</v>
      </c>
      <c r="L354" s="81">
        <v>0</v>
      </c>
      <c r="M354" s="81">
        <v>21357</v>
      </c>
      <c r="N354" s="81">
        <v>153417</v>
      </c>
      <c r="O354" s="82">
        <v>0.36966455499013395</v>
      </c>
      <c r="P354" s="82">
        <v>2.2858033025236266</v>
      </c>
      <c r="Q354" s="82">
        <v>2.6554678575137607</v>
      </c>
    </row>
    <row r="355" spans="1:17" ht="15.75" thickBot="1" x14ac:dyDescent="0.3">
      <c r="A355" s="79" t="s">
        <v>214</v>
      </c>
      <c r="B355" s="80" t="s">
        <v>213</v>
      </c>
      <c r="C355" s="79" t="s">
        <v>54</v>
      </c>
      <c r="D355" s="81">
        <v>98153</v>
      </c>
      <c r="E355" s="81">
        <v>150837</v>
      </c>
      <c r="F355" s="81">
        <v>16001</v>
      </c>
      <c r="G355" s="81">
        <v>39467</v>
      </c>
      <c r="H355" s="81">
        <v>355</v>
      </c>
      <c r="I355" s="81">
        <v>21</v>
      </c>
      <c r="J355" s="81" t="s">
        <v>1624</v>
      </c>
      <c r="K355" s="81" t="s">
        <v>1624</v>
      </c>
      <c r="L355" s="81" t="s">
        <v>1624</v>
      </c>
      <c r="M355" s="81" t="s">
        <v>1624</v>
      </c>
      <c r="N355" s="81" t="s">
        <v>1625</v>
      </c>
      <c r="O355" s="81" t="s">
        <v>1625</v>
      </c>
      <c r="P355" s="82">
        <v>2.1018715678583435</v>
      </c>
      <c r="Q355" s="81" t="s">
        <v>1625</v>
      </c>
    </row>
    <row r="356" spans="1:17" ht="15.75" thickBot="1" x14ac:dyDescent="0.3">
      <c r="A356" s="79" t="s">
        <v>222</v>
      </c>
      <c r="B356" s="80" t="s">
        <v>221</v>
      </c>
      <c r="C356" s="79" t="s">
        <v>54</v>
      </c>
      <c r="D356" s="81">
        <v>713777</v>
      </c>
      <c r="E356" s="81">
        <v>1760316</v>
      </c>
      <c r="F356" s="81">
        <v>40710</v>
      </c>
      <c r="G356" s="81">
        <v>176233</v>
      </c>
      <c r="H356" s="81">
        <v>34163</v>
      </c>
      <c r="I356" s="81">
        <v>77</v>
      </c>
      <c r="J356" s="81">
        <v>10580</v>
      </c>
      <c r="K356" s="81">
        <v>4159</v>
      </c>
      <c r="L356" s="81">
        <v>0</v>
      </c>
      <c r="M356" s="81">
        <v>14739</v>
      </c>
      <c r="N356" s="81">
        <v>1991998</v>
      </c>
      <c r="O356" s="82">
        <v>2.0649306436043749E-2</v>
      </c>
      <c r="P356" s="82">
        <v>2.7701354904963313</v>
      </c>
      <c r="Q356" s="82">
        <v>2.7907847969323751</v>
      </c>
    </row>
    <row r="357" spans="1:17" ht="15.75" thickBot="1" x14ac:dyDescent="0.3">
      <c r="A357" s="79" t="s">
        <v>266</v>
      </c>
      <c r="B357" s="80" t="s">
        <v>265</v>
      </c>
      <c r="C357" s="79" t="s">
        <v>54</v>
      </c>
      <c r="D357" s="81">
        <v>90112</v>
      </c>
      <c r="E357" s="81">
        <v>227634</v>
      </c>
      <c r="F357" s="81">
        <v>22765</v>
      </c>
      <c r="G357" s="81">
        <v>35272</v>
      </c>
      <c r="H357" s="81">
        <v>460</v>
      </c>
      <c r="I357" s="81">
        <v>23</v>
      </c>
      <c r="J357" s="81">
        <v>36300</v>
      </c>
      <c r="K357" s="81">
        <v>45137</v>
      </c>
      <c r="L357" s="81">
        <v>11812</v>
      </c>
      <c r="M357" s="81">
        <v>93249</v>
      </c>
      <c r="N357" s="81">
        <v>378920</v>
      </c>
      <c r="O357" s="82">
        <v>1.0348122336647727</v>
      </c>
      <c r="P357" s="82">
        <v>3.1701771129261362</v>
      </c>
      <c r="Q357" s="82">
        <v>4.2049893465909092</v>
      </c>
    </row>
    <row r="358" spans="1:17" ht="15.75" thickBot="1" x14ac:dyDescent="0.3">
      <c r="A358" s="79" t="s">
        <v>278</v>
      </c>
      <c r="B358" s="80" t="s">
        <v>277</v>
      </c>
      <c r="C358" s="79" t="s">
        <v>54</v>
      </c>
      <c r="D358" s="81">
        <v>102434</v>
      </c>
      <c r="E358" s="81">
        <v>165426</v>
      </c>
      <c r="F358" s="81">
        <v>22143</v>
      </c>
      <c r="G358" s="81">
        <v>14105</v>
      </c>
      <c r="H358" s="81">
        <v>37</v>
      </c>
      <c r="I358" s="81">
        <v>10</v>
      </c>
      <c r="J358" s="81">
        <v>9071</v>
      </c>
      <c r="K358" s="81">
        <v>4610</v>
      </c>
      <c r="L358" s="81">
        <v>0</v>
      </c>
      <c r="M358" s="81">
        <v>13681</v>
      </c>
      <c r="N358" s="81">
        <v>215355</v>
      </c>
      <c r="O358" s="82">
        <v>0.13355916980690005</v>
      </c>
      <c r="P358" s="82">
        <v>1.9688189468340591</v>
      </c>
      <c r="Q358" s="82">
        <v>2.102378116640959</v>
      </c>
    </row>
    <row r="359" spans="1:17" ht="15.75" thickBot="1" x14ac:dyDescent="0.3">
      <c r="A359" s="79" t="s">
        <v>304</v>
      </c>
      <c r="B359" s="80" t="s">
        <v>303</v>
      </c>
      <c r="C359" s="79" t="s">
        <v>54</v>
      </c>
      <c r="D359" s="81">
        <v>332567</v>
      </c>
      <c r="E359" s="81">
        <v>469965</v>
      </c>
      <c r="F359" s="81">
        <v>27072</v>
      </c>
      <c r="G359" s="81">
        <v>98587</v>
      </c>
      <c r="H359" s="81">
        <v>482</v>
      </c>
      <c r="I359" s="81">
        <v>13</v>
      </c>
      <c r="J359" s="81">
        <v>53676</v>
      </c>
      <c r="K359" s="81">
        <v>32697</v>
      </c>
      <c r="L359" s="81">
        <v>6992</v>
      </c>
      <c r="M359" s="81">
        <v>93365</v>
      </c>
      <c r="N359" s="81">
        <v>689471</v>
      </c>
      <c r="O359" s="82">
        <v>0.28074042223070839</v>
      </c>
      <c r="P359" s="82">
        <v>1.790989484825614</v>
      </c>
      <c r="Q359" s="82">
        <v>2.0731792390706234</v>
      </c>
    </row>
    <row r="360" spans="1:17" ht="15.75" thickBot="1" x14ac:dyDescent="0.3">
      <c r="A360" s="79" t="s">
        <v>318</v>
      </c>
      <c r="B360" s="80" t="s">
        <v>317</v>
      </c>
      <c r="C360" s="79" t="s">
        <v>54</v>
      </c>
      <c r="D360" s="81">
        <v>76707</v>
      </c>
      <c r="E360" s="81">
        <v>174224</v>
      </c>
      <c r="F360" s="81">
        <v>16011</v>
      </c>
      <c r="G360" s="81">
        <v>8956</v>
      </c>
      <c r="H360" s="81">
        <v>238</v>
      </c>
      <c r="I360" s="81">
        <v>17</v>
      </c>
      <c r="J360" s="81" t="s">
        <v>1624</v>
      </c>
      <c r="K360" s="81" t="s">
        <v>1624</v>
      </c>
      <c r="L360" s="81" t="s">
        <v>1624</v>
      </c>
      <c r="M360" s="81" t="s">
        <v>1624</v>
      </c>
      <c r="N360" s="81" t="s">
        <v>1625</v>
      </c>
      <c r="O360" s="81" t="s">
        <v>1625</v>
      </c>
      <c r="P360" s="82">
        <v>2.5967773475693221</v>
      </c>
      <c r="Q360" s="81" t="s">
        <v>1625</v>
      </c>
    </row>
    <row r="361" spans="1:17" ht="15.75" thickBot="1" x14ac:dyDescent="0.3">
      <c r="A361" s="79" t="s">
        <v>322</v>
      </c>
      <c r="B361" s="80" t="s">
        <v>321</v>
      </c>
      <c r="C361" s="79" t="s">
        <v>54</v>
      </c>
      <c r="D361" s="81">
        <v>188040</v>
      </c>
      <c r="E361" s="81">
        <v>709579</v>
      </c>
      <c r="F361" s="81">
        <v>58046</v>
      </c>
      <c r="G361" s="81">
        <v>59285</v>
      </c>
      <c r="H361" s="81">
        <v>419</v>
      </c>
      <c r="I361" s="81">
        <v>54</v>
      </c>
      <c r="J361" s="81">
        <v>37148</v>
      </c>
      <c r="K361" s="81">
        <v>51567</v>
      </c>
      <c r="L361" s="81">
        <v>0</v>
      </c>
      <c r="M361" s="81">
        <v>88715</v>
      </c>
      <c r="N361" s="81">
        <v>915625</v>
      </c>
      <c r="O361" s="82">
        <v>0.47178791746436927</v>
      </c>
      <c r="P361" s="82">
        <v>4.3975218038715163</v>
      </c>
      <c r="Q361" s="82">
        <v>4.8693097213358856</v>
      </c>
    </row>
    <row r="362" spans="1:17" ht="15.75" thickBot="1" x14ac:dyDescent="0.3">
      <c r="A362" s="79" t="s">
        <v>326</v>
      </c>
      <c r="B362" s="80" t="s">
        <v>325</v>
      </c>
      <c r="C362" s="79" t="s">
        <v>54</v>
      </c>
      <c r="D362" s="81">
        <v>51133</v>
      </c>
      <c r="E362" s="81">
        <v>157634</v>
      </c>
      <c r="F362" s="81">
        <v>18059</v>
      </c>
      <c r="G362" s="81">
        <v>24724</v>
      </c>
      <c r="H362" s="81">
        <v>322</v>
      </c>
      <c r="I362" s="81">
        <v>1</v>
      </c>
      <c r="J362" s="81" t="s">
        <v>1624</v>
      </c>
      <c r="K362" s="81" t="s">
        <v>1624</v>
      </c>
      <c r="L362" s="81" t="s">
        <v>1624</v>
      </c>
      <c r="M362" s="81" t="s">
        <v>1624</v>
      </c>
      <c r="N362" s="81" t="s">
        <v>1625</v>
      </c>
      <c r="O362" s="81" t="s">
        <v>1625</v>
      </c>
      <c r="P362" s="82">
        <v>3.9195235953298262</v>
      </c>
      <c r="Q362" s="81" t="s">
        <v>1625</v>
      </c>
    </row>
    <row r="363" spans="1:17" ht="15.75" thickBot="1" x14ac:dyDescent="0.3">
      <c r="A363" s="79" t="s">
        <v>352</v>
      </c>
      <c r="B363" s="80" t="s">
        <v>351</v>
      </c>
      <c r="C363" s="79" t="s">
        <v>54</v>
      </c>
      <c r="D363" s="81">
        <v>102423</v>
      </c>
      <c r="E363" s="81">
        <v>233507</v>
      </c>
      <c r="F363" s="81">
        <v>22806</v>
      </c>
      <c r="G363" s="81">
        <v>24797</v>
      </c>
      <c r="H363" s="81">
        <v>237</v>
      </c>
      <c r="I363" s="81">
        <v>30</v>
      </c>
      <c r="J363" s="81">
        <v>106583</v>
      </c>
      <c r="K363" s="81">
        <v>69781</v>
      </c>
      <c r="L363" s="81">
        <v>10976</v>
      </c>
      <c r="M363" s="81">
        <v>187340</v>
      </c>
      <c r="N363" s="81">
        <v>468687</v>
      </c>
      <c r="O363" s="82">
        <v>1.829081358679203</v>
      </c>
      <c r="P363" s="82">
        <v>2.7445983812229673</v>
      </c>
      <c r="Q363" s="82">
        <v>4.5759936732960371</v>
      </c>
    </row>
    <row r="364" spans="1:17" ht="15.75" thickBot="1" x14ac:dyDescent="0.3">
      <c r="A364" s="79" t="s">
        <v>374</v>
      </c>
      <c r="B364" s="80" t="s">
        <v>373</v>
      </c>
      <c r="C364" s="79" t="s">
        <v>54</v>
      </c>
      <c r="D364" s="81">
        <v>52529</v>
      </c>
      <c r="E364" s="81">
        <v>110760</v>
      </c>
      <c r="F364" s="81">
        <v>12659</v>
      </c>
      <c r="G364" s="81">
        <v>25063</v>
      </c>
      <c r="H364" s="81">
        <v>214</v>
      </c>
      <c r="I364" s="81">
        <v>23</v>
      </c>
      <c r="J364" s="81">
        <v>84280</v>
      </c>
      <c r="K364" s="81">
        <v>44179</v>
      </c>
      <c r="L364" s="81">
        <v>4246</v>
      </c>
      <c r="M364" s="81">
        <v>132705</v>
      </c>
      <c r="N364" s="81">
        <v>281187</v>
      </c>
      <c r="O364" s="82">
        <v>2.5263187953321022</v>
      </c>
      <c r="P364" s="82">
        <v>2.8266671743227549</v>
      </c>
      <c r="Q364" s="82">
        <v>5.3529859696548572</v>
      </c>
    </row>
    <row r="365" spans="1:17" ht="15.75" thickBot="1" x14ac:dyDescent="0.3">
      <c r="A365" s="79" t="s">
        <v>394</v>
      </c>
      <c r="B365" s="80" t="s">
        <v>393</v>
      </c>
      <c r="C365" s="79" t="s">
        <v>54</v>
      </c>
      <c r="D365" s="81">
        <v>160248</v>
      </c>
      <c r="E365" s="81">
        <v>351897</v>
      </c>
      <c r="F365" s="81">
        <v>27454</v>
      </c>
      <c r="G365" s="81">
        <v>48713</v>
      </c>
      <c r="H365" s="81">
        <v>363</v>
      </c>
      <c r="I365" s="81">
        <v>23</v>
      </c>
      <c r="J365" s="81">
        <v>77936</v>
      </c>
      <c r="K365" s="81">
        <v>57178</v>
      </c>
      <c r="L365" s="81">
        <v>15471</v>
      </c>
      <c r="M365" s="81">
        <v>150585</v>
      </c>
      <c r="N365" s="81">
        <v>578649</v>
      </c>
      <c r="O365" s="82">
        <v>0.93969971544106634</v>
      </c>
      <c r="P365" s="82">
        <v>2.6712595477010632</v>
      </c>
      <c r="Q365" s="82">
        <v>3.6109592631421297</v>
      </c>
    </row>
    <row r="366" spans="1:17" ht="15.75" thickBot="1" x14ac:dyDescent="0.3">
      <c r="A366" s="79" t="s">
        <v>402</v>
      </c>
      <c r="B366" s="80" t="s">
        <v>401</v>
      </c>
      <c r="C366" s="79" t="s">
        <v>54</v>
      </c>
      <c r="D366" s="81">
        <v>123979</v>
      </c>
      <c r="E366" s="81">
        <v>365797</v>
      </c>
      <c r="F366" s="81">
        <v>16128</v>
      </c>
      <c r="G366" s="81">
        <v>44518</v>
      </c>
      <c r="H366" s="81">
        <v>346</v>
      </c>
      <c r="I366" s="81">
        <v>24</v>
      </c>
      <c r="J366" s="81" t="s">
        <v>1624</v>
      </c>
      <c r="K366" s="81" t="s">
        <v>1624</v>
      </c>
      <c r="L366" s="81" t="s">
        <v>1624</v>
      </c>
      <c r="M366" s="81" t="s">
        <v>1624</v>
      </c>
      <c r="N366" s="81" t="s">
        <v>1625</v>
      </c>
      <c r="O366" s="81" t="s">
        <v>1625</v>
      </c>
      <c r="P366" s="82">
        <v>3.439638971116076</v>
      </c>
      <c r="Q366" s="81" t="s">
        <v>1625</v>
      </c>
    </row>
    <row r="367" spans="1:17" ht="15.75" thickBot="1" x14ac:dyDescent="0.3">
      <c r="A367" s="79" t="s">
        <v>406</v>
      </c>
      <c r="B367" s="80" t="s">
        <v>405</v>
      </c>
      <c r="C367" s="79" t="s">
        <v>54</v>
      </c>
      <c r="D367" s="81">
        <v>395660</v>
      </c>
      <c r="E367" s="81">
        <v>745523</v>
      </c>
      <c r="F367" s="81">
        <v>72640</v>
      </c>
      <c r="G367" s="81">
        <v>87750</v>
      </c>
      <c r="H367" s="81">
        <v>1666</v>
      </c>
      <c r="I367" s="81">
        <v>25</v>
      </c>
      <c r="J367" s="81">
        <v>153538</v>
      </c>
      <c r="K367" s="81">
        <v>199361</v>
      </c>
      <c r="L367" s="81">
        <v>16121</v>
      </c>
      <c r="M367" s="81">
        <v>369020</v>
      </c>
      <c r="N367" s="81">
        <v>1274933</v>
      </c>
      <c r="O367" s="82">
        <v>0.93266946368093817</v>
      </c>
      <c r="P367" s="82">
        <v>2.2896249304958802</v>
      </c>
      <c r="Q367" s="82">
        <v>3.2222943941768185</v>
      </c>
    </row>
    <row r="368" spans="1:17" ht="15.75" thickBot="1" x14ac:dyDescent="0.3">
      <c r="A368" s="79" t="s">
        <v>417</v>
      </c>
      <c r="B368" s="80" t="s">
        <v>416</v>
      </c>
      <c r="C368" s="79" t="s">
        <v>54</v>
      </c>
      <c r="D368" s="81">
        <v>60006</v>
      </c>
      <c r="E368" s="81">
        <v>84701</v>
      </c>
      <c r="F368" s="81">
        <v>4093</v>
      </c>
      <c r="G368" s="81">
        <v>6745</v>
      </c>
      <c r="H368" s="81">
        <v>170</v>
      </c>
      <c r="I368" s="81">
        <v>8</v>
      </c>
      <c r="J368" s="81">
        <v>16849</v>
      </c>
      <c r="K368" s="81">
        <v>5490</v>
      </c>
      <c r="L368" s="81">
        <v>804</v>
      </c>
      <c r="M368" s="81">
        <v>23143</v>
      </c>
      <c r="N368" s="81">
        <v>118682</v>
      </c>
      <c r="O368" s="82">
        <v>0.385678098856781</v>
      </c>
      <c r="P368" s="82">
        <v>1.5921574509215746</v>
      </c>
      <c r="Q368" s="82">
        <v>1.9778355497783555</v>
      </c>
    </row>
    <row r="369" spans="1:17" ht="15.75" thickBot="1" x14ac:dyDescent="0.3">
      <c r="A369" s="79" t="s">
        <v>443</v>
      </c>
      <c r="B369" s="80" t="s">
        <v>442</v>
      </c>
      <c r="C369" s="79" t="s">
        <v>54</v>
      </c>
      <c r="D369" s="81">
        <v>96942</v>
      </c>
      <c r="E369" s="81">
        <v>181250</v>
      </c>
      <c r="F369" s="81">
        <v>16525</v>
      </c>
      <c r="G369" s="81">
        <v>15597</v>
      </c>
      <c r="H369" s="81">
        <v>182</v>
      </c>
      <c r="I369" s="81">
        <v>4</v>
      </c>
      <c r="J369" s="81">
        <v>8494</v>
      </c>
      <c r="K369" s="81">
        <v>11289</v>
      </c>
      <c r="L369" s="81">
        <v>1559</v>
      </c>
      <c r="M369" s="81">
        <v>21342</v>
      </c>
      <c r="N369" s="81">
        <v>234714</v>
      </c>
      <c r="O369" s="82">
        <v>0.22015225598811661</v>
      </c>
      <c r="P369" s="82">
        <v>2.2010274184563965</v>
      </c>
      <c r="Q369" s="82">
        <v>2.4211796744445131</v>
      </c>
    </row>
    <row r="370" spans="1:17" ht="15.75" thickBot="1" x14ac:dyDescent="0.3">
      <c r="A370" s="79" t="s">
        <v>508</v>
      </c>
      <c r="B370" s="80" t="s">
        <v>507</v>
      </c>
      <c r="C370" s="79" t="s">
        <v>54</v>
      </c>
      <c r="D370" s="81">
        <v>149955</v>
      </c>
      <c r="E370" s="81">
        <v>345644</v>
      </c>
      <c r="F370" s="81">
        <v>22679</v>
      </c>
      <c r="G370" s="81">
        <v>42311</v>
      </c>
      <c r="H370" s="81">
        <v>654</v>
      </c>
      <c r="I370" s="81">
        <v>9</v>
      </c>
      <c r="J370" s="81">
        <v>19957</v>
      </c>
      <c r="K370" s="81">
        <v>47570</v>
      </c>
      <c r="L370" s="81">
        <v>6183</v>
      </c>
      <c r="M370" s="81">
        <v>73710</v>
      </c>
      <c r="N370" s="81">
        <v>484344</v>
      </c>
      <c r="O370" s="82">
        <v>0.49154746423927176</v>
      </c>
      <c r="P370" s="82">
        <v>2.7383815144543364</v>
      </c>
      <c r="Q370" s="82">
        <v>3.2299289786936081</v>
      </c>
    </row>
    <row r="371" spans="1:17" ht="15.75" thickBot="1" x14ac:dyDescent="0.3">
      <c r="A371" s="79" t="s">
        <v>522</v>
      </c>
      <c r="B371" s="80" t="s">
        <v>521</v>
      </c>
      <c r="C371" s="79" t="s">
        <v>54</v>
      </c>
      <c r="D371" s="81">
        <v>105852</v>
      </c>
      <c r="E371" s="81">
        <v>163563</v>
      </c>
      <c r="F371" s="81">
        <v>9797</v>
      </c>
      <c r="G371" s="81">
        <v>19437</v>
      </c>
      <c r="H371" s="81">
        <v>560</v>
      </c>
      <c r="I371" s="81">
        <v>14</v>
      </c>
      <c r="J371" s="81" t="s">
        <v>1624</v>
      </c>
      <c r="K371" s="81" t="s">
        <v>1624</v>
      </c>
      <c r="L371" s="81" t="s">
        <v>1624</v>
      </c>
      <c r="M371" s="81" t="s">
        <v>1624</v>
      </c>
      <c r="N371" s="81" t="s">
        <v>1625</v>
      </c>
      <c r="O371" s="81" t="s">
        <v>1625</v>
      </c>
      <c r="P371" s="82">
        <v>1.821382685258663</v>
      </c>
      <c r="Q371" s="81" t="s">
        <v>1625</v>
      </c>
    </row>
    <row r="372" spans="1:17" ht="15.75" thickBot="1" x14ac:dyDescent="0.3">
      <c r="A372" s="79" t="s">
        <v>542</v>
      </c>
      <c r="B372" s="80" t="s">
        <v>541</v>
      </c>
      <c r="C372" s="79" t="s">
        <v>54</v>
      </c>
      <c r="D372" s="81">
        <v>55374</v>
      </c>
      <c r="E372" s="81">
        <v>138683</v>
      </c>
      <c r="F372" s="81">
        <v>9293</v>
      </c>
      <c r="G372" s="81">
        <v>19900</v>
      </c>
      <c r="H372" s="81">
        <v>167</v>
      </c>
      <c r="I372" s="81">
        <v>20</v>
      </c>
      <c r="J372" s="81">
        <v>55383</v>
      </c>
      <c r="K372" s="81">
        <v>28742</v>
      </c>
      <c r="L372" s="81">
        <v>2345</v>
      </c>
      <c r="M372" s="81">
        <v>86470</v>
      </c>
      <c r="N372" s="81">
        <v>254346</v>
      </c>
      <c r="O372" s="82">
        <v>1.5615631885000181</v>
      </c>
      <c r="P372" s="82">
        <v>3.0316755155849315</v>
      </c>
      <c r="Q372" s="82">
        <v>4.5932387040849498</v>
      </c>
    </row>
    <row r="373" spans="1:17" ht="15.75" thickBot="1" x14ac:dyDescent="0.3">
      <c r="A373" s="79" t="s">
        <v>590</v>
      </c>
      <c r="B373" s="80" t="s">
        <v>589</v>
      </c>
      <c r="C373" s="79" t="s">
        <v>54</v>
      </c>
      <c r="D373" s="81">
        <v>59515</v>
      </c>
      <c r="E373" s="81">
        <v>34750</v>
      </c>
      <c r="F373" s="81">
        <v>2432</v>
      </c>
      <c r="G373" s="81">
        <v>5953</v>
      </c>
      <c r="H373" s="81">
        <v>96</v>
      </c>
      <c r="I373" s="81">
        <v>9</v>
      </c>
      <c r="J373" s="81">
        <v>21662</v>
      </c>
      <c r="K373" s="81">
        <v>0</v>
      </c>
      <c r="L373" s="81">
        <v>814</v>
      </c>
      <c r="M373" s="81">
        <v>22476</v>
      </c>
      <c r="N373" s="81">
        <v>65611</v>
      </c>
      <c r="O373" s="82">
        <v>0.37765269259850459</v>
      </c>
      <c r="P373" s="82">
        <v>0.72477526673947745</v>
      </c>
      <c r="Q373" s="82">
        <v>1.102427959337982</v>
      </c>
    </row>
    <row r="374" spans="1:17" ht="15.75" thickBot="1" x14ac:dyDescent="0.3">
      <c r="A374" s="79" t="s">
        <v>594</v>
      </c>
      <c r="B374" s="80" t="s">
        <v>593</v>
      </c>
      <c r="C374" s="79" t="s">
        <v>54</v>
      </c>
      <c r="D374" s="81">
        <v>52170</v>
      </c>
      <c r="E374" s="81">
        <v>159958</v>
      </c>
      <c r="F374" s="81">
        <v>15551</v>
      </c>
      <c r="G374" s="81">
        <v>14142</v>
      </c>
      <c r="H374" s="81">
        <v>151</v>
      </c>
      <c r="I374" s="81">
        <v>58</v>
      </c>
      <c r="J374" s="81">
        <v>84627</v>
      </c>
      <c r="K374" s="81">
        <v>53810</v>
      </c>
      <c r="L374" s="81">
        <v>3788</v>
      </c>
      <c r="M374" s="81">
        <v>142225</v>
      </c>
      <c r="N374" s="81">
        <v>331876</v>
      </c>
      <c r="O374" s="82">
        <v>2.7261836304389497</v>
      </c>
      <c r="P374" s="82">
        <v>3.635250143760782</v>
      </c>
      <c r="Q374" s="82">
        <v>6.3614337741997318</v>
      </c>
    </row>
    <row r="375" spans="1:17" ht="15.75" thickBot="1" x14ac:dyDescent="0.3">
      <c r="A375" s="79" t="s">
        <v>604</v>
      </c>
      <c r="B375" s="80" t="s">
        <v>603</v>
      </c>
      <c r="C375" s="79" t="s">
        <v>54</v>
      </c>
      <c r="D375" s="81">
        <v>124690</v>
      </c>
      <c r="E375" s="81">
        <v>293757</v>
      </c>
      <c r="F375" s="81">
        <v>16232</v>
      </c>
      <c r="G375" s="81">
        <v>15445</v>
      </c>
      <c r="H375" s="81">
        <v>386</v>
      </c>
      <c r="I375" s="81">
        <v>17</v>
      </c>
      <c r="J375" s="81">
        <v>4100</v>
      </c>
      <c r="K375" s="81">
        <v>1300</v>
      </c>
      <c r="L375" s="81">
        <v>0</v>
      </c>
      <c r="M375" s="81">
        <v>5400</v>
      </c>
      <c r="N375" s="81">
        <v>330834</v>
      </c>
      <c r="O375" s="82">
        <v>4.3307402357847462E-2</v>
      </c>
      <c r="P375" s="82">
        <v>2.6099446627636538</v>
      </c>
      <c r="Q375" s="82">
        <v>2.6532520651215012</v>
      </c>
    </row>
    <row r="376" spans="1:17" ht="15.75" thickBot="1" x14ac:dyDescent="0.3">
      <c r="A376" s="79" t="s">
        <v>638</v>
      </c>
      <c r="B376" s="80" t="s">
        <v>637</v>
      </c>
      <c r="C376" s="79" t="s">
        <v>54</v>
      </c>
      <c r="D376" s="81">
        <v>100485</v>
      </c>
      <c r="E376" s="81">
        <v>211835</v>
      </c>
      <c r="F376" s="81">
        <v>18901</v>
      </c>
      <c r="G376" s="81">
        <v>48232</v>
      </c>
      <c r="H376" s="81">
        <v>332</v>
      </c>
      <c r="I376" s="81">
        <v>14</v>
      </c>
      <c r="J376" s="81">
        <v>16190</v>
      </c>
      <c r="K376" s="81">
        <v>8533</v>
      </c>
      <c r="L376" s="81">
        <v>2</v>
      </c>
      <c r="M376" s="81">
        <v>24725</v>
      </c>
      <c r="N376" s="81">
        <v>303693</v>
      </c>
      <c r="O376" s="82">
        <v>0.24605662536697021</v>
      </c>
      <c r="P376" s="82">
        <v>2.7762153555257005</v>
      </c>
      <c r="Q376" s="82">
        <v>3.0222719808926706</v>
      </c>
    </row>
    <row r="377" spans="1:17" ht="15.75" thickBot="1" x14ac:dyDescent="0.3">
      <c r="A377" s="79" t="s">
        <v>648</v>
      </c>
      <c r="B377" s="80" t="s">
        <v>647</v>
      </c>
      <c r="C377" s="79" t="s">
        <v>54</v>
      </c>
      <c r="D377" s="81">
        <v>57236</v>
      </c>
      <c r="E377" s="81">
        <v>125051</v>
      </c>
      <c r="F377" s="81">
        <v>8743</v>
      </c>
      <c r="G377" s="81">
        <v>10741</v>
      </c>
      <c r="H377" s="81">
        <v>104</v>
      </c>
      <c r="I377" s="81">
        <v>30</v>
      </c>
      <c r="J377" s="81" t="s">
        <v>1624</v>
      </c>
      <c r="K377" s="81" t="s">
        <v>1624</v>
      </c>
      <c r="L377" s="81" t="s">
        <v>1624</v>
      </c>
      <c r="M377" s="81" t="s">
        <v>1624</v>
      </c>
      <c r="N377" s="81" t="s">
        <v>1625</v>
      </c>
      <c r="O377" s="81" t="s">
        <v>1625</v>
      </c>
      <c r="P377" s="82">
        <v>2.5252463484520233</v>
      </c>
      <c r="Q377" s="81" t="s">
        <v>1625</v>
      </c>
    </row>
    <row r="378" spans="1:17" ht="15.75" thickBot="1" x14ac:dyDescent="0.3">
      <c r="A378" s="79" t="s">
        <v>654</v>
      </c>
      <c r="B378" s="80" t="s">
        <v>653</v>
      </c>
      <c r="C378" s="79" t="s">
        <v>54</v>
      </c>
      <c r="D378" s="81">
        <v>160312</v>
      </c>
      <c r="E378" s="81">
        <v>354997</v>
      </c>
      <c r="F378" s="81">
        <v>38864</v>
      </c>
      <c r="G378" s="81">
        <v>53648</v>
      </c>
      <c r="H378" s="81">
        <v>1249</v>
      </c>
      <c r="I378" s="81">
        <v>9</v>
      </c>
      <c r="J378" s="81">
        <v>11913</v>
      </c>
      <c r="K378" s="81">
        <v>17384</v>
      </c>
      <c r="L378" s="81">
        <v>2681</v>
      </c>
      <c r="M378" s="81">
        <v>31978</v>
      </c>
      <c r="N378" s="81">
        <v>479487</v>
      </c>
      <c r="O378" s="82">
        <v>0.19947352662308498</v>
      </c>
      <c r="P378" s="82">
        <v>2.7914878486950445</v>
      </c>
      <c r="Q378" s="82">
        <v>2.9909613753181294</v>
      </c>
    </row>
    <row r="379" spans="1:17" ht="15.75" thickBot="1" x14ac:dyDescent="0.3">
      <c r="A379" s="79" t="s">
        <v>656</v>
      </c>
      <c r="B379" s="80" t="s">
        <v>655</v>
      </c>
      <c r="C379" s="79" t="s">
        <v>54</v>
      </c>
      <c r="D379" s="81">
        <v>59715</v>
      </c>
      <c r="E379" s="81">
        <v>100627</v>
      </c>
      <c r="F379" s="81">
        <v>6940</v>
      </c>
      <c r="G379" s="81">
        <v>7963</v>
      </c>
      <c r="H379" s="81">
        <v>188</v>
      </c>
      <c r="I379" s="81">
        <v>6</v>
      </c>
      <c r="J379" s="81">
        <v>18566</v>
      </c>
      <c r="K379" s="81">
        <v>4411</v>
      </c>
      <c r="L379" s="81">
        <v>84</v>
      </c>
      <c r="M379" s="81">
        <v>23061</v>
      </c>
      <c r="N379" s="81">
        <v>138591</v>
      </c>
      <c r="O379" s="82">
        <v>0.38618437578497866</v>
      </c>
      <c r="P379" s="82">
        <v>1.9346897764380808</v>
      </c>
      <c r="Q379" s="82">
        <v>2.3208741522230594</v>
      </c>
    </row>
    <row r="380" spans="1:17" ht="15.75" thickBot="1" x14ac:dyDescent="0.3">
      <c r="A380" s="79" t="s">
        <v>684</v>
      </c>
      <c r="B380" s="80" t="s">
        <v>683</v>
      </c>
      <c r="C380" s="79" t="s">
        <v>54</v>
      </c>
      <c r="D380" s="81">
        <v>73804</v>
      </c>
      <c r="E380" s="81">
        <v>104337</v>
      </c>
      <c r="F380" s="81">
        <v>7144</v>
      </c>
      <c r="G380" s="81">
        <v>8160</v>
      </c>
      <c r="H380" s="81">
        <v>208</v>
      </c>
      <c r="I380" s="81">
        <v>8</v>
      </c>
      <c r="J380" s="81">
        <v>19765</v>
      </c>
      <c r="K380" s="81">
        <v>44145</v>
      </c>
      <c r="L380" s="81">
        <v>0</v>
      </c>
      <c r="M380" s="81">
        <v>63910</v>
      </c>
      <c r="N380" s="81">
        <v>183759</v>
      </c>
      <c r="O380" s="82">
        <v>0.86594222535363941</v>
      </c>
      <c r="P380" s="82">
        <v>1.6210638989756654</v>
      </c>
      <c r="Q380" s="82">
        <v>2.4898243997615306</v>
      </c>
    </row>
    <row r="381" spans="1:17" ht="15.75" thickBot="1" x14ac:dyDescent="0.3">
      <c r="A381" s="79" t="s">
        <v>696</v>
      </c>
      <c r="B381" s="80" t="s">
        <v>695</v>
      </c>
      <c r="C381" s="79" t="s">
        <v>54</v>
      </c>
      <c r="D381" s="81">
        <v>75814</v>
      </c>
      <c r="E381" s="81">
        <v>200224</v>
      </c>
      <c r="F381" s="81">
        <v>10529</v>
      </c>
      <c r="G381" s="81">
        <v>22565</v>
      </c>
      <c r="H381" s="81">
        <v>148</v>
      </c>
      <c r="I381" s="81">
        <v>51</v>
      </c>
      <c r="J381" s="81">
        <v>1770</v>
      </c>
      <c r="K381" s="81">
        <v>1238</v>
      </c>
      <c r="L381" s="81">
        <v>0</v>
      </c>
      <c r="M381" s="81">
        <v>3008</v>
      </c>
      <c r="N381" s="81">
        <v>236326</v>
      </c>
      <c r="O381" s="82">
        <v>3.9676049278497376E-2</v>
      </c>
      <c r="P381" s="82">
        <v>3.0775054739230221</v>
      </c>
      <c r="Q381" s="82">
        <v>3.1171815232015194</v>
      </c>
    </row>
    <row r="382" spans="1:17" ht="15.75" thickBot="1" x14ac:dyDescent="0.3">
      <c r="A382" s="79" t="s">
        <v>710</v>
      </c>
      <c r="B382" s="80" t="s">
        <v>709</v>
      </c>
      <c r="C382" s="79" t="s">
        <v>54</v>
      </c>
      <c r="D382" s="81">
        <v>129699</v>
      </c>
      <c r="E382" s="81">
        <v>172302</v>
      </c>
      <c r="F382" s="81">
        <v>10098</v>
      </c>
      <c r="G382" s="81">
        <v>23500</v>
      </c>
      <c r="H382" s="81">
        <v>165</v>
      </c>
      <c r="I382" s="81">
        <v>8</v>
      </c>
      <c r="J382" s="81">
        <v>62070</v>
      </c>
      <c r="K382" s="81">
        <v>51603</v>
      </c>
      <c r="L382" s="81">
        <v>0</v>
      </c>
      <c r="M382" s="81">
        <v>113673</v>
      </c>
      <c r="N382" s="81">
        <v>319738</v>
      </c>
      <c r="O382" s="82">
        <v>0.87643698100987677</v>
      </c>
      <c r="P382" s="82">
        <v>1.5875218775780846</v>
      </c>
      <c r="Q382" s="82">
        <v>2.4652310349347335</v>
      </c>
    </row>
    <row r="383" spans="1:17" ht="15.75" thickBot="1" x14ac:dyDescent="0.3">
      <c r="A383" s="79" t="s">
        <v>726</v>
      </c>
      <c r="B383" s="80" t="s">
        <v>725</v>
      </c>
      <c r="C383" s="79" t="s">
        <v>54</v>
      </c>
      <c r="D383" s="81">
        <v>63131</v>
      </c>
      <c r="E383" s="81">
        <v>114561</v>
      </c>
      <c r="F383" s="81">
        <v>3964</v>
      </c>
      <c r="G383" s="81">
        <v>6713</v>
      </c>
      <c r="H383" s="81">
        <v>0</v>
      </c>
      <c r="I383" s="81">
        <v>7</v>
      </c>
      <c r="J383" s="81">
        <v>36565</v>
      </c>
      <c r="K383" s="81">
        <v>7833</v>
      </c>
      <c r="L383" s="81">
        <v>1892</v>
      </c>
      <c r="M383" s="81">
        <v>46290</v>
      </c>
      <c r="N383" s="81">
        <v>171528</v>
      </c>
      <c r="O383" s="82">
        <v>0.73323723685669484</v>
      </c>
      <c r="P383" s="82">
        <v>1.9837797595476074</v>
      </c>
      <c r="Q383" s="82">
        <v>2.7170169964043023</v>
      </c>
    </row>
    <row r="384" spans="1:17" ht="15.75" thickBot="1" x14ac:dyDescent="0.3">
      <c r="A384" s="79" t="s">
        <v>752</v>
      </c>
      <c r="B384" s="80" t="s">
        <v>751</v>
      </c>
      <c r="C384" s="79" t="s">
        <v>54</v>
      </c>
      <c r="D384" s="81">
        <v>97396</v>
      </c>
      <c r="E384" s="81">
        <v>220257</v>
      </c>
      <c r="F384" s="81">
        <v>53248</v>
      </c>
      <c r="G384" s="81">
        <v>31828</v>
      </c>
      <c r="H384" s="81">
        <v>372</v>
      </c>
      <c r="I384" s="81">
        <v>16</v>
      </c>
      <c r="J384" s="81">
        <v>13161</v>
      </c>
      <c r="K384" s="81">
        <v>19180</v>
      </c>
      <c r="L384" s="81">
        <v>5014</v>
      </c>
      <c r="M384" s="81">
        <v>37355</v>
      </c>
      <c r="N384" s="81">
        <v>343060</v>
      </c>
      <c r="O384" s="82">
        <v>0.38353731159390531</v>
      </c>
      <c r="P384" s="82">
        <v>3.1349644749271017</v>
      </c>
      <c r="Q384" s="82">
        <v>3.5223212452256765</v>
      </c>
    </row>
    <row r="385" spans="1:17" ht="15.75" thickBot="1" x14ac:dyDescent="0.3">
      <c r="A385" s="79" t="s">
        <v>754</v>
      </c>
      <c r="B385" s="80" t="s">
        <v>1614</v>
      </c>
      <c r="C385" s="79" t="s">
        <v>54</v>
      </c>
      <c r="D385" s="81">
        <v>72726</v>
      </c>
      <c r="E385" s="81">
        <v>106581</v>
      </c>
      <c r="F385" s="81">
        <v>5545</v>
      </c>
      <c r="G385" s="81">
        <v>3776</v>
      </c>
      <c r="H385" s="81">
        <v>84</v>
      </c>
      <c r="I385" s="81">
        <v>4</v>
      </c>
      <c r="J385" s="81">
        <v>43686</v>
      </c>
      <c r="K385" s="81">
        <v>19883</v>
      </c>
      <c r="L385" s="81">
        <v>852</v>
      </c>
      <c r="M385" s="81">
        <v>64421</v>
      </c>
      <c r="N385" s="81">
        <v>180323</v>
      </c>
      <c r="O385" s="82">
        <v>0.88580425157440257</v>
      </c>
      <c r="P385" s="82">
        <v>1.5936803894068146</v>
      </c>
      <c r="Q385" s="82">
        <v>2.4794846409812172</v>
      </c>
    </row>
    <row r="386" spans="1:17" ht="15.75" thickBot="1" x14ac:dyDescent="0.3">
      <c r="A386" s="79" t="s">
        <v>756</v>
      </c>
      <c r="B386" s="80" t="s">
        <v>755</v>
      </c>
      <c r="C386" s="79" t="s">
        <v>54</v>
      </c>
      <c r="D386" s="81">
        <v>80980</v>
      </c>
      <c r="E386" s="81">
        <v>155291</v>
      </c>
      <c r="F386" s="81">
        <v>17410</v>
      </c>
      <c r="G386" s="81">
        <v>28280</v>
      </c>
      <c r="H386" s="81">
        <v>170</v>
      </c>
      <c r="I386" s="81">
        <v>19</v>
      </c>
      <c r="J386" s="81" t="s">
        <v>1624</v>
      </c>
      <c r="K386" s="81" t="s">
        <v>1624</v>
      </c>
      <c r="L386" s="81" t="s">
        <v>1624</v>
      </c>
      <c r="M386" s="81" t="s">
        <v>1624</v>
      </c>
      <c r="N386" s="81" t="s">
        <v>1625</v>
      </c>
      <c r="O386" s="81" t="s">
        <v>1625</v>
      </c>
      <c r="P386" s="82">
        <v>2.4818597184489999</v>
      </c>
      <c r="Q386" s="81" t="s">
        <v>1625</v>
      </c>
    </row>
    <row r="387" spans="1:17" ht="15.75" thickBot="1" x14ac:dyDescent="0.3">
      <c r="A387" s="79" t="s">
        <v>778</v>
      </c>
      <c r="B387" s="80" t="s">
        <v>777</v>
      </c>
      <c r="C387" s="79" t="s">
        <v>54</v>
      </c>
      <c r="D387" s="81">
        <v>134056</v>
      </c>
      <c r="E387" s="81">
        <v>244176</v>
      </c>
      <c r="F387" s="81">
        <v>28675</v>
      </c>
      <c r="G387" s="81">
        <v>20452</v>
      </c>
      <c r="H387" s="81">
        <v>410</v>
      </c>
      <c r="I387" s="81">
        <v>8</v>
      </c>
      <c r="J387" s="81">
        <v>47466</v>
      </c>
      <c r="K387" s="81">
        <v>31895</v>
      </c>
      <c r="L387" s="81">
        <v>1000</v>
      </c>
      <c r="M387" s="81">
        <v>80361</v>
      </c>
      <c r="N387" s="81">
        <v>373664</v>
      </c>
      <c r="O387" s="82">
        <v>0.59945843528077813</v>
      </c>
      <c r="P387" s="82">
        <v>2.1879140060870084</v>
      </c>
      <c r="Q387" s="82">
        <v>2.7873724413677867</v>
      </c>
    </row>
    <row r="388" spans="1:17" ht="15.75" thickBot="1" x14ac:dyDescent="0.3">
      <c r="A388" s="79" t="s">
        <v>780</v>
      </c>
      <c r="B388" s="80" t="s">
        <v>779</v>
      </c>
      <c r="C388" s="79" t="s">
        <v>54</v>
      </c>
      <c r="D388" s="81">
        <v>71997</v>
      </c>
      <c r="E388" s="81">
        <v>109510</v>
      </c>
      <c r="F388" s="81">
        <v>6312</v>
      </c>
      <c r="G388" s="81">
        <v>4326</v>
      </c>
      <c r="H388" s="81">
        <v>198</v>
      </c>
      <c r="I388" s="81">
        <v>10</v>
      </c>
      <c r="J388" s="81">
        <v>25689</v>
      </c>
      <c r="K388" s="81">
        <v>13055</v>
      </c>
      <c r="L388" s="81">
        <v>815</v>
      </c>
      <c r="M388" s="81">
        <v>39559</v>
      </c>
      <c r="N388" s="81">
        <v>159707</v>
      </c>
      <c r="O388" s="82">
        <v>0.54945344944928265</v>
      </c>
      <c r="P388" s="82">
        <v>1.6687917552120228</v>
      </c>
      <c r="Q388" s="82">
        <v>2.2182452046613053</v>
      </c>
    </row>
    <row r="389" spans="1:17" ht="15.75" thickBot="1" x14ac:dyDescent="0.3">
      <c r="A389" s="79" t="s">
        <v>788</v>
      </c>
      <c r="B389" s="80" t="s">
        <v>787</v>
      </c>
      <c r="C389" s="79" t="s">
        <v>54</v>
      </c>
      <c r="D389" s="81">
        <v>71755</v>
      </c>
      <c r="E389" s="81">
        <v>142189</v>
      </c>
      <c r="F389" s="81">
        <v>16842</v>
      </c>
      <c r="G389" s="81">
        <v>35847</v>
      </c>
      <c r="H389" s="81">
        <v>501</v>
      </c>
      <c r="I389" s="81">
        <v>44</v>
      </c>
      <c r="J389" s="81">
        <v>40197</v>
      </c>
      <c r="K389" s="81">
        <v>31693</v>
      </c>
      <c r="L389" s="81">
        <v>6240</v>
      </c>
      <c r="M389" s="81">
        <v>78130</v>
      </c>
      <c r="N389" s="81">
        <v>273008</v>
      </c>
      <c r="O389" s="82">
        <v>1.0888439829977006</v>
      </c>
      <c r="P389" s="82">
        <v>2.7158804264511183</v>
      </c>
      <c r="Q389" s="82">
        <v>3.8047244094488191</v>
      </c>
    </row>
    <row r="390" spans="1:17" ht="15.75" thickBot="1" x14ac:dyDescent="0.3">
      <c r="A390" s="79" t="s">
        <v>808</v>
      </c>
      <c r="B390" s="80" t="s">
        <v>807</v>
      </c>
      <c r="C390" s="79" t="s">
        <v>54</v>
      </c>
      <c r="D390" s="81">
        <v>89779</v>
      </c>
      <c r="E390" s="81">
        <v>159035</v>
      </c>
      <c r="F390" s="81">
        <v>17311</v>
      </c>
      <c r="G390" s="81">
        <v>22745</v>
      </c>
      <c r="H390" s="81">
        <v>160</v>
      </c>
      <c r="I390" s="81">
        <v>12</v>
      </c>
      <c r="J390" s="81">
        <v>90889</v>
      </c>
      <c r="K390" s="81">
        <v>40086</v>
      </c>
      <c r="L390" s="81">
        <v>7941</v>
      </c>
      <c r="M390" s="81">
        <v>138916</v>
      </c>
      <c r="N390" s="81">
        <v>338007</v>
      </c>
      <c r="O390" s="82">
        <v>1.5473106182960381</v>
      </c>
      <c r="P390" s="82">
        <v>2.2175675826195436</v>
      </c>
      <c r="Q390" s="82">
        <v>3.7648782009155815</v>
      </c>
    </row>
    <row r="391" spans="1:17" ht="15.75" thickBot="1" x14ac:dyDescent="0.3">
      <c r="A391" s="79" t="s">
        <v>810</v>
      </c>
      <c r="B391" s="80" t="s">
        <v>809</v>
      </c>
      <c r="C391" s="79" t="s">
        <v>54</v>
      </c>
      <c r="D391" s="81">
        <v>84094</v>
      </c>
      <c r="E391" s="81">
        <v>134428</v>
      </c>
      <c r="F391" s="81">
        <v>11437</v>
      </c>
      <c r="G391" s="81">
        <v>14498</v>
      </c>
      <c r="H391" s="81">
        <v>137</v>
      </c>
      <c r="I391" s="81">
        <v>8</v>
      </c>
      <c r="J391" s="81">
        <v>24637</v>
      </c>
      <c r="K391" s="81">
        <v>24637</v>
      </c>
      <c r="L391" s="81">
        <v>18224</v>
      </c>
      <c r="M391" s="81">
        <v>67498</v>
      </c>
      <c r="N391" s="81">
        <v>227861</v>
      </c>
      <c r="O391" s="82">
        <v>0.8026494161295693</v>
      </c>
      <c r="P391" s="82">
        <v>1.9069493661854591</v>
      </c>
      <c r="Q391" s="82">
        <v>2.7095987823150285</v>
      </c>
    </row>
    <row r="392" spans="1:17" ht="15.75" thickBot="1" x14ac:dyDescent="0.3">
      <c r="A392" s="79" t="s">
        <v>816</v>
      </c>
      <c r="B392" s="83" t="s">
        <v>815</v>
      </c>
      <c r="C392" s="79" t="s">
        <v>54</v>
      </c>
      <c r="D392" s="81">
        <v>82974</v>
      </c>
      <c r="E392" s="81">
        <v>210024</v>
      </c>
      <c r="F392" s="81">
        <v>15924</v>
      </c>
      <c r="G392" s="81">
        <v>28529</v>
      </c>
      <c r="H392" s="81">
        <v>168</v>
      </c>
      <c r="I392" s="81">
        <v>9</v>
      </c>
      <c r="J392" s="81">
        <v>48784</v>
      </c>
      <c r="K392" s="81">
        <v>50786</v>
      </c>
      <c r="L392" s="81">
        <v>9864</v>
      </c>
      <c r="M392" s="81">
        <v>109434</v>
      </c>
      <c r="N392" s="81">
        <v>363911</v>
      </c>
      <c r="O392" s="82">
        <v>1.31889507556584</v>
      </c>
      <c r="P392" s="82">
        <v>3.0669486827198882</v>
      </c>
      <c r="Q392" s="82">
        <v>4.3858437582857279</v>
      </c>
    </row>
    <row r="393" spans="1:17" ht="13.5" hidden="1" thickBot="1" x14ac:dyDescent="0.25">
      <c r="A393" s="53"/>
      <c r="B393" s="58"/>
      <c r="C393" s="52"/>
      <c r="D393" s="55"/>
      <c r="E393" s="55"/>
      <c r="F393" s="55"/>
      <c r="G393" s="55"/>
      <c r="H393" s="55"/>
      <c r="I393" s="55"/>
      <c r="J393" s="55"/>
      <c r="K393" s="55"/>
      <c r="L393" s="55"/>
      <c r="M393" s="55"/>
      <c r="N393" s="55"/>
      <c r="O393" s="56"/>
      <c r="P393" s="56"/>
      <c r="Q393" s="56"/>
    </row>
    <row r="394" spans="1:17" ht="13.5" hidden="1" thickBot="1" x14ac:dyDescent="0.25">
      <c r="A394" s="53"/>
      <c r="B394" s="57" t="s">
        <v>1599</v>
      </c>
      <c r="C394" s="53">
        <f>SUBTOTAL(3,C4:C392)</f>
        <v>389</v>
      </c>
      <c r="D394" s="55"/>
      <c r="E394" s="55"/>
      <c r="F394" s="55"/>
      <c r="G394" s="55"/>
      <c r="H394" s="55"/>
      <c r="I394" s="55"/>
      <c r="J394" s="55"/>
      <c r="K394" s="55"/>
      <c r="L394" s="55"/>
      <c r="M394" s="55"/>
      <c r="N394" s="55"/>
      <c r="O394" s="56"/>
      <c r="P394" s="56"/>
      <c r="Q394" s="56"/>
    </row>
    <row r="395" spans="1:17" ht="18.75" thickBot="1" x14ac:dyDescent="0.3">
      <c r="A395" s="60"/>
      <c r="B395" s="59" t="s">
        <v>1599</v>
      </c>
      <c r="C395" s="61">
        <f>SUBTOTAL(103,Table2[Library Class])</f>
        <v>389</v>
      </c>
    </row>
    <row r="396" spans="1:17" ht="16.5" thickBot="1" x14ac:dyDescent="0.3">
      <c r="C396" s="62" t="s">
        <v>1620</v>
      </c>
      <c r="D396" s="65">
        <f>SUBTOTAL(109,Table2[Total Population Served])</f>
        <v>9842571</v>
      </c>
      <c r="E396" s="66">
        <f>SUBTOTAL(109,Table2[Number of Print Materials])</f>
        <v>25209525</v>
      </c>
      <c r="F396" s="66">
        <f>SUBTOTAL(109,Table2[Audio (Physical Units)])</f>
        <v>1764922</v>
      </c>
      <c r="G396" s="66">
        <f>SUBTOTAL(109,Table2[Video (Physical Units)])</f>
        <v>2770602</v>
      </c>
      <c r="H396" s="66">
        <f>SUBTOTAL(109,Table2[Subscriptions (Non-electronic)])</f>
        <v>70241</v>
      </c>
      <c r="I396" s="66">
        <f>SUBTOTAL(109,Table2[Total Electronic Collections])</f>
        <v>2504</v>
      </c>
      <c r="J396" s="66">
        <f>SUBTOTAL(109,Table2[Electronic Books (E-Books)])</f>
        <v>7269489</v>
      </c>
      <c r="K396" s="66">
        <f>SUBTOTAL(109,Table2[Audio (Downloadable Units)])</f>
        <v>4274549</v>
      </c>
      <c r="L396" s="66">
        <f>SUBTOTAL(109,Table2[Video (Downloadable Units)])</f>
        <v>598737</v>
      </c>
      <c r="M396" s="66">
        <f>SUBTOTAL(109,Table2[Total eContent])</f>
        <v>12142775</v>
      </c>
      <c r="N396" s="67">
        <f>SUBTOTAL(109,Table2[Total Collection (Physical / Electronic Units)])</f>
        <v>38521014</v>
      </c>
    </row>
    <row r="397" spans="1:17" ht="16.5" thickBot="1" x14ac:dyDescent="0.3">
      <c r="C397" s="62" t="s">
        <v>1621</v>
      </c>
      <c r="D397" s="63">
        <f>SUBTOTAL(101,Table2[Total Population Served])</f>
        <v>25302.239074550129</v>
      </c>
      <c r="E397" s="64">
        <f>SUBTOTAL(101,Table2[Number of Print Materials])</f>
        <v>64805.976863753211</v>
      </c>
      <c r="F397" s="64">
        <f>SUBTOTAL(101,Table2[Audio (Physical Units)])</f>
        <v>4537.0745501285346</v>
      </c>
      <c r="G397" s="64">
        <f>SUBTOTAL(101,Table2[Video (Physical Units)])</f>
        <v>7122.3701799485862</v>
      </c>
      <c r="H397" s="64">
        <f>SUBTOTAL(101,Table2[Subscriptions (Non-electronic)])</f>
        <v>180.5681233933162</v>
      </c>
      <c r="I397" s="64">
        <f>SUBTOTAL(101,Table2[Total Electronic Collections])</f>
        <v>6.4370179948586115</v>
      </c>
      <c r="J397" s="64">
        <f>SUBTOTAL(101,Table2[Electronic Books (E-Books)])</f>
        <v>20477.4338028169</v>
      </c>
      <c r="K397" s="64">
        <f>SUBTOTAL(101,Table2[Audio (Downloadable Units)])</f>
        <v>12040.983098591549</v>
      </c>
      <c r="L397" s="64">
        <f>SUBTOTAL(101,Table2[Video (Downloadable Units)])</f>
        <v>1686.5830985915493</v>
      </c>
      <c r="M397" s="64">
        <f>SUBTOTAL(101,Table2[Total eContent])</f>
        <v>34205</v>
      </c>
      <c r="N397" s="64">
        <f>SUBTOTAL(101,Table2[Total Collection (Physical / Electronic Units)])</f>
        <v>108509.8985915493</v>
      </c>
      <c r="O397" s="68">
        <f>SUBTOTAL(101,Table2[eMaterials Per Capita])</f>
        <v>3.6830091298624312</v>
      </c>
      <c r="P397" s="68">
        <f>SUBTOTAL(101,Table2[Physical Materials Per Capita (subcriptions not included)])</f>
        <v>4.5554785389868622</v>
      </c>
      <c r="Q397" s="69">
        <f>SUBTOTAL(101,Table2[Total Materials Per Capita])</f>
        <v>8.3367033900792471</v>
      </c>
    </row>
    <row r="400" spans="1:17" ht="15" x14ac:dyDescent="0.25">
      <c r="B400" s="84" t="s">
        <v>1622</v>
      </c>
    </row>
    <row r="401" spans="1:2" ht="15" x14ac:dyDescent="0.25">
      <c r="B401" s="84" t="s">
        <v>1623</v>
      </c>
    </row>
    <row r="402" spans="1:2" ht="15" x14ac:dyDescent="0.25">
      <c r="A402" s="369" t="s">
        <v>3736</v>
      </c>
    </row>
  </sheetData>
  <sortState xmlns:xlrd2="http://schemas.microsoft.com/office/spreadsheetml/2017/richdata2" ref="A4:Q392">
    <sortCondition ref="B4:B392"/>
  </sortState>
  <hyperlinks>
    <hyperlink ref="F1" location="'Table of Contents'!A1" display="Return to Table of Contents" xr:uid="{2BEF45E3-9AFB-44DD-A5AD-8218EB62F30D}"/>
  </hyperlinks>
  <pageMargins left="0.7" right="0.7" top="0.75" bottom="0.75" header="0.3" footer="0.3"/>
  <pageSetup orientation="portrait" horizontalDpi="1200" verticalDpi="12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EB10D-8BF8-43F5-9E9F-BD7849A25A5C}">
  <sheetPr>
    <tabColor rgb="FF8CC6D4"/>
  </sheetPr>
  <dimension ref="A1:AF399"/>
  <sheetViews>
    <sheetView workbookViewId="0">
      <pane xSplit="3" ySplit="3" topLeftCell="D4" activePane="bottomRight" state="frozen"/>
      <selection pane="topRight" activeCell="D1" sqref="D1"/>
      <selection pane="bottomLeft" activeCell="A2" sqref="A2"/>
      <selection pane="bottomRight" activeCell="C3" sqref="C3"/>
    </sheetView>
  </sheetViews>
  <sheetFormatPr defaultRowHeight="15" x14ac:dyDescent="0.25"/>
  <cols>
    <col min="1" max="1" width="8.85546875" style="84" customWidth="1"/>
    <col min="2" max="2" width="53.28515625" style="84" customWidth="1"/>
    <col min="3" max="3" width="26" style="84" customWidth="1"/>
    <col min="4" max="4" width="12.42578125" style="84" customWidth="1"/>
    <col min="5" max="5" width="16.28515625" style="84" customWidth="1"/>
    <col min="6" max="6" width="13.85546875" style="84" customWidth="1"/>
    <col min="7" max="7" width="14" style="84" customWidth="1"/>
    <col min="8" max="8" width="16.85546875" style="84" customWidth="1"/>
    <col min="9" max="9" width="15.5703125" style="84" customWidth="1"/>
    <col min="10" max="10" width="16.28515625" style="84" customWidth="1"/>
    <col min="11" max="11" width="14.7109375" style="84" customWidth="1"/>
    <col min="12" max="12" width="17.7109375" style="84" customWidth="1"/>
    <col min="13" max="13" width="16.28515625" style="84" customWidth="1"/>
    <col min="14" max="14" width="21.28515625" style="84" customWidth="1"/>
    <col min="15" max="15" width="22.42578125" style="84" customWidth="1"/>
    <col min="16" max="16" width="18.7109375" style="84" customWidth="1"/>
    <col min="17" max="17" width="14.85546875" style="84" customWidth="1"/>
    <col min="18" max="18" width="17.28515625" style="84" customWidth="1"/>
    <col min="19" max="19" width="14.42578125" style="84" customWidth="1"/>
    <col min="20" max="20" width="16" style="84" customWidth="1"/>
    <col min="21" max="21" width="15.5703125" style="84" customWidth="1"/>
    <col min="22" max="22" width="17.28515625" style="84" customWidth="1"/>
    <col min="23" max="23" width="30.7109375" style="84" customWidth="1"/>
    <col min="24" max="24" width="25.42578125" style="84" customWidth="1"/>
    <col min="25" max="25" width="18.42578125" style="84" customWidth="1"/>
    <col min="26" max="26" width="24.7109375" style="84" customWidth="1"/>
    <col min="27" max="27" width="31.28515625" style="84" customWidth="1"/>
    <col min="28" max="28" width="25.5703125" style="84" customWidth="1"/>
    <col min="29" max="29" width="20.42578125" style="84" customWidth="1"/>
    <col min="30" max="30" width="42.7109375" style="84" customWidth="1"/>
    <col min="31" max="31" width="36.7109375" style="84" customWidth="1"/>
    <col min="32" max="32" width="21.42578125" style="84" customWidth="1"/>
    <col min="33" max="16384" width="9.140625" style="84"/>
  </cols>
  <sheetData>
    <row r="1" spans="1:32" ht="18.75" x14ac:dyDescent="0.3">
      <c r="A1" s="362" t="s">
        <v>3729</v>
      </c>
      <c r="B1" s="365"/>
      <c r="C1"/>
      <c r="D1" s="364" t="s">
        <v>1588</v>
      </c>
      <c r="E1"/>
      <c r="F1" s="360" t="s">
        <v>3727</v>
      </c>
      <c r="G1"/>
    </row>
    <row r="3" spans="1:32" s="92" customFormat="1" ht="88.5" customHeight="1" thickBot="1" x14ac:dyDescent="0.3">
      <c r="A3" s="90" t="s">
        <v>1661</v>
      </c>
      <c r="B3" s="90" t="s">
        <v>0</v>
      </c>
      <c r="C3" s="90" t="s">
        <v>4</v>
      </c>
      <c r="D3" s="90" t="s">
        <v>1602</v>
      </c>
      <c r="E3" s="90" t="s">
        <v>1639</v>
      </c>
      <c r="F3" s="90" t="s">
        <v>1635</v>
      </c>
      <c r="G3" s="90" t="s">
        <v>1642</v>
      </c>
      <c r="H3" s="90" t="s">
        <v>1628</v>
      </c>
      <c r="I3" s="90" t="s">
        <v>1629</v>
      </c>
      <c r="J3" s="90" t="s">
        <v>1630</v>
      </c>
      <c r="K3" s="90" t="s">
        <v>1631</v>
      </c>
      <c r="L3" s="90" t="s">
        <v>1640</v>
      </c>
      <c r="M3" s="90" t="s">
        <v>1641</v>
      </c>
      <c r="N3" s="90" t="s">
        <v>1657</v>
      </c>
      <c r="O3" s="90" t="s">
        <v>1658</v>
      </c>
      <c r="P3" s="90" t="s">
        <v>1659</v>
      </c>
      <c r="Q3" s="90" t="s">
        <v>1652</v>
      </c>
      <c r="R3" s="90" t="s">
        <v>1656</v>
      </c>
      <c r="S3" s="91" t="s">
        <v>1653</v>
      </c>
      <c r="T3" s="91" t="s">
        <v>1654</v>
      </c>
      <c r="U3" s="91" t="s">
        <v>1655</v>
      </c>
      <c r="V3" s="90" t="s">
        <v>1632</v>
      </c>
      <c r="W3" s="90" t="s">
        <v>1646</v>
      </c>
      <c r="X3" s="90" t="s">
        <v>1647</v>
      </c>
      <c r="Y3" s="90" t="s">
        <v>1633</v>
      </c>
      <c r="Z3" s="90" t="s">
        <v>1634</v>
      </c>
      <c r="AA3" s="90" t="s">
        <v>1636</v>
      </c>
      <c r="AB3" s="90" t="s">
        <v>1637</v>
      </c>
      <c r="AC3" s="90" t="s">
        <v>1638</v>
      </c>
      <c r="AD3" s="90" t="s">
        <v>1643</v>
      </c>
      <c r="AE3" s="90" t="s">
        <v>1644</v>
      </c>
      <c r="AF3" s="90" t="s">
        <v>1645</v>
      </c>
    </row>
    <row r="4" spans="1:32" ht="15.75" thickBot="1" x14ac:dyDescent="0.3">
      <c r="A4" s="79" t="s">
        <v>14</v>
      </c>
      <c r="B4" s="93" t="s">
        <v>32</v>
      </c>
      <c r="C4" s="79" t="s">
        <v>34</v>
      </c>
      <c r="D4" s="81">
        <v>1285</v>
      </c>
      <c r="E4" s="81">
        <v>1864</v>
      </c>
      <c r="F4" s="81">
        <v>11000</v>
      </c>
      <c r="G4" s="81">
        <v>4990</v>
      </c>
      <c r="H4" s="81">
        <v>1802</v>
      </c>
      <c r="I4" s="81">
        <v>8119</v>
      </c>
      <c r="J4" s="81">
        <v>2521</v>
      </c>
      <c r="K4" s="81">
        <v>12442</v>
      </c>
      <c r="L4" s="81">
        <v>317</v>
      </c>
      <c r="M4" s="81">
        <v>9921</v>
      </c>
      <c r="N4" s="81">
        <v>2838</v>
      </c>
      <c r="O4" s="81">
        <v>12759</v>
      </c>
      <c r="P4" s="94">
        <f>O4/D4</f>
        <v>9.9291828793774322</v>
      </c>
      <c r="Q4" s="94">
        <f>H4/D4</f>
        <v>1.4023346303501945</v>
      </c>
      <c r="R4" s="94">
        <f>I4/D4</f>
        <v>6.3182879377431904</v>
      </c>
      <c r="S4" s="94">
        <f>J4/D4</f>
        <v>1.9618677042801556</v>
      </c>
      <c r="T4" s="94">
        <f>K4/D4</f>
        <v>9.6824902723735402</v>
      </c>
      <c r="U4" s="94">
        <f>K4/E4</f>
        <v>6.6748927038626613</v>
      </c>
      <c r="V4" s="81">
        <v>133</v>
      </c>
      <c r="W4" s="79" t="s">
        <v>1648</v>
      </c>
      <c r="X4" s="79" t="s">
        <v>1650</v>
      </c>
      <c r="Y4" s="81">
        <v>208</v>
      </c>
      <c r="Z4" s="81">
        <v>518</v>
      </c>
      <c r="AA4" s="81">
        <v>1118</v>
      </c>
      <c r="AB4" s="79" t="s">
        <v>1648</v>
      </c>
      <c r="AC4" s="81">
        <v>2038</v>
      </c>
      <c r="AD4" s="79" t="s">
        <v>1649</v>
      </c>
      <c r="AE4" s="79" t="s">
        <v>1649</v>
      </c>
      <c r="AF4" s="95">
        <v>0</v>
      </c>
    </row>
    <row r="5" spans="1:32" ht="15.75" thickBot="1" x14ac:dyDescent="0.3">
      <c r="A5" s="79" t="s">
        <v>19</v>
      </c>
      <c r="B5" s="93" t="s">
        <v>57</v>
      </c>
      <c r="C5" s="79" t="s">
        <v>34</v>
      </c>
      <c r="D5" s="81">
        <v>3248</v>
      </c>
      <c r="E5" s="81">
        <v>630</v>
      </c>
      <c r="F5" s="81">
        <v>16848</v>
      </c>
      <c r="G5" s="81">
        <v>0</v>
      </c>
      <c r="H5" s="81">
        <v>5482</v>
      </c>
      <c r="I5" s="81">
        <v>1035</v>
      </c>
      <c r="J5" s="81">
        <v>225</v>
      </c>
      <c r="K5" s="81">
        <v>6742</v>
      </c>
      <c r="L5" s="81">
        <v>0</v>
      </c>
      <c r="M5" s="81">
        <v>6517</v>
      </c>
      <c r="N5" s="81">
        <v>225</v>
      </c>
      <c r="O5" s="81">
        <v>6742</v>
      </c>
      <c r="P5" s="94">
        <f>O5/D5</f>
        <v>2.0757389162561575</v>
      </c>
      <c r="Q5" s="94">
        <f>H5/D5</f>
        <v>1.687807881773399</v>
      </c>
      <c r="R5" s="94">
        <f>I5/D5</f>
        <v>0.31865763546798032</v>
      </c>
      <c r="S5" s="94">
        <f>J5/D5</f>
        <v>6.9273399014778331E-2</v>
      </c>
      <c r="T5" s="94">
        <f>K5/D5</f>
        <v>2.0757389162561575</v>
      </c>
      <c r="U5" s="94">
        <f>K5/E5</f>
        <v>10.701587301587301</v>
      </c>
      <c r="V5" s="81">
        <v>85</v>
      </c>
      <c r="W5" s="79" t="s">
        <v>1649</v>
      </c>
      <c r="X5" s="79" t="s">
        <v>1651</v>
      </c>
      <c r="Y5" s="81">
        <v>69</v>
      </c>
      <c r="Z5" s="81">
        <v>8</v>
      </c>
      <c r="AA5" s="81">
        <v>2860</v>
      </c>
      <c r="AB5" s="79" t="s">
        <v>1648</v>
      </c>
      <c r="AC5" s="81">
        <v>850</v>
      </c>
      <c r="AD5" s="79" t="s">
        <v>1649</v>
      </c>
      <c r="AE5" s="79" t="s">
        <v>1649</v>
      </c>
      <c r="AF5" s="95">
        <v>0</v>
      </c>
    </row>
    <row r="6" spans="1:32" ht="15.75" thickBot="1" x14ac:dyDescent="0.3">
      <c r="A6" s="79" t="s">
        <v>24</v>
      </c>
      <c r="B6" s="93" t="s">
        <v>79</v>
      </c>
      <c r="C6" s="79" t="s">
        <v>34</v>
      </c>
      <c r="D6" s="81">
        <v>657</v>
      </c>
      <c r="E6" s="81">
        <v>2349</v>
      </c>
      <c r="F6" s="81">
        <v>14504</v>
      </c>
      <c r="G6" s="79" t="s">
        <v>1613</v>
      </c>
      <c r="H6" s="81">
        <v>4145</v>
      </c>
      <c r="I6" s="81">
        <v>4431</v>
      </c>
      <c r="J6" s="81">
        <v>1084</v>
      </c>
      <c r="K6" s="81">
        <v>9660</v>
      </c>
      <c r="L6" s="81">
        <v>0</v>
      </c>
      <c r="M6" s="81">
        <v>8576</v>
      </c>
      <c r="N6" s="81">
        <v>1084</v>
      </c>
      <c r="O6" s="81">
        <v>9660</v>
      </c>
      <c r="P6" s="94">
        <f>O6/D6</f>
        <v>14.703196347031964</v>
      </c>
      <c r="Q6" s="94">
        <f>H6/D6</f>
        <v>6.3089802130898018</v>
      </c>
      <c r="R6" s="94">
        <f>I6/D6</f>
        <v>6.7442922374429219</v>
      </c>
      <c r="S6" s="94">
        <f>J6/D6</f>
        <v>1.6499238964992389</v>
      </c>
      <c r="T6" s="94">
        <f>K6/D6</f>
        <v>14.703196347031964</v>
      </c>
      <c r="U6" s="94">
        <f>K6/E6</f>
        <v>4.1123882503192846</v>
      </c>
      <c r="V6" s="81">
        <v>120</v>
      </c>
      <c r="W6" s="79" t="s">
        <v>1648</v>
      </c>
      <c r="X6" s="79" t="s">
        <v>1650</v>
      </c>
      <c r="Y6" s="81">
        <v>0</v>
      </c>
      <c r="Z6" s="81">
        <v>149</v>
      </c>
      <c r="AA6" s="81">
        <v>2249</v>
      </c>
      <c r="AB6" s="79" t="s">
        <v>1648</v>
      </c>
      <c r="AC6" s="77" t="s">
        <v>1660</v>
      </c>
      <c r="AD6" s="79" t="s">
        <v>1648</v>
      </c>
      <c r="AE6" s="79" t="s">
        <v>1649</v>
      </c>
      <c r="AF6" s="77">
        <v>0</v>
      </c>
    </row>
    <row r="7" spans="1:32" ht="15.75" thickBot="1" x14ac:dyDescent="0.3">
      <c r="A7" s="79" t="s">
        <v>27</v>
      </c>
      <c r="B7" s="93" t="s">
        <v>81</v>
      </c>
      <c r="C7" s="79" t="s">
        <v>34</v>
      </c>
      <c r="D7" s="81">
        <v>3769</v>
      </c>
      <c r="E7" s="81">
        <v>911</v>
      </c>
      <c r="F7" s="81">
        <v>31910</v>
      </c>
      <c r="G7" s="81">
        <v>22485</v>
      </c>
      <c r="H7" s="81">
        <v>8541</v>
      </c>
      <c r="I7" s="81">
        <v>32308</v>
      </c>
      <c r="J7" s="81">
        <v>4105</v>
      </c>
      <c r="K7" s="81">
        <v>44954</v>
      </c>
      <c r="L7" s="81">
        <v>36544</v>
      </c>
      <c r="M7" s="81">
        <v>40849</v>
      </c>
      <c r="N7" s="81">
        <v>40649</v>
      </c>
      <c r="O7" s="81">
        <v>81498</v>
      </c>
      <c r="P7" s="94">
        <f>O7/D7</f>
        <v>21.623242239320774</v>
      </c>
      <c r="Q7" s="94">
        <f>H7/D7</f>
        <v>2.2661183337755371</v>
      </c>
      <c r="R7" s="94">
        <f>I7/D7</f>
        <v>8.5720350225524005</v>
      </c>
      <c r="S7" s="94">
        <f>J7/D7</f>
        <v>1.0891483152029715</v>
      </c>
      <c r="T7" s="94">
        <f>K7/D7</f>
        <v>11.927301671530911</v>
      </c>
      <c r="U7" s="94">
        <f>K7/E7</f>
        <v>49.345773874862786</v>
      </c>
      <c r="V7" s="81">
        <v>300</v>
      </c>
      <c r="W7" s="79" t="s">
        <v>1648</v>
      </c>
      <c r="X7" s="79" t="s">
        <v>1650</v>
      </c>
      <c r="Y7" s="81">
        <v>701</v>
      </c>
      <c r="Z7" s="81">
        <v>1551</v>
      </c>
      <c r="AA7" s="81">
        <v>6529</v>
      </c>
      <c r="AB7" s="79" t="s">
        <v>1648</v>
      </c>
      <c r="AC7" s="81">
        <v>6569</v>
      </c>
      <c r="AD7" s="79" t="s">
        <v>1648</v>
      </c>
      <c r="AE7" s="79" t="s">
        <v>1648</v>
      </c>
      <c r="AF7" s="81">
        <v>72</v>
      </c>
    </row>
    <row r="8" spans="1:32" ht="15.75" thickBot="1" x14ac:dyDescent="0.3">
      <c r="A8" s="79" t="s">
        <v>29</v>
      </c>
      <c r="B8" s="93" t="s">
        <v>85</v>
      </c>
      <c r="C8" s="79" t="s">
        <v>34</v>
      </c>
      <c r="D8" s="81">
        <v>3150</v>
      </c>
      <c r="E8" s="81">
        <v>2253</v>
      </c>
      <c r="F8" s="81">
        <v>2217</v>
      </c>
      <c r="G8" s="79" t="s">
        <v>1613</v>
      </c>
      <c r="H8" s="81">
        <v>1847</v>
      </c>
      <c r="I8" s="81">
        <v>8810</v>
      </c>
      <c r="J8" s="81">
        <v>600</v>
      </c>
      <c r="K8" s="81">
        <v>11257</v>
      </c>
      <c r="L8" s="77" t="s">
        <v>1660</v>
      </c>
      <c r="M8" s="81">
        <v>10657</v>
      </c>
      <c r="N8" s="81">
        <v>600</v>
      </c>
      <c r="O8" s="81">
        <v>11257</v>
      </c>
      <c r="P8" s="94">
        <f>O8/D8</f>
        <v>3.5736507936507937</v>
      </c>
      <c r="Q8" s="94">
        <f>H8/D8</f>
        <v>0.5863492063492064</v>
      </c>
      <c r="R8" s="94">
        <f>I8/D8</f>
        <v>2.7968253968253967</v>
      </c>
      <c r="S8" s="94">
        <f>J8/D8</f>
        <v>0.19047619047619047</v>
      </c>
      <c r="T8" s="94">
        <f>K8/D8</f>
        <v>3.5736507936507937</v>
      </c>
      <c r="U8" s="94">
        <f>K8/E8</f>
        <v>4.9964491788726146</v>
      </c>
      <c r="V8" s="81">
        <v>527</v>
      </c>
      <c r="W8" s="79" t="s">
        <v>1649</v>
      </c>
      <c r="X8" s="79" t="s">
        <v>1651</v>
      </c>
      <c r="Y8" s="81">
        <v>610</v>
      </c>
      <c r="Z8" s="81">
        <v>800</v>
      </c>
      <c r="AA8" s="81">
        <v>427</v>
      </c>
      <c r="AB8" s="79" t="s">
        <v>1648</v>
      </c>
      <c r="AC8" s="81">
        <v>204</v>
      </c>
      <c r="AD8" s="79" t="s">
        <v>1649</v>
      </c>
      <c r="AE8" s="79" t="s">
        <v>1648</v>
      </c>
      <c r="AF8" s="81">
        <v>3</v>
      </c>
    </row>
    <row r="9" spans="1:32" ht="15.75" thickBot="1" x14ac:dyDescent="0.3">
      <c r="A9" s="79" t="s">
        <v>31</v>
      </c>
      <c r="B9" s="93" t="s">
        <v>89</v>
      </c>
      <c r="C9" s="79" t="s">
        <v>34</v>
      </c>
      <c r="D9" s="81">
        <v>3811</v>
      </c>
      <c r="E9" s="81">
        <v>3208</v>
      </c>
      <c r="F9" s="81">
        <v>39283</v>
      </c>
      <c r="G9" s="81">
        <v>14789</v>
      </c>
      <c r="H9" s="81">
        <v>9384</v>
      </c>
      <c r="I9" s="81">
        <v>26118</v>
      </c>
      <c r="J9" s="81">
        <v>10992</v>
      </c>
      <c r="K9" s="81">
        <v>46494</v>
      </c>
      <c r="L9" s="81">
        <v>1489</v>
      </c>
      <c r="M9" s="81">
        <v>35502</v>
      </c>
      <c r="N9" s="81">
        <v>12481</v>
      </c>
      <c r="O9" s="81">
        <v>47983</v>
      </c>
      <c r="P9" s="94">
        <f>O9/D9</f>
        <v>12.590658619784833</v>
      </c>
      <c r="Q9" s="94">
        <f>H9/D9</f>
        <v>2.4623458409866177</v>
      </c>
      <c r="R9" s="94">
        <f>I9/D9</f>
        <v>6.8533193387562319</v>
      </c>
      <c r="S9" s="94">
        <f>J9/D9</f>
        <v>2.8842823405930202</v>
      </c>
      <c r="T9" s="94">
        <f>K9/D9</f>
        <v>12.19994752033587</v>
      </c>
      <c r="U9" s="94">
        <f>K9/E9</f>
        <v>14.493142144638403</v>
      </c>
      <c r="V9" s="81">
        <v>4725</v>
      </c>
      <c r="W9" s="79" t="s">
        <v>1648</v>
      </c>
      <c r="X9" s="79" t="s">
        <v>1650</v>
      </c>
      <c r="Y9" s="81">
        <v>934</v>
      </c>
      <c r="Z9" s="81">
        <v>1574</v>
      </c>
      <c r="AA9" s="81">
        <v>4061</v>
      </c>
      <c r="AB9" s="79" t="s">
        <v>1648</v>
      </c>
      <c r="AC9" s="81">
        <v>7335</v>
      </c>
      <c r="AD9" s="79" t="s">
        <v>1648</v>
      </c>
      <c r="AE9" s="79" t="s">
        <v>1648</v>
      </c>
      <c r="AF9" s="81">
        <v>9</v>
      </c>
    </row>
    <row r="10" spans="1:32" ht="15.75" thickBot="1" x14ac:dyDescent="0.3">
      <c r="A10" s="79" t="s">
        <v>33</v>
      </c>
      <c r="B10" s="93" t="s">
        <v>91</v>
      </c>
      <c r="C10" s="79" t="s">
        <v>34</v>
      </c>
      <c r="D10" s="81">
        <v>3623</v>
      </c>
      <c r="E10" s="81">
        <v>1312</v>
      </c>
      <c r="F10" s="81">
        <v>22198</v>
      </c>
      <c r="G10" s="81">
        <v>17028</v>
      </c>
      <c r="H10" s="81">
        <v>5487</v>
      </c>
      <c r="I10" s="81">
        <v>14704</v>
      </c>
      <c r="J10" s="81">
        <v>4608</v>
      </c>
      <c r="K10" s="81">
        <v>24799</v>
      </c>
      <c r="L10" s="81">
        <v>0</v>
      </c>
      <c r="M10" s="81">
        <v>20191</v>
      </c>
      <c r="N10" s="81">
        <v>4608</v>
      </c>
      <c r="O10" s="81">
        <v>24799</v>
      </c>
      <c r="P10" s="94">
        <f>O10/D10</f>
        <v>6.8448799337565553</v>
      </c>
      <c r="Q10" s="94">
        <f>H10/D10</f>
        <v>1.5144907535191829</v>
      </c>
      <c r="R10" s="94">
        <f>I10/D10</f>
        <v>4.0585150427822247</v>
      </c>
      <c r="S10" s="94">
        <f>J10/D10</f>
        <v>1.2718741374551477</v>
      </c>
      <c r="T10" s="94">
        <f>K10/D10</f>
        <v>6.8448799337565553</v>
      </c>
      <c r="U10" s="94">
        <f>K10/E10</f>
        <v>18.901676829268293</v>
      </c>
      <c r="V10" s="81">
        <v>1895</v>
      </c>
      <c r="W10" s="79" t="s">
        <v>1648</v>
      </c>
      <c r="X10" s="79" t="s">
        <v>1651</v>
      </c>
      <c r="Y10" s="81">
        <v>1262</v>
      </c>
      <c r="Z10" s="81">
        <v>1642</v>
      </c>
      <c r="AA10" s="81">
        <v>2025</v>
      </c>
      <c r="AB10" s="79" t="s">
        <v>1648</v>
      </c>
      <c r="AC10" s="81">
        <v>9800</v>
      </c>
      <c r="AD10" s="79" t="s">
        <v>1648</v>
      </c>
      <c r="AE10" s="79" t="s">
        <v>1649</v>
      </c>
      <c r="AF10" s="95">
        <v>0</v>
      </c>
    </row>
    <row r="11" spans="1:32" ht="15.75" thickBot="1" x14ac:dyDescent="0.3">
      <c r="A11" s="79" t="s">
        <v>36</v>
      </c>
      <c r="B11" s="93" t="s">
        <v>99</v>
      </c>
      <c r="C11" s="79" t="s">
        <v>34</v>
      </c>
      <c r="D11" s="81">
        <v>2937</v>
      </c>
      <c r="E11" s="81">
        <v>663</v>
      </c>
      <c r="F11" s="81">
        <v>3841</v>
      </c>
      <c r="G11" s="81">
        <v>6947</v>
      </c>
      <c r="H11" s="81">
        <v>759</v>
      </c>
      <c r="I11" s="81">
        <v>2516</v>
      </c>
      <c r="J11" s="81">
        <v>753</v>
      </c>
      <c r="K11" s="81">
        <v>4028</v>
      </c>
      <c r="L11" s="81">
        <v>0</v>
      </c>
      <c r="M11" s="81">
        <v>3275</v>
      </c>
      <c r="N11" s="81">
        <v>753</v>
      </c>
      <c r="O11" s="81">
        <v>4028</v>
      </c>
      <c r="P11" s="94">
        <f>O11/D11</f>
        <v>1.3714674838270344</v>
      </c>
      <c r="Q11" s="94">
        <f>H11/D11</f>
        <v>0.25842696629213485</v>
      </c>
      <c r="R11" s="94">
        <f>I11/D11</f>
        <v>0.85665645216207009</v>
      </c>
      <c r="S11" s="94">
        <f>J11/D11</f>
        <v>0.25638406537282943</v>
      </c>
      <c r="T11" s="94">
        <f>K11/D11</f>
        <v>1.3714674838270344</v>
      </c>
      <c r="U11" s="94">
        <f>K11/E11</f>
        <v>6.075414781297134</v>
      </c>
      <c r="V11" s="81">
        <v>684</v>
      </c>
      <c r="W11" s="79" t="s">
        <v>1648</v>
      </c>
      <c r="X11" s="79" t="s">
        <v>1650</v>
      </c>
      <c r="Y11" s="81">
        <v>135</v>
      </c>
      <c r="Z11" s="81">
        <v>529</v>
      </c>
      <c r="AA11" s="81">
        <v>403</v>
      </c>
      <c r="AB11" s="79" t="s">
        <v>1648</v>
      </c>
      <c r="AC11" s="81">
        <v>262</v>
      </c>
      <c r="AD11" s="79" t="s">
        <v>1648</v>
      </c>
      <c r="AE11" s="79" t="s">
        <v>1649</v>
      </c>
      <c r="AF11" s="95">
        <v>0</v>
      </c>
    </row>
    <row r="12" spans="1:32" ht="15.75" thickBot="1" x14ac:dyDescent="0.3">
      <c r="A12" s="79" t="s">
        <v>38</v>
      </c>
      <c r="B12" s="93" t="s">
        <v>131</v>
      </c>
      <c r="C12" s="96" t="s">
        <v>34</v>
      </c>
      <c r="D12" s="97">
        <v>2611</v>
      </c>
      <c r="E12" s="97">
        <v>1654</v>
      </c>
      <c r="F12" s="97">
        <v>1452</v>
      </c>
      <c r="G12" s="97">
        <v>4056</v>
      </c>
      <c r="H12" s="97">
        <v>1014</v>
      </c>
      <c r="I12" s="97">
        <v>1725</v>
      </c>
      <c r="J12" s="97">
        <v>0</v>
      </c>
      <c r="K12" s="97">
        <v>2739</v>
      </c>
      <c r="L12" s="97">
        <v>0</v>
      </c>
      <c r="M12" s="97">
        <v>2739</v>
      </c>
      <c r="N12" s="97">
        <v>0</v>
      </c>
      <c r="O12" s="97">
        <v>2739</v>
      </c>
      <c r="P12" s="98">
        <f>O12/D12</f>
        <v>1.049023362696285</v>
      </c>
      <c r="Q12" s="98">
        <f>H12/D12</f>
        <v>0.38835695135963233</v>
      </c>
      <c r="R12" s="98">
        <f>I12/D12</f>
        <v>0.6606664113366526</v>
      </c>
      <c r="S12" s="98">
        <f>J12/D12</f>
        <v>0</v>
      </c>
      <c r="T12" s="98">
        <f>K12/D12</f>
        <v>1.049023362696285</v>
      </c>
      <c r="U12" s="98">
        <f>K12/E12</f>
        <v>1.6559854897218864</v>
      </c>
      <c r="V12" s="97">
        <v>45</v>
      </c>
      <c r="W12" s="96" t="s">
        <v>1648</v>
      </c>
      <c r="X12" s="96" t="s">
        <v>1650</v>
      </c>
      <c r="Y12" s="97">
        <v>201</v>
      </c>
      <c r="Z12" s="97">
        <v>134</v>
      </c>
      <c r="AA12" s="97">
        <v>117</v>
      </c>
      <c r="AB12" s="96" t="s">
        <v>1648</v>
      </c>
      <c r="AC12" s="97">
        <v>180</v>
      </c>
      <c r="AD12" s="96" t="s">
        <v>1649</v>
      </c>
      <c r="AE12" s="96" t="s">
        <v>1649</v>
      </c>
      <c r="AF12" s="99">
        <v>0</v>
      </c>
    </row>
    <row r="13" spans="1:32" ht="15.75" thickBot="1" x14ac:dyDescent="0.3">
      <c r="A13" s="79" t="s">
        <v>41</v>
      </c>
      <c r="B13" s="93" t="s">
        <v>145</v>
      </c>
      <c r="C13" s="79" t="s">
        <v>34</v>
      </c>
      <c r="D13" s="81">
        <v>722</v>
      </c>
      <c r="E13" s="81">
        <v>249</v>
      </c>
      <c r="F13" s="81">
        <v>1638</v>
      </c>
      <c r="G13" s="81">
        <v>545</v>
      </c>
      <c r="H13" s="81">
        <v>51</v>
      </c>
      <c r="I13" s="81">
        <v>1120</v>
      </c>
      <c r="J13" s="81">
        <v>192</v>
      </c>
      <c r="K13" s="81">
        <v>1363</v>
      </c>
      <c r="L13" s="81">
        <v>0</v>
      </c>
      <c r="M13" s="81">
        <v>1171</v>
      </c>
      <c r="N13" s="81">
        <v>192</v>
      </c>
      <c r="O13" s="81">
        <v>1363</v>
      </c>
      <c r="P13" s="94">
        <f>O13/D13</f>
        <v>1.8878116343490305</v>
      </c>
      <c r="Q13" s="94">
        <f>H13/D13</f>
        <v>7.0637119113573413E-2</v>
      </c>
      <c r="R13" s="94">
        <f>I13/D13</f>
        <v>1.5512465373961219</v>
      </c>
      <c r="S13" s="94">
        <f>J13/D13</f>
        <v>0.26592797783933519</v>
      </c>
      <c r="T13" s="94">
        <f>K13/D13</f>
        <v>1.8878116343490305</v>
      </c>
      <c r="U13" s="94">
        <f>K13/E13</f>
        <v>5.4738955823293169</v>
      </c>
      <c r="V13" s="81">
        <v>78</v>
      </c>
      <c r="W13" s="79" t="s">
        <v>1648</v>
      </c>
      <c r="X13" s="79" t="s">
        <v>1651</v>
      </c>
      <c r="Y13" s="81">
        <v>0</v>
      </c>
      <c r="Z13" s="81">
        <v>30</v>
      </c>
      <c r="AA13" s="81">
        <v>661</v>
      </c>
      <c r="AB13" s="79" t="s">
        <v>1648</v>
      </c>
      <c r="AC13" s="81">
        <v>266</v>
      </c>
      <c r="AD13" s="79" t="s">
        <v>1648</v>
      </c>
      <c r="AE13" s="79" t="s">
        <v>1649</v>
      </c>
      <c r="AF13" s="95">
        <v>0</v>
      </c>
    </row>
    <row r="14" spans="1:32" ht="15.75" thickBot="1" x14ac:dyDescent="0.3">
      <c r="A14" s="79" t="s">
        <v>43</v>
      </c>
      <c r="B14" s="93" t="s">
        <v>155</v>
      </c>
      <c r="C14" s="79" t="s">
        <v>34</v>
      </c>
      <c r="D14" s="81">
        <v>3995</v>
      </c>
      <c r="E14" s="81">
        <v>3398</v>
      </c>
      <c r="F14" s="81">
        <v>16748</v>
      </c>
      <c r="G14" s="81">
        <v>11862</v>
      </c>
      <c r="H14" s="81">
        <v>4307</v>
      </c>
      <c r="I14" s="81">
        <v>9949</v>
      </c>
      <c r="J14" s="81">
        <v>4114</v>
      </c>
      <c r="K14" s="81">
        <v>18370</v>
      </c>
      <c r="L14" s="81">
        <v>0</v>
      </c>
      <c r="M14" s="81">
        <v>14256</v>
      </c>
      <c r="N14" s="81">
        <v>4114</v>
      </c>
      <c r="O14" s="81">
        <v>18370</v>
      </c>
      <c r="P14" s="94">
        <f>O14/D14</f>
        <v>4.5982478097622028</v>
      </c>
      <c r="Q14" s="94">
        <f>H14/D14</f>
        <v>1.0780976220275345</v>
      </c>
      <c r="R14" s="94">
        <f>I14/D14</f>
        <v>2.4903629536921152</v>
      </c>
      <c r="S14" s="94">
        <f>J14/D14</f>
        <v>1.0297872340425531</v>
      </c>
      <c r="T14" s="94">
        <f>K14/D14</f>
        <v>4.5982478097622028</v>
      </c>
      <c r="U14" s="94">
        <f>K14/E14</f>
        <v>5.4061212477928189</v>
      </c>
      <c r="V14" s="81">
        <v>1527</v>
      </c>
      <c r="W14" s="79" t="s">
        <v>1649</v>
      </c>
      <c r="X14" s="79" t="s">
        <v>1650</v>
      </c>
      <c r="Y14" s="81">
        <v>1603</v>
      </c>
      <c r="Z14" s="81">
        <v>3507</v>
      </c>
      <c r="AA14" s="81">
        <v>5236</v>
      </c>
      <c r="AB14" s="79" t="s">
        <v>1648</v>
      </c>
      <c r="AC14" s="81">
        <v>7428</v>
      </c>
      <c r="AD14" s="79" t="s">
        <v>1649</v>
      </c>
      <c r="AE14" s="79" t="s">
        <v>1649</v>
      </c>
      <c r="AF14" s="95">
        <v>0</v>
      </c>
    </row>
    <row r="15" spans="1:32" ht="15.75" thickBot="1" x14ac:dyDescent="0.3">
      <c r="A15" s="79" t="s">
        <v>45</v>
      </c>
      <c r="B15" s="93" t="s">
        <v>163</v>
      </c>
      <c r="C15" s="96" t="s">
        <v>34</v>
      </c>
      <c r="D15" s="97">
        <v>1854</v>
      </c>
      <c r="E15" s="97">
        <v>1637</v>
      </c>
      <c r="F15" s="97">
        <v>2838</v>
      </c>
      <c r="G15" s="97">
        <v>737</v>
      </c>
      <c r="H15" s="97">
        <v>4160</v>
      </c>
      <c r="I15" s="97">
        <v>2704</v>
      </c>
      <c r="J15" s="97">
        <v>0</v>
      </c>
      <c r="K15" s="97">
        <v>6864</v>
      </c>
      <c r="L15" s="97">
        <v>0</v>
      </c>
      <c r="M15" s="97">
        <v>6864</v>
      </c>
      <c r="N15" s="97">
        <v>0</v>
      </c>
      <c r="O15" s="97">
        <v>6864</v>
      </c>
      <c r="P15" s="98">
        <f>O15/D15</f>
        <v>3.7022653721682848</v>
      </c>
      <c r="Q15" s="98">
        <f>H15/D15</f>
        <v>2.2437971952535061</v>
      </c>
      <c r="R15" s="98">
        <f>I15/D15</f>
        <v>1.4584681769147789</v>
      </c>
      <c r="S15" s="98">
        <f>J15/D15</f>
        <v>0</v>
      </c>
      <c r="T15" s="98">
        <f>K15/D15</f>
        <v>3.7022653721682848</v>
      </c>
      <c r="U15" s="98">
        <f>K15/E15</f>
        <v>4.1930360415394015</v>
      </c>
      <c r="V15" s="97">
        <v>518</v>
      </c>
      <c r="W15" s="96" t="s">
        <v>1648</v>
      </c>
      <c r="X15" s="96" t="s">
        <v>1650</v>
      </c>
      <c r="Y15" s="97">
        <v>0</v>
      </c>
      <c r="Z15" s="97">
        <v>0</v>
      </c>
      <c r="AA15" s="97">
        <v>259</v>
      </c>
      <c r="AB15" s="96" t="s">
        <v>1648</v>
      </c>
      <c r="AC15" s="97">
        <v>456</v>
      </c>
      <c r="AD15" s="96" t="s">
        <v>1648</v>
      </c>
      <c r="AE15" s="96" t="s">
        <v>1649</v>
      </c>
      <c r="AF15" s="100">
        <v>0</v>
      </c>
    </row>
    <row r="16" spans="1:32" ht="15.75" thickBot="1" x14ac:dyDescent="0.3">
      <c r="A16" s="79" t="s">
        <v>49</v>
      </c>
      <c r="B16" s="93" t="s">
        <v>175</v>
      </c>
      <c r="C16" s="79" t="s">
        <v>34</v>
      </c>
      <c r="D16" s="81">
        <v>3604</v>
      </c>
      <c r="E16" s="81">
        <v>865</v>
      </c>
      <c r="F16" s="81">
        <v>21665</v>
      </c>
      <c r="G16" s="81">
        <v>5500</v>
      </c>
      <c r="H16" s="81">
        <v>11215</v>
      </c>
      <c r="I16" s="81">
        <v>15488</v>
      </c>
      <c r="J16" s="81">
        <v>2824</v>
      </c>
      <c r="K16" s="81">
        <v>29527</v>
      </c>
      <c r="L16" s="81">
        <v>250</v>
      </c>
      <c r="M16" s="81">
        <v>26703</v>
      </c>
      <c r="N16" s="81">
        <v>3074</v>
      </c>
      <c r="O16" s="81">
        <v>29777</v>
      </c>
      <c r="P16" s="94">
        <f>O16/D16</f>
        <v>8.262208657047724</v>
      </c>
      <c r="Q16" s="94">
        <f>H16/D16</f>
        <v>3.1118201997780246</v>
      </c>
      <c r="R16" s="94">
        <f>I16/D16</f>
        <v>4.297447280799112</v>
      </c>
      <c r="S16" s="94">
        <f>J16/D16</f>
        <v>0.78357380688124312</v>
      </c>
      <c r="T16" s="94">
        <f>K16/D16</f>
        <v>8.1928412874583803</v>
      </c>
      <c r="U16" s="94">
        <f>K16/E16</f>
        <v>34.13526011560694</v>
      </c>
      <c r="V16" s="81">
        <v>2500</v>
      </c>
      <c r="W16" s="79" t="s">
        <v>1648</v>
      </c>
      <c r="X16" s="79" t="s">
        <v>1650</v>
      </c>
      <c r="Y16" s="81">
        <v>1042</v>
      </c>
      <c r="Z16" s="81">
        <v>2293</v>
      </c>
      <c r="AA16" s="81">
        <v>1676</v>
      </c>
      <c r="AB16" s="79" t="s">
        <v>1648</v>
      </c>
      <c r="AC16" s="81">
        <v>500</v>
      </c>
      <c r="AD16" s="79" t="s">
        <v>1648</v>
      </c>
      <c r="AE16" s="79" t="s">
        <v>1648</v>
      </c>
      <c r="AF16" s="77" t="s">
        <v>1660</v>
      </c>
    </row>
    <row r="17" spans="1:32" ht="15.75" thickBot="1" x14ac:dyDescent="0.3">
      <c r="A17" s="79" t="s">
        <v>51</v>
      </c>
      <c r="B17" s="93" t="s">
        <v>183</v>
      </c>
      <c r="C17" s="79" t="s">
        <v>34</v>
      </c>
      <c r="D17" s="81">
        <v>3803</v>
      </c>
      <c r="E17" s="81">
        <v>4803</v>
      </c>
      <c r="F17" s="81">
        <v>23000</v>
      </c>
      <c r="G17" s="81">
        <v>6536</v>
      </c>
      <c r="H17" s="81">
        <v>6018</v>
      </c>
      <c r="I17" s="81">
        <v>10074</v>
      </c>
      <c r="J17" s="81">
        <v>2787</v>
      </c>
      <c r="K17" s="81">
        <v>18879</v>
      </c>
      <c r="L17" s="81">
        <v>3468</v>
      </c>
      <c r="M17" s="81">
        <v>16092</v>
      </c>
      <c r="N17" s="81">
        <v>6255</v>
      </c>
      <c r="O17" s="81">
        <v>22347</v>
      </c>
      <c r="P17" s="94">
        <f>O17/D17</f>
        <v>5.8761504075729691</v>
      </c>
      <c r="Q17" s="94">
        <f>H17/D17</f>
        <v>1.5824349198001577</v>
      </c>
      <c r="R17" s="94">
        <f>I17/D17</f>
        <v>2.6489613463055481</v>
      </c>
      <c r="S17" s="94">
        <f>J17/D17</f>
        <v>0.7328424927688667</v>
      </c>
      <c r="T17" s="94">
        <f>K17/D17</f>
        <v>4.9642387588745729</v>
      </c>
      <c r="U17" s="94">
        <f>K17/E17</f>
        <v>3.9306683322923175</v>
      </c>
      <c r="V17" s="81">
        <v>2000</v>
      </c>
      <c r="W17" s="79" t="s">
        <v>1648</v>
      </c>
      <c r="X17" s="79" t="s">
        <v>1650</v>
      </c>
      <c r="Y17" s="81">
        <v>1471</v>
      </c>
      <c r="Z17" s="81">
        <v>2622</v>
      </c>
      <c r="AA17" s="81">
        <v>3620</v>
      </c>
      <c r="AB17" s="79" t="s">
        <v>1648</v>
      </c>
      <c r="AC17" s="81">
        <v>31000</v>
      </c>
      <c r="AD17" s="79" t="s">
        <v>1649</v>
      </c>
      <c r="AE17" s="79" t="s">
        <v>1649</v>
      </c>
      <c r="AF17" s="95">
        <v>0</v>
      </c>
    </row>
    <row r="18" spans="1:32" ht="15.75" thickBot="1" x14ac:dyDescent="0.3">
      <c r="A18" s="79" t="s">
        <v>53</v>
      </c>
      <c r="B18" s="93" t="s">
        <v>185</v>
      </c>
      <c r="C18" s="79" t="s">
        <v>34</v>
      </c>
      <c r="D18" s="81">
        <v>2373</v>
      </c>
      <c r="E18" s="81">
        <v>1104</v>
      </c>
      <c r="F18" s="81">
        <v>5827</v>
      </c>
      <c r="G18" s="81">
        <v>10828</v>
      </c>
      <c r="H18" s="81">
        <v>5239</v>
      </c>
      <c r="I18" s="81">
        <v>8477</v>
      </c>
      <c r="J18" s="81">
        <v>965</v>
      </c>
      <c r="K18" s="81">
        <v>14681</v>
      </c>
      <c r="L18" s="81">
        <v>239</v>
      </c>
      <c r="M18" s="81">
        <v>13716</v>
      </c>
      <c r="N18" s="81">
        <v>1204</v>
      </c>
      <c r="O18" s="81">
        <v>14920</v>
      </c>
      <c r="P18" s="94">
        <f>O18/D18</f>
        <v>6.2873999157184999</v>
      </c>
      <c r="Q18" s="94">
        <f>H18/D18</f>
        <v>2.2077538980193849</v>
      </c>
      <c r="R18" s="94">
        <f>I18/D18</f>
        <v>3.5722713864306783</v>
      </c>
      <c r="S18" s="94">
        <f>J18/D18</f>
        <v>0.40665823851664562</v>
      </c>
      <c r="T18" s="94">
        <f>K18/D18</f>
        <v>6.1866835229667085</v>
      </c>
      <c r="U18" s="94">
        <f>K18/E18</f>
        <v>13.298007246376812</v>
      </c>
      <c r="V18" s="81">
        <v>200</v>
      </c>
      <c r="W18" s="79" t="s">
        <v>1648</v>
      </c>
      <c r="X18" s="79" t="s">
        <v>1651</v>
      </c>
      <c r="Y18" s="81">
        <v>777</v>
      </c>
      <c r="Z18" s="81">
        <v>1083</v>
      </c>
      <c r="AA18" s="81">
        <v>565</v>
      </c>
      <c r="AB18" s="79" t="s">
        <v>1648</v>
      </c>
      <c r="AC18" s="81">
        <v>8</v>
      </c>
      <c r="AD18" s="79" t="s">
        <v>1648</v>
      </c>
      <c r="AE18" s="79" t="s">
        <v>1648</v>
      </c>
      <c r="AF18" s="81">
        <v>99</v>
      </c>
    </row>
    <row r="19" spans="1:32" ht="15.75" thickBot="1" x14ac:dyDescent="0.3">
      <c r="A19" s="79" t="s">
        <v>56</v>
      </c>
      <c r="B19" s="93" t="s">
        <v>201</v>
      </c>
      <c r="C19" s="79" t="s">
        <v>34</v>
      </c>
      <c r="D19" s="81">
        <v>3953</v>
      </c>
      <c r="E19" s="81">
        <v>1808</v>
      </c>
      <c r="F19" s="81">
        <v>4029</v>
      </c>
      <c r="G19" s="81">
        <v>5512</v>
      </c>
      <c r="H19" s="81">
        <v>1409</v>
      </c>
      <c r="I19" s="81">
        <v>2414</v>
      </c>
      <c r="J19" s="81">
        <v>2797</v>
      </c>
      <c r="K19" s="81">
        <v>6620</v>
      </c>
      <c r="L19" s="81">
        <v>0</v>
      </c>
      <c r="M19" s="81">
        <v>3823</v>
      </c>
      <c r="N19" s="81">
        <v>2797</v>
      </c>
      <c r="O19" s="81">
        <v>6620</v>
      </c>
      <c r="P19" s="94">
        <f>O19/D19</f>
        <v>1.6746774601568428</v>
      </c>
      <c r="Q19" s="94">
        <f>H19/D19</f>
        <v>0.35643814824184161</v>
      </c>
      <c r="R19" s="94">
        <f>I19/D19</f>
        <v>0.61067543637743482</v>
      </c>
      <c r="S19" s="94">
        <f>J19/D19</f>
        <v>0.70756387553756639</v>
      </c>
      <c r="T19" s="94">
        <f>K19/D19</f>
        <v>1.6746774601568428</v>
      </c>
      <c r="U19" s="94">
        <f>K19/E19</f>
        <v>3.6615044247787609</v>
      </c>
      <c r="V19" s="81">
        <v>1248</v>
      </c>
      <c r="W19" s="79" t="s">
        <v>1649</v>
      </c>
      <c r="X19" s="79" t="s">
        <v>1650</v>
      </c>
      <c r="Y19" s="81">
        <v>3630</v>
      </c>
      <c r="Z19" s="81">
        <v>1620</v>
      </c>
      <c r="AA19" s="81">
        <v>764</v>
      </c>
      <c r="AB19" s="79" t="s">
        <v>1648</v>
      </c>
      <c r="AC19" s="77" t="s">
        <v>1660</v>
      </c>
      <c r="AD19" s="79" t="s">
        <v>1648</v>
      </c>
      <c r="AE19" s="79" t="s">
        <v>1649</v>
      </c>
      <c r="AF19" s="95">
        <v>0</v>
      </c>
    </row>
    <row r="20" spans="1:32" ht="15.75" thickBot="1" x14ac:dyDescent="0.3">
      <c r="A20" s="79" t="s">
        <v>58</v>
      </c>
      <c r="B20" s="93" t="s">
        <v>203</v>
      </c>
      <c r="C20" s="79" t="s">
        <v>34</v>
      </c>
      <c r="D20" s="81">
        <v>3228</v>
      </c>
      <c r="E20" s="81">
        <v>632</v>
      </c>
      <c r="F20" s="81">
        <v>5861</v>
      </c>
      <c r="G20" s="81">
        <v>4852</v>
      </c>
      <c r="H20" s="81">
        <v>3804</v>
      </c>
      <c r="I20" s="81">
        <v>13798</v>
      </c>
      <c r="J20" s="81">
        <v>1037</v>
      </c>
      <c r="K20" s="81">
        <v>18639</v>
      </c>
      <c r="L20" s="81">
        <v>0</v>
      </c>
      <c r="M20" s="81">
        <v>17602</v>
      </c>
      <c r="N20" s="81">
        <v>1037</v>
      </c>
      <c r="O20" s="81">
        <v>18639</v>
      </c>
      <c r="P20" s="94">
        <f>O20/D20</f>
        <v>5.7741635687732344</v>
      </c>
      <c r="Q20" s="94">
        <f>H20/D20</f>
        <v>1.1784386617100371</v>
      </c>
      <c r="R20" s="94">
        <f>I20/D20</f>
        <v>4.2744733581164809</v>
      </c>
      <c r="S20" s="94">
        <f>J20/D20</f>
        <v>0.32125154894671626</v>
      </c>
      <c r="T20" s="94">
        <f>K20/D20</f>
        <v>5.7741635687732344</v>
      </c>
      <c r="U20" s="94">
        <f>K20/E20</f>
        <v>29.492088607594937</v>
      </c>
      <c r="V20" s="81">
        <v>963</v>
      </c>
      <c r="W20" s="79" t="s">
        <v>1648</v>
      </c>
      <c r="X20" s="79" t="s">
        <v>1651</v>
      </c>
      <c r="Y20" s="81">
        <v>1308</v>
      </c>
      <c r="Z20" s="81">
        <v>1786</v>
      </c>
      <c r="AA20" s="81">
        <v>2136</v>
      </c>
      <c r="AB20" s="79" t="s">
        <v>1648</v>
      </c>
      <c r="AC20" s="81">
        <v>458</v>
      </c>
      <c r="AD20" s="79" t="s">
        <v>1648</v>
      </c>
      <c r="AE20" s="79" t="s">
        <v>1648</v>
      </c>
      <c r="AF20" s="81">
        <v>4</v>
      </c>
    </row>
    <row r="21" spans="1:32" ht="15.75" thickBot="1" x14ac:dyDescent="0.3">
      <c r="A21" s="79" t="s">
        <v>60</v>
      </c>
      <c r="B21" s="93" t="s">
        <v>205</v>
      </c>
      <c r="C21" s="79" t="s">
        <v>34</v>
      </c>
      <c r="D21" s="81">
        <v>3453</v>
      </c>
      <c r="E21" s="81">
        <v>1908</v>
      </c>
      <c r="F21" s="81">
        <v>17461</v>
      </c>
      <c r="G21" s="81">
        <v>4119</v>
      </c>
      <c r="H21" s="81">
        <v>2651</v>
      </c>
      <c r="I21" s="81">
        <v>13963</v>
      </c>
      <c r="J21" s="81">
        <v>1706</v>
      </c>
      <c r="K21" s="81">
        <v>18320</v>
      </c>
      <c r="L21" s="81">
        <v>1</v>
      </c>
      <c r="M21" s="81">
        <v>16614</v>
      </c>
      <c r="N21" s="81">
        <v>1707</v>
      </c>
      <c r="O21" s="81">
        <v>18321</v>
      </c>
      <c r="P21" s="94">
        <f>O21/D21</f>
        <v>5.305821025195482</v>
      </c>
      <c r="Q21" s="94">
        <f>H21/D21</f>
        <v>0.76773819866782511</v>
      </c>
      <c r="R21" s="94">
        <f>I21/D21</f>
        <v>4.0437300897770054</v>
      </c>
      <c r="S21" s="94">
        <f>J21/D21</f>
        <v>0.4940631335070953</v>
      </c>
      <c r="T21" s="94">
        <f>K21/D21</f>
        <v>5.3055314219519261</v>
      </c>
      <c r="U21" s="94">
        <f>K21/E21</f>
        <v>9.6016771488469601</v>
      </c>
      <c r="V21" s="81">
        <v>930</v>
      </c>
      <c r="W21" s="79" t="s">
        <v>1648</v>
      </c>
      <c r="X21" s="79" t="s">
        <v>1651</v>
      </c>
      <c r="Y21" s="81">
        <v>4</v>
      </c>
      <c r="Z21" s="81">
        <v>42</v>
      </c>
      <c r="AA21" s="81">
        <v>1958</v>
      </c>
      <c r="AB21" s="79" t="s">
        <v>1648</v>
      </c>
      <c r="AC21" s="81">
        <v>3964</v>
      </c>
      <c r="AD21" s="79" t="s">
        <v>1648</v>
      </c>
      <c r="AE21" s="79" t="s">
        <v>1648</v>
      </c>
      <c r="AF21" s="81">
        <v>0</v>
      </c>
    </row>
    <row r="22" spans="1:32" ht="15.75" thickBot="1" x14ac:dyDescent="0.3">
      <c r="A22" s="79" t="s">
        <v>64</v>
      </c>
      <c r="B22" s="93" t="s">
        <v>207</v>
      </c>
      <c r="C22" s="79" t="s">
        <v>34</v>
      </c>
      <c r="D22" s="81">
        <v>1236</v>
      </c>
      <c r="E22" s="81">
        <v>793</v>
      </c>
      <c r="F22" s="81">
        <v>1237</v>
      </c>
      <c r="G22" s="81">
        <v>4091</v>
      </c>
      <c r="H22" s="81">
        <v>181</v>
      </c>
      <c r="I22" s="81">
        <v>3579</v>
      </c>
      <c r="J22" s="81">
        <v>593</v>
      </c>
      <c r="K22" s="81">
        <v>4353</v>
      </c>
      <c r="L22" s="81">
        <v>0</v>
      </c>
      <c r="M22" s="81">
        <v>3760</v>
      </c>
      <c r="N22" s="81">
        <v>593</v>
      </c>
      <c r="O22" s="81">
        <v>4353</v>
      </c>
      <c r="P22" s="94">
        <f>O22/D22</f>
        <v>3.5218446601941746</v>
      </c>
      <c r="Q22" s="94">
        <f>H22/D22</f>
        <v>0.1464401294498382</v>
      </c>
      <c r="R22" s="94">
        <f>I22/D22</f>
        <v>2.895631067961165</v>
      </c>
      <c r="S22" s="94">
        <f>J22/D22</f>
        <v>0.47977346278317151</v>
      </c>
      <c r="T22" s="94">
        <f>K22/D22</f>
        <v>3.5218446601941746</v>
      </c>
      <c r="U22" s="94">
        <f>K22/E22</f>
        <v>5.4892812105926856</v>
      </c>
      <c r="V22" s="81">
        <v>1743</v>
      </c>
      <c r="W22" s="79" t="s">
        <v>1648</v>
      </c>
      <c r="X22" s="79" t="s">
        <v>1650</v>
      </c>
      <c r="Y22" s="81">
        <v>718</v>
      </c>
      <c r="Z22" s="81">
        <v>194</v>
      </c>
      <c r="AA22" s="81">
        <v>537</v>
      </c>
      <c r="AB22" s="79" t="s">
        <v>1648</v>
      </c>
      <c r="AC22" s="81">
        <v>3324</v>
      </c>
      <c r="AD22" s="79" t="s">
        <v>1649</v>
      </c>
      <c r="AE22" s="79" t="s">
        <v>1649</v>
      </c>
      <c r="AF22" s="95">
        <v>0</v>
      </c>
    </row>
    <row r="23" spans="1:32" ht="15.75" thickBot="1" x14ac:dyDescent="0.3">
      <c r="A23" s="79" t="s">
        <v>66</v>
      </c>
      <c r="B23" s="93" t="s">
        <v>209</v>
      </c>
      <c r="C23" s="79" t="s">
        <v>34</v>
      </c>
      <c r="D23" s="81">
        <v>3179</v>
      </c>
      <c r="E23" s="81">
        <v>1500</v>
      </c>
      <c r="F23" s="81">
        <v>14284</v>
      </c>
      <c r="G23" s="81">
        <v>10683</v>
      </c>
      <c r="H23" s="81">
        <v>2249</v>
      </c>
      <c r="I23" s="81">
        <v>10414</v>
      </c>
      <c r="J23" s="81">
        <v>1151</v>
      </c>
      <c r="K23" s="81">
        <v>13814</v>
      </c>
      <c r="L23" s="81">
        <v>0</v>
      </c>
      <c r="M23" s="81">
        <v>12663</v>
      </c>
      <c r="N23" s="81">
        <v>1151</v>
      </c>
      <c r="O23" s="81">
        <v>13814</v>
      </c>
      <c r="P23" s="94">
        <f>O23/D23</f>
        <v>4.3453916325888642</v>
      </c>
      <c r="Q23" s="94">
        <f>H23/D23</f>
        <v>0.70745517458320228</v>
      </c>
      <c r="R23" s="94">
        <f>I23/D23</f>
        <v>3.2758729160113242</v>
      </c>
      <c r="S23" s="94">
        <f>J23/D23</f>
        <v>0.36206354199433782</v>
      </c>
      <c r="T23" s="94">
        <f>K23/D23</f>
        <v>4.3453916325888642</v>
      </c>
      <c r="U23" s="94">
        <f>K23/E23</f>
        <v>9.2093333333333334</v>
      </c>
      <c r="V23" s="81">
        <v>2718</v>
      </c>
      <c r="W23" s="79" t="s">
        <v>1649</v>
      </c>
      <c r="X23" s="79" t="s">
        <v>1651</v>
      </c>
      <c r="Y23" s="81">
        <v>427</v>
      </c>
      <c r="Z23" s="81">
        <v>441</v>
      </c>
      <c r="AA23" s="81">
        <v>3572</v>
      </c>
      <c r="AB23" s="79" t="s">
        <v>1648</v>
      </c>
      <c r="AC23" s="77" t="s">
        <v>1660</v>
      </c>
      <c r="AD23" s="79" t="s">
        <v>1648</v>
      </c>
      <c r="AE23" s="79" t="s">
        <v>1649</v>
      </c>
      <c r="AF23" s="95">
        <v>0</v>
      </c>
    </row>
    <row r="24" spans="1:32" ht="15.75" thickBot="1" x14ac:dyDescent="0.3">
      <c r="A24" s="79" t="s">
        <v>68</v>
      </c>
      <c r="B24" s="93" t="s">
        <v>255</v>
      </c>
      <c r="C24" s="96" t="s">
        <v>34</v>
      </c>
      <c r="D24" s="97">
        <v>2769</v>
      </c>
      <c r="E24" s="97">
        <v>2220</v>
      </c>
      <c r="F24" s="97">
        <v>3500</v>
      </c>
      <c r="G24" s="97">
        <v>9440</v>
      </c>
      <c r="H24" s="97">
        <v>1922</v>
      </c>
      <c r="I24" s="97">
        <v>2133</v>
      </c>
      <c r="J24" s="97">
        <v>0</v>
      </c>
      <c r="K24" s="97">
        <v>4055</v>
      </c>
      <c r="L24" s="97">
        <v>0</v>
      </c>
      <c r="M24" s="97">
        <v>4055</v>
      </c>
      <c r="N24" s="97">
        <v>0</v>
      </c>
      <c r="O24" s="97">
        <v>4055</v>
      </c>
      <c r="P24" s="98">
        <f>O24/D24</f>
        <v>1.4644275911881546</v>
      </c>
      <c r="Q24" s="98">
        <f>H24/D24</f>
        <v>0.69411339833875041</v>
      </c>
      <c r="R24" s="98">
        <f>I24/D24</f>
        <v>0.77031419284940417</v>
      </c>
      <c r="S24" s="98">
        <f>J24/D24</f>
        <v>0</v>
      </c>
      <c r="T24" s="98">
        <f>K24/D24</f>
        <v>1.4644275911881546</v>
      </c>
      <c r="U24" s="98">
        <f>K24/E24</f>
        <v>1.8265765765765767</v>
      </c>
      <c r="V24" s="97">
        <v>50</v>
      </c>
      <c r="W24" s="96" t="s">
        <v>1649</v>
      </c>
      <c r="X24" s="96" t="s">
        <v>1650</v>
      </c>
      <c r="Y24" s="97">
        <v>96</v>
      </c>
      <c r="Z24" s="97">
        <v>18</v>
      </c>
      <c r="AA24" s="97">
        <v>344</v>
      </c>
      <c r="AB24" s="96" t="s">
        <v>1648</v>
      </c>
      <c r="AC24" s="97">
        <v>143</v>
      </c>
      <c r="AD24" s="96" t="s">
        <v>1649</v>
      </c>
      <c r="AE24" s="96" t="s">
        <v>1649</v>
      </c>
      <c r="AF24" s="99">
        <v>0</v>
      </c>
    </row>
    <row r="25" spans="1:32" ht="15.75" thickBot="1" x14ac:dyDescent="0.3">
      <c r="A25" s="79" t="s">
        <v>70</v>
      </c>
      <c r="B25" s="93" t="s">
        <v>257</v>
      </c>
      <c r="C25" s="79" t="s">
        <v>34</v>
      </c>
      <c r="D25" s="81">
        <v>3738</v>
      </c>
      <c r="E25" s="81">
        <v>1696</v>
      </c>
      <c r="F25" s="81">
        <v>10561</v>
      </c>
      <c r="G25" s="81">
        <v>2401</v>
      </c>
      <c r="H25" s="81">
        <v>6101</v>
      </c>
      <c r="I25" s="81">
        <v>7544</v>
      </c>
      <c r="J25" s="81">
        <v>0</v>
      </c>
      <c r="K25" s="81">
        <v>13645</v>
      </c>
      <c r="L25" s="81">
        <v>0</v>
      </c>
      <c r="M25" s="81">
        <v>13645</v>
      </c>
      <c r="N25" s="81">
        <v>0</v>
      </c>
      <c r="O25" s="81">
        <v>13645</v>
      </c>
      <c r="P25" s="94">
        <f>O25/D25</f>
        <v>3.6503477795612627</v>
      </c>
      <c r="Q25" s="94">
        <f>H25/D25</f>
        <v>1.6321562332798287</v>
      </c>
      <c r="R25" s="94">
        <f>I25/D25</f>
        <v>2.0181915462814337</v>
      </c>
      <c r="S25" s="94">
        <f>J25/D25</f>
        <v>0</v>
      </c>
      <c r="T25" s="94">
        <f>K25/D25</f>
        <v>3.6503477795612627</v>
      </c>
      <c r="U25" s="94">
        <f>K25/E25</f>
        <v>8.0454009433962259</v>
      </c>
      <c r="V25" s="81">
        <v>3012</v>
      </c>
      <c r="W25" s="79" t="s">
        <v>1649</v>
      </c>
      <c r="X25" s="79" t="s">
        <v>1650</v>
      </c>
      <c r="Y25" s="81">
        <v>909</v>
      </c>
      <c r="Z25" s="81">
        <v>978</v>
      </c>
      <c r="AA25" s="81">
        <v>2669</v>
      </c>
      <c r="AB25" s="79" t="s">
        <v>1648</v>
      </c>
      <c r="AC25" s="81">
        <v>2458</v>
      </c>
      <c r="AD25" s="79" t="s">
        <v>1649</v>
      </c>
      <c r="AE25" s="79" t="s">
        <v>1649</v>
      </c>
      <c r="AF25" s="95">
        <v>0</v>
      </c>
    </row>
    <row r="26" spans="1:32" ht="15.75" thickBot="1" x14ac:dyDescent="0.3">
      <c r="A26" s="79" t="s">
        <v>72</v>
      </c>
      <c r="B26" s="93" t="s">
        <v>263</v>
      </c>
      <c r="C26" s="79" t="s">
        <v>34</v>
      </c>
      <c r="D26" s="81">
        <v>3112</v>
      </c>
      <c r="E26" s="81">
        <v>1007</v>
      </c>
      <c r="F26" s="81">
        <v>5817</v>
      </c>
      <c r="G26" s="81">
        <v>2087</v>
      </c>
      <c r="H26" s="81">
        <v>6273</v>
      </c>
      <c r="I26" s="81">
        <v>3443</v>
      </c>
      <c r="J26" s="81">
        <v>247</v>
      </c>
      <c r="K26" s="81">
        <v>9963</v>
      </c>
      <c r="L26" s="81">
        <v>0</v>
      </c>
      <c r="M26" s="81">
        <v>9716</v>
      </c>
      <c r="N26" s="81">
        <v>247</v>
      </c>
      <c r="O26" s="81">
        <v>9963</v>
      </c>
      <c r="P26" s="94">
        <f>O26/D26</f>
        <v>3.2014781491002569</v>
      </c>
      <c r="Q26" s="94">
        <f>H26/D26</f>
        <v>2.0157455012853469</v>
      </c>
      <c r="R26" s="94">
        <f>I26/D26</f>
        <v>1.106362467866324</v>
      </c>
      <c r="S26" s="94">
        <f>J26/D26</f>
        <v>7.9370179948586111E-2</v>
      </c>
      <c r="T26" s="94">
        <f>K26/D26</f>
        <v>3.2014781491002569</v>
      </c>
      <c r="U26" s="94">
        <f>K26/E26</f>
        <v>9.8937437934458785</v>
      </c>
      <c r="V26" s="81">
        <v>1125</v>
      </c>
      <c r="W26" s="79" t="s">
        <v>1648</v>
      </c>
      <c r="X26" s="79" t="s">
        <v>1650</v>
      </c>
      <c r="Y26" s="81">
        <v>308</v>
      </c>
      <c r="Z26" s="81">
        <v>371</v>
      </c>
      <c r="AA26" s="81">
        <v>995</v>
      </c>
      <c r="AB26" s="79" t="s">
        <v>1648</v>
      </c>
      <c r="AC26" s="81">
        <v>0</v>
      </c>
      <c r="AD26" s="79" t="s">
        <v>1648</v>
      </c>
      <c r="AE26" s="79" t="s">
        <v>1648</v>
      </c>
      <c r="AF26" s="81">
        <v>65</v>
      </c>
    </row>
    <row r="27" spans="1:32" ht="15.75" thickBot="1" x14ac:dyDescent="0.3">
      <c r="A27" s="79" t="s">
        <v>74</v>
      </c>
      <c r="B27" s="93" t="s">
        <v>271</v>
      </c>
      <c r="C27" s="79" t="s">
        <v>34</v>
      </c>
      <c r="D27" s="81">
        <v>2791</v>
      </c>
      <c r="E27" s="81">
        <v>65258</v>
      </c>
      <c r="F27" s="81">
        <v>29200</v>
      </c>
      <c r="G27" s="81">
        <v>4364</v>
      </c>
      <c r="H27" s="81">
        <v>5253</v>
      </c>
      <c r="I27" s="81">
        <v>12884</v>
      </c>
      <c r="J27" s="81">
        <v>0</v>
      </c>
      <c r="K27" s="81">
        <v>18137</v>
      </c>
      <c r="L27" s="81">
        <v>0</v>
      </c>
      <c r="M27" s="81">
        <v>18137</v>
      </c>
      <c r="N27" s="81">
        <v>0</v>
      </c>
      <c r="O27" s="81">
        <v>18137</v>
      </c>
      <c r="P27" s="94">
        <f>O27/D27</f>
        <v>6.4983876746685771</v>
      </c>
      <c r="Q27" s="94">
        <f>H27/D27</f>
        <v>1.8821211035471157</v>
      </c>
      <c r="R27" s="94">
        <f>I27/D27</f>
        <v>4.6162665711214617</v>
      </c>
      <c r="S27" s="94">
        <f>J27/D27</f>
        <v>0</v>
      </c>
      <c r="T27" s="94">
        <f>K27/D27</f>
        <v>6.4983876746685771</v>
      </c>
      <c r="U27" s="94">
        <f>K27/E27</f>
        <v>0.27792761040791936</v>
      </c>
      <c r="V27" s="81">
        <v>9400</v>
      </c>
      <c r="W27" s="79" t="s">
        <v>1648</v>
      </c>
      <c r="X27" s="79" t="s">
        <v>1650</v>
      </c>
      <c r="Y27" s="81">
        <v>8774</v>
      </c>
      <c r="Z27" s="81">
        <v>6591</v>
      </c>
      <c r="AA27" s="81">
        <v>1945</v>
      </c>
      <c r="AB27" s="79" t="s">
        <v>1648</v>
      </c>
      <c r="AC27" s="81">
        <v>7211</v>
      </c>
      <c r="AD27" s="79" t="s">
        <v>1648</v>
      </c>
      <c r="AE27" s="79" t="s">
        <v>1649</v>
      </c>
      <c r="AF27" s="95">
        <v>0</v>
      </c>
    </row>
    <row r="28" spans="1:32" ht="15.75" thickBot="1" x14ac:dyDescent="0.3">
      <c r="A28" s="96" t="s">
        <v>76</v>
      </c>
      <c r="B28" s="93" t="s">
        <v>285</v>
      </c>
      <c r="C28" s="79" t="s">
        <v>34</v>
      </c>
      <c r="D28" s="81">
        <v>3150</v>
      </c>
      <c r="E28" s="81">
        <v>1454</v>
      </c>
      <c r="F28" s="81">
        <v>12627</v>
      </c>
      <c r="G28" s="79" t="s">
        <v>1613</v>
      </c>
      <c r="H28" s="81">
        <v>2356</v>
      </c>
      <c r="I28" s="81">
        <v>8745</v>
      </c>
      <c r="J28" s="81">
        <v>5251</v>
      </c>
      <c r="K28" s="81">
        <v>16352</v>
      </c>
      <c r="L28" s="81">
        <v>0</v>
      </c>
      <c r="M28" s="81">
        <v>11101</v>
      </c>
      <c r="N28" s="81">
        <v>5251</v>
      </c>
      <c r="O28" s="81">
        <v>16352</v>
      </c>
      <c r="P28" s="94">
        <f>O28/D28</f>
        <v>5.1911111111111108</v>
      </c>
      <c r="Q28" s="94">
        <f>H28/D28</f>
        <v>0.7479365079365079</v>
      </c>
      <c r="R28" s="94">
        <f>I28/D28</f>
        <v>2.7761904761904761</v>
      </c>
      <c r="S28" s="94">
        <f>J28/D28</f>
        <v>1.666984126984127</v>
      </c>
      <c r="T28" s="94">
        <f>K28/D28</f>
        <v>5.1911111111111108</v>
      </c>
      <c r="U28" s="94">
        <f>K28/E28</f>
        <v>11.246217331499313</v>
      </c>
      <c r="V28" s="81">
        <v>1080</v>
      </c>
      <c r="W28" s="79" t="s">
        <v>1648</v>
      </c>
      <c r="X28" s="79" t="s">
        <v>1650</v>
      </c>
      <c r="Y28" s="81">
        <v>5260</v>
      </c>
      <c r="Z28" s="81">
        <v>1551</v>
      </c>
      <c r="AA28" s="81">
        <v>1147</v>
      </c>
      <c r="AB28" s="79" t="s">
        <v>1648</v>
      </c>
      <c r="AC28" s="81">
        <v>888</v>
      </c>
      <c r="AD28" s="79" t="s">
        <v>1649</v>
      </c>
      <c r="AE28" s="79" t="s">
        <v>1649</v>
      </c>
      <c r="AF28" s="95">
        <v>0</v>
      </c>
    </row>
    <row r="29" spans="1:32" ht="15.75" thickBot="1" x14ac:dyDescent="0.3">
      <c r="A29" s="79" t="s">
        <v>78</v>
      </c>
      <c r="B29" s="93" t="s">
        <v>297</v>
      </c>
      <c r="C29" s="79" t="s">
        <v>34</v>
      </c>
      <c r="D29" s="81">
        <v>3043</v>
      </c>
      <c r="E29" s="81">
        <v>1986</v>
      </c>
      <c r="F29" s="81">
        <v>7864</v>
      </c>
      <c r="G29" s="81">
        <v>1200</v>
      </c>
      <c r="H29" s="81">
        <v>2790</v>
      </c>
      <c r="I29" s="81">
        <v>4263</v>
      </c>
      <c r="J29" s="81">
        <v>737</v>
      </c>
      <c r="K29" s="81">
        <v>7790</v>
      </c>
      <c r="L29" s="81">
        <v>0</v>
      </c>
      <c r="M29" s="81">
        <v>7053</v>
      </c>
      <c r="N29" s="81">
        <v>737</v>
      </c>
      <c r="O29" s="81">
        <v>7790</v>
      </c>
      <c r="P29" s="94">
        <f>O29/D29</f>
        <v>2.5599737101544529</v>
      </c>
      <c r="Q29" s="94">
        <f>H29/D29</f>
        <v>0.91685836345711469</v>
      </c>
      <c r="R29" s="94">
        <f>I29/D29</f>
        <v>1.4009201445941506</v>
      </c>
      <c r="S29" s="94">
        <f>J29/D29</f>
        <v>0.24219520210318765</v>
      </c>
      <c r="T29" s="94">
        <f>K29/D29</f>
        <v>2.5599737101544529</v>
      </c>
      <c r="U29" s="94">
        <f>K29/E29</f>
        <v>3.9224572004028198</v>
      </c>
      <c r="V29" s="81">
        <v>367</v>
      </c>
      <c r="W29" s="79" t="s">
        <v>1648</v>
      </c>
      <c r="X29" s="79" t="s">
        <v>1651</v>
      </c>
      <c r="Y29" s="81">
        <v>461</v>
      </c>
      <c r="Z29" s="81">
        <v>689</v>
      </c>
      <c r="AA29" s="81">
        <v>2096</v>
      </c>
      <c r="AB29" s="79" t="s">
        <v>1648</v>
      </c>
      <c r="AC29" s="81">
        <v>1097</v>
      </c>
      <c r="AD29" s="79" t="s">
        <v>1648</v>
      </c>
      <c r="AE29" s="79" t="s">
        <v>1649</v>
      </c>
      <c r="AF29" s="95">
        <v>0</v>
      </c>
    </row>
    <row r="30" spans="1:32" ht="15.75" thickBot="1" x14ac:dyDescent="0.3">
      <c r="A30" s="79" t="s">
        <v>80</v>
      </c>
      <c r="B30" s="93" t="s">
        <v>305</v>
      </c>
      <c r="C30" s="96" t="s">
        <v>34</v>
      </c>
      <c r="D30" s="97">
        <v>2047</v>
      </c>
      <c r="E30" s="97">
        <v>315</v>
      </c>
      <c r="F30" s="97">
        <v>1691</v>
      </c>
      <c r="G30" s="96" t="s">
        <v>1613</v>
      </c>
      <c r="H30" s="97">
        <v>4314</v>
      </c>
      <c r="I30" s="97">
        <v>2208</v>
      </c>
      <c r="J30" s="97">
        <v>0</v>
      </c>
      <c r="K30" s="97">
        <v>6522</v>
      </c>
      <c r="L30" s="97">
        <v>0</v>
      </c>
      <c r="M30" s="97">
        <v>6522</v>
      </c>
      <c r="N30" s="97">
        <v>0</v>
      </c>
      <c r="O30" s="97">
        <v>6522</v>
      </c>
      <c r="P30" s="98">
        <f>O30/D30</f>
        <v>3.1861260381045433</v>
      </c>
      <c r="Q30" s="98">
        <f>H30/D30</f>
        <v>2.1074743527112849</v>
      </c>
      <c r="R30" s="98">
        <f>I30/D30</f>
        <v>1.0786516853932584</v>
      </c>
      <c r="S30" s="98">
        <f>J30/D30</f>
        <v>0</v>
      </c>
      <c r="T30" s="98">
        <f>K30/D30</f>
        <v>3.1861260381045433</v>
      </c>
      <c r="U30" s="98">
        <f>K30/E30</f>
        <v>20.704761904761906</v>
      </c>
      <c r="V30" s="97">
        <v>0</v>
      </c>
      <c r="W30" s="96" t="s">
        <v>1648</v>
      </c>
      <c r="X30" s="96" t="s">
        <v>1651</v>
      </c>
      <c r="Y30" s="97">
        <v>67</v>
      </c>
      <c r="Z30" s="97">
        <v>116</v>
      </c>
      <c r="AA30" s="97">
        <v>36</v>
      </c>
      <c r="AB30" s="96" t="s">
        <v>1648</v>
      </c>
      <c r="AC30" s="97">
        <v>2451</v>
      </c>
      <c r="AD30" s="96" t="s">
        <v>1648</v>
      </c>
      <c r="AE30" s="96" t="s">
        <v>1648</v>
      </c>
      <c r="AF30" s="97">
        <v>40</v>
      </c>
    </row>
    <row r="31" spans="1:32" ht="15.75" thickBot="1" x14ac:dyDescent="0.3">
      <c r="A31" s="79" t="s">
        <v>82</v>
      </c>
      <c r="B31" s="93" t="s">
        <v>313</v>
      </c>
      <c r="C31" s="79" t="s">
        <v>34</v>
      </c>
      <c r="D31" s="81">
        <v>3650</v>
      </c>
      <c r="E31" s="81">
        <v>734</v>
      </c>
      <c r="F31" s="81">
        <v>12853</v>
      </c>
      <c r="G31" s="81">
        <v>1250</v>
      </c>
      <c r="H31" s="81">
        <v>4900</v>
      </c>
      <c r="I31" s="81">
        <v>15482</v>
      </c>
      <c r="J31" s="81">
        <v>4718</v>
      </c>
      <c r="K31" s="81">
        <v>25100</v>
      </c>
      <c r="L31" s="77" t="s">
        <v>1660</v>
      </c>
      <c r="M31" s="81">
        <v>20382</v>
      </c>
      <c r="N31" s="81">
        <v>4718</v>
      </c>
      <c r="O31" s="81">
        <v>25100</v>
      </c>
      <c r="P31" s="94">
        <f>O31/D31</f>
        <v>6.8767123287671232</v>
      </c>
      <c r="Q31" s="94">
        <f>H31/D31</f>
        <v>1.3424657534246576</v>
      </c>
      <c r="R31" s="94">
        <f>I31/D31</f>
        <v>4.2416438356164381</v>
      </c>
      <c r="S31" s="94">
        <f>J31/D31</f>
        <v>1.2926027397260273</v>
      </c>
      <c r="T31" s="94">
        <f>K31/D31</f>
        <v>6.8767123287671232</v>
      </c>
      <c r="U31" s="94">
        <f>K31/E31</f>
        <v>34.196185286103542</v>
      </c>
      <c r="V31" s="81">
        <v>300</v>
      </c>
      <c r="W31" s="79" t="s">
        <v>1648</v>
      </c>
      <c r="X31" s="79" t="s">
        <v>1650</v>
      </c>
      <c r="Y31" s="81">
        <v>240</v>
      </c>
      <c r="Z31" s="81">
        <v>944</v>
      </c>
      <c r="AA31" s="81">
        <v>1250</v>
      </c>
      <c r="AB31" s="79" t="s">
        <v>1648</v>
      </c>
      <c r="AC31" s="81">
        <v>710</v>
      </c>
      <c r="AD31" s="79" t="s">
        <v>1648</v>
      </c>
      <c r="AE31" s="79" t="s">
        <v>1649</v>
      </c>
      <c r="AF31" s="95">
        <v>0</v>
      </c>
    </row>
    <row r="32" spans="1:32" ht="15.75" thickBot="1" x14ac:dyDescent="0.3">
      <c r="A32" s="79" t="s">
        <v>84</v>
      </c>
      <c r="B32" s="93" t="s">
        <v>315</v>
      </c>
      <c r="C32" s="79" t="s">
        <v>34</v>
      </c>
      <c r="D32" s="81">
        <v>1828</v>
      </c>
      <c r="E32" s="81">
        <v>182</v>
      </c>
      <c r="F32" s="81">
        <v>637</v>
      </c>
      <c r="G32" s="81">
        <v>206</v>
      </c>
      <c r="H32" s="81">
        <v>265</v>
      </c>
      <c r="I32" s="81">
        <v>629</v>
      </c>
      <c r="J32" s="81">
        <v>3</v>
      </c>
      <c r="K32" s="81">
        <v>897</v>
      </c>
      <c r="L32" s="81">
        <v>0</v>
      </c>
      <c r="M32" s="81">
        <v>894</v>
      </c>
      <c r="N32" s="81">
        <v>3</v>
      </c>
      <c r="O32" s="81">
        <v>897</v>
      </c>
      <c r="P32" s="94">
        <f>O32/D32</f>
        <v>0.49070021881838072</v>
      </c>
      <c r="Q32" s="94">
        <f>H32/D32</f>
        <v>0.14496717724288841</v>
      </c>
      <c r="R32" s="94">
        <f>I32/D32</f>
        <v>0.3440919037199125</v>
      </c>
      <c r="S32" s="94">
        <f>J32/D32</f>
        <v>1.6411378555798686E-3</v>
      </c>
      <c r="T32" s="94">
        <f>K32/D32</f>
        <v>0.49070021881838072</v>
      </c>
      <c r="U32" s="94">
        <f>K32/E32</f>
        <v>4.9285714285714288</v>
      </c>
      <c r="V32" s="81">
        <v>179</v>
      </c>
      <c r="W32" s="79" t="s">
        <v>1648</v>
      </c>
      <c r="X32" s="79" t="s">
        <v>1651</v>
      </c>
      <c r="Y32" s="81">
        <v>73</v>
      </c>
      <c r="Z32" s="81">
        <v>228</v>
      </c>
      <c r="AA32" s="81">
        <v>35</v>
      </c>
      <c r="AB32" s="79" t="s">
        <v>1648</v>
      </c>
      <c r="AC32" s="81">
        <v>40</v>
      </c>
      <c r="AD32" s="79" t="s">
        <v>1648</v>
      </c>
      <c r="AE32" s="79" t="s">
        <v>1649</v>
      </c>
      <c r="AF32" s="95">
        <v>0</v>
      </c>
    </row>
    <row r="33" spans="1:32" ht="15.75" thickBot="1" x14ac:dyDescent="0.3">
      <c r="A33" s="79" t="s">
        <v>86</v>
      </c>
      <c r="B33" s="93" t="s">
        <v>363</v>
      </c>
      <c r="C33" s="79" t="s">
        <v>34</v>
      </c>
      <c r="D33" s="81">
        <v>3926</v>
      </c>
      <c r="E33" s="81">
        <v>4635</v>
      </c>
      <c r="F33" s="81">
        <v>32852</v>
      </c>
      <c r="G33" s="81">
        <v>5258</v>
      </c>
      <c r="H33" s="81">
        <v>9572</v>
      </c>
      <c r="I33" s="81">
        <v>13476</v>
      </c>
      <c r="J33" s="81">
        <v>1670</v>
      </c>
      <c r="K33" s="81">
        <v>24718</v>
      </c>
      <c r="L33" s="81">
        <v>75</v>
      </c>
      <c r="M33" s="81">
        <v>23048</v>
      </c>
      <c r="N33" s="81">
        <v>1745</v>
      </c>
      <c r="O33" s="81">
        <v>24793</v>
      </c>
      <c r="P33" s="94">
        <f>O33/D33</f>
        <v>6.3150789607743247</v>
      </c>
      <c r="Q33" s="94">
        <f>H33/D33</f>
        <v>2.4381049414161997</v>
      </c>
      <c r="R33" s="94">
        <f>I33/D33</f>
        <v>3.4325012735608764</v>
      </c>
      <c r="S33" s="94">
        <f>J33/D33</f>
        <v>0.42536933265410087</v>
      </c>
      <c r="T33" s="94">
        <f>K33/D33</f>
        <v>6.2959755476311772</v>
      </c>
      <c r="U33" s="94">
        <f>K33/E33</f>
        <v>5.3329018338727074</v>
      </c>
      <c r="V33" s="81">
        <v>7170</v>
      </c>
      <c r="W33" s="79" t="s">
        <v>1648</v>
      </c>
      <c r="X33" s="79" t="s">
        <v>1650</v>
      </c>
      <c r="Y33" s="81">
        <v>1277</v>
      </c>
      <c r="Z33" s="81">
        <v>2222</v>
      </c>
      <c r="AA33" s="81">
        <v>5449</v>
      </c>
      <c r="AB33" s="79" t="s">
        <v>1648</v>
      </c>
      <c r="AC33" s="81">
        <v>9327</v>
      </c>
      <c r="AD33" s="79" t="s">
        <v>1648</v>
      </c>
      <c r="AE33" s="79" t="s">
        <v>1649</v>
      </c>
      <c r="AF33" s="95">
        <v>0</v>
      </c>
    </row>
    <row r="34" spans="1:32" ht="15.75" thickBot="1" x14ac:dyDescent="0.3">
      <c r="A34" s="79" t="s">
        <v>88</v>
      </c>
      <c r="B34" s="93" t="s">
        <v>379</v>
      </c>
      <c r="C34" s="79" t="s">
        <v>34</v>
      </c>
      <c r="D34" s="81">
        <v>3038</v>
      </c>
      <c r="E34" s="81">
        <v>3154</v>
      </c>
      <c r="F34" s="81">
        <v>6720</v>
      </c>
      <c r="G34" s="81">
        <v>5760</v>
      </c>
      <c r="H34" s="81">
        <v>3368</v>
      </c>
      <c r="I34" s="81">
        <v>7786</v>
      </c>
      <c r="J34" s="81">
        <v>3268</v>
      </c>
      <c r="K34" s="81">
        <v>14422</v>
      </c>
      <c r="L34" s="81">
        <v>0</v>
      </c>
      <c r="M34" s="81">
        <v>11154</v>
      </c>
      <c r="N34" s="81">
        <v>3268</v>
      </c>
      <c r="O34" s="81">
        <v>14422</v>
      </c>
      <c r="P34" s="94">
        <f>O34/D34</f>
        <v>4.7472021066491115</v>
      </c>
      <c r="Q34" s="94">
        <f>H34/D34</f>
        <v>1.1086240947992101</v>
      </c>
      <c r="R34" s="94">
        <f>I34/D34</f>
        <v>2.5628703094140883</v>
      </c>
      <c r="S34" s="94">
        <f>J34/D34</f>
        <v>1.075707702435813</v>
      </c>
      <c r="T34" s="94">
        <f>K34/D34</f>
        <v>4.7472021066491115</v>
      </c>
      <c r="U34" s="94">
        <f>K34/E34</f>
        <v>4.5726062143310084</v>
      </c>
      <c r="V34" s="81">
        <v>2600</v>
      </c>
      <c r="W34" s="79" t="s">
        <v>1648</v>
      </c>
      <c r="X34" s="79" t="s">
        <v>1650</v>
      </c>
      <c r="Y34" s="81">
        <v>303</v>
      </c>
      <c r="Z34" s="81">
        <v>709</v>
      </c>
      <c r="AA34" s="81">
        <v>1900</v>
      </c>
      <c r="AB34" s="79" t="s">
        <v>1648</v>
      </c>
      <c r="AC34" s="81">
        <v>2600</v>
      </c>
      <c r="AD34" s="79" t="s">
        <v>1648</v>
      </c>
      <c r="AE34" s="79" t="s">
        <v>1649</v>
      </c>
      <c r="AF34" s="95">
        <v>0</v>
      </c>
    </row>
    <row r="35" spans="1:32" ht="15.75" thickBot="1" x14ac:dyDescent="0.3">
      <c r="A35" s="79" t="s">
        <v>90</v>
      </c>
      <c r="B35" s="93" t="s">
        <v>411</v>
      </c>
      <c r="C35" s="79" t="s">
        <v>34</v>
      </c>
      <c r="D35" s="81">
        <v>3730</v>
      </c>
      <c r="E35" s="81">
        <v>1095</v>
      </c>
      <c r="F35" s="81">
        <v>7594</v>
      </c>
      <c r="G35" s="81">
        <v>1425</v>
      </c>
      <c r="H35" s="81">
        <v>3782</v>
      </c>
      <c r="I35" s="81">
        <v>2525</v>
      </c>
      <c r="J35" s="81">
        <v>688</v>
      </c>
      <c r="K35" s="81">
        <v>6995</v>
      </c>
      <c r="L35" s="81">
        <v>0</v>
      </c>
      <c r="M35" s="81">
        <v>6307</v>
      </c>
      <c r="N35" s="81">
        <v>688</v>
      </c>
      <c r="O35" s="81">
        <v>6995</v>
      </c>
      <c r="P35" s="94">
        <f>O35/D35</f>
        <v>1.8753351206434317</v>
      </c>
      <c r="Q35" s="94">
        <f>H35/D35</f>
        <v>1.0139410187667561</v>
      </c>
      <c r="R35" s="94">
        <f>I35/D35</f>
        <v>0.67694369973190349</v>
      </c>
      <c r="S35" s="94">
        <f>J35/D35</f>
        <v>0.18445040214477212</v>
      </c>
      <c r="T35" s="94">
        <f>K35/D35</f>
        <v>1.8753351206434317</v>
      </c>
      <c r="U35" s="94">
        <f>K35/E35</f>
        <v>6.3881278538812785</v>
      </c>
      <c r="V35" s="81">
        <v>125</v>
      </c>
      <c r="W35" s="79" t="s">
        <v>1648</v>
      </c>
      <c r="X35" s="79" t="s">
        <v>1650</v>
      </c>
      <c r="Y35" s="81">
        <v>199</v>
      </c>
      <c r="Z35" s="81">
        <v>113</v>
      </c>
      <c r="AA35" s="81">
        <v>998</v>
      </c>
      <c r="AB35" s="79" t="s">
        <v>1648</v>
      </c>
      <c r="AC35" s="81">
        <v>32</v>
      </c>
      <c r="AD35" s="79" t="s">
        <v>1649</v>
      </c>
      <c r="AE35" s="79" t="s">
        <v>1649</v>
      </c>
      <c r="AF35" s="95">
        <v>0</v>
      </c>
    </row>
    <row r="36" spans="1:32" ht="15.75" thickBot="1" x14ac:dyDescent="0.3">
      <c r="A36" s="79" t="s">
        <v>92</v>
      </c>
      <c r="B36" s="93" t="s">
        <v>418</v>
      </c>
      <c r="C36" s="96" t="s">
        <v>34</v>
      </c>
      <c r="D36" s="97">
        <v>2735</v>
      </c>
      <c r="E36" s="97">
        <v>663</v>
      </c>
      <c r="F36" s="97">
        <v>2652</v>
      </c>
      <c r="G36" s="97">
        <v>0</v>
      </c>
      <c r="H36" s="97">
        <v>1297</v>
      </c>
      <c r="I36" s="97">
        <v>2818</v>
      </c>
      <c r="J36" s="97">
        <v>0</v>
      </c>
      <c r="K36" s="97">
        <v>4115</v>
      </c>
      <c r="L36" s="97">
        <v>0</v>
      </c>
      <c r="M36" s="97">
        <v>4115</v>
      </c>
      <c r="N36" s="97">
        <v>0</v>
      </c>
      <c r="O36" s="97">
        <v>4115</v>
      </c>
      <c r="P36" s="98">
        <f>O36/D36</f>
        <v>1.5045703839122486</v>
      </c>
      <c r="Q36" s="98">
        <f>H36/D36</f>
        <v>0.47422303473491773</v>
      </c>
      <c r="R36" s="98">
        <f>I36/D36</f>
        <v>1.030347349177331</v>
      </c>
      <c r="S36" s="98">
        <f>J36/D36</f>
        <v>0</v>
      </c>
      <c r="T36" s="98">
        <f>K36/D36</f>
        <v>1.5045703839122486</v>
      </c>
      <c r="U36" s="98">
        <f>K36/E36</f>
        <v>6.206636500754148</v>
      </c>
      <c r="V36" s="97">
        <v>40</v>
      </c>
      <c r="W36" s="96" t="s">
        <v>1648</v>
      </c>
      <c r="X36" s="96" t="s">
        <v>1650</v>
      </c>
      <c r="Y36" s="97">
        <v>0</v>
      </c>
      <c r="Z36" s="97">
        <v>0</v>
      </c>
      <c r="AA36" s="97">
        <v>168</v>
      </c>
      <c r="AB36" s="96" t="s">
        <v>1648</v>
      </c>
      <c r="AC36" s="97">
        <v>1700</v>
      </c>
      <c r="AD36" s="96" t="s">
        <v>1649</v>
      </c>
      <c r="AE36" s="96" t="s">
        <v>1649</v>
      </c>
      <c r="AF36" s="99">
        <v>0</v>
      </c>
    </row>
    <row r="37" spans="1:32" ht="15.75" thickBot="1" x14ac:dyDescent="0.3">
      <c r="A37" s="79" t="s">
        <v>94</v>
      </c>
      <c r="B37" s="93" t="s">
        <v>420</v>
      </c>
      <c r="C37" s="79" t="s">
        <v>34</v>
      </c>
      <c r="D37" s="81">
        <v>1900</v>
      </c>
      <c r="E37" s="81">
        <v>2372</v>
      </c>
      <c r="F37" s="81">
        <v>11459</v>
      </c>
      <c r="G37" s="81">
        <v>27262</v>
      </c>
      <c r="H37" s="81">
        <v>5567</v>
      </c>
      <c r="I37" s="81">
        <v>7979</v>
      </c>
      <c r="J37" s="81">
        <v>3209</v>
      </c>
      <c r="K37" s="81">
        <v>16755</v>
      </c>
      <c r="L37" s="81">
        <v>0</v>
      </c>
      <c r="M37" s="81">
        <v>13546</v>
      </c>
      <c r="N37" s="81">
        <v>3209</v>
      </c>
      <c r="O37" s="81">
        <v>16755</v>
      </c>
      <c r="P37" s="94">
        <f>O37/D37</f>
        <v>8.8184210526315798</v>
      </c>
      <c r="Q37" s="94">
        <f>H37/D37</f>
        <v>2.93</v>
      </c>
      <c r="R37" s="94">
        <f>I37/D37</f>
        <v>4.1994736842105267</v>
      </c>
      <c r="S37" s="94">
        <f>J37/D37</f>
        <v>1.6889473684210525</v>
      </c>
      <c r="T37" s="94">
        <f>K37/D37</f>
        <v>8.8184210526315798</v>
      </c>
      <c r="U37" s="94">
        <f>K37/E37</f>
        <v>7.0636593591905568</v>
      </c>
      <c r="V37" s="81">
        <v>251</v>
      </c>
      <c r="W37" s="79" t="s">
        <v>1649</v>
      </c>
      <c r="X37" s="79" t="s">
        <v>1651</v>
      </c>
      <c r="Y37" s="81">
        <v>988</v>
      </c>
      <c r="Z37" s="81">
        <v>1043</v>
      </c>
      <c r="AA37" s="81">
        <v>1326</v>
      </c>
      <c r="AB37" s="79" t="s">
        <v>1648</v>
      </c>
      <c r="AC37" s="81">
        <v>1989</v>
      </c>
      <c r="AD37" s="79" t="s">
        <v>1649</v>
      </c>
      <c r="AE37" s="79" t="s">
        <v>1649</v>
      </c>
      <c r="AF37" s="95">
        <v>0</v>
      </c>
    </row>
    <row r="38" spans="1:32" ht="15.75" thickBot="1" x14ac:dyDescent="0.3">
      <c r="A38" s="79" t="s">
        <v>96</v>
      </c>
      <c r="B38" s="93" t="s">
        <v>424</v>
      </c>
      <c r="C38" s="79" t="s">
        <v>34</v>
      </c>
      <c r="D38" s="81">
        <v>2027</v>
      </c>
      <c r="E38" s="81">
        <v>2956</v>
      </c>
      <c r="F38" s="81">
        <v>18465</v>
      </c>
      <c r="G38" s="81">
        <v>16578</v>
      </c>
      <c r="H38" s="81">
        <v>6123</v>
      </c>
      <c r="I38" s="81">
        <v>19180</v>
      </c>
      <c r="J38" s="81">
        <v>2489</v>
      </c>
      <c r="K38" s="81">
        <v>27792</v>
      </c>
      <c r="L38" s="81">
        <v>0</v>
      </c>
      <c r="M38" s="81">
        <v>25303</v>
      </c>
      <c r="N38" s="81">
        <v>2489</v>
      </c>
      <c r="O38" s="81">
        <v>27792</v>
      </c>
      <c r="P38" s="94">
        <f>O38/D38</f>
        <v>13.710902812037494</v>
      </c>
      <c r="Q38" s="94">
        <f>H38/D38</f>
        <v>3.0207202762703504</v>
      </c>
      <c r="R38" s="94">
        <f>I38/D38</f>
        <v>9.4622594967932905</v>
      </c>
      <c r="S38" s="94">
        <f>J38/D38</f>
        <v>1.2279230389738529</v>
      </c>
      <c r="T38" s="94">
        <f>K38/D38</f>
        <v>13.710902812037494</v>
      </c>
      <c r="U38" s="94">
        <f>K38/E38</f>
        <v>9.4018944519621108</v>
      </c>
      <c r="V38" s="81">
        <v>2157</v>
      </c>
      <c r="W38" s="79" t="s">
        <v>1648</v>
      </c>
      <c r="X38" s="79" t="s">
        <v>1650</v>
      </c>
      <c r="Y38" s="81">
        <v>452</v>
      </c>
      <c r="Z38" s="81">
        <v>435</v>
      </c>
      <c r="AA38" s="81">
        <v>2985</v>
      </c>
      <c r="AB38" s="79" t="s">
        <v>1648</v>
      </c>
      <c r="AC38" s="81">
        <v>8987</v>
      </c>
      <c r="AD38" s="79" t="s">
        <v>1648</v>
      </c>
      <c r="AE38" s="79" t="s">
        <v>1649</v>
      </c>
      <c r="AF38" s="95">
        <v>0</v>
      </c>
    </row>
    <row r="39" spans="1:32" ht="15.75" thickBot="1" x14ac:dyDescent="0.3">
      <c r="A39" s="79" t="s">
        <v>98</v>
      </c>
      <c r="B39" s="93" t="s">
        <v>434</v>
      </c>
      <c r="C39" s="79" t="s">
        <v>34</v>
      </c>
      <c r="D39" s="81">
        <v>2835</v>
      </c>
      <c r="E39" s="81">
        <v>1716</v>
      </c>
      <c r="F39" s="81">
        <v>3282</v>
      </c>
      <c r="G39" s="81">
        <v>0</v>
      </c>
      <c r="H39" s="81">
        <v>3915</v>
      </c>
      <c r="I39" s="81">
        <v>2954</v>
      </c>
      <c r="J39" s="81">
        <v>225</v>
      </c>
      <c r="K39" s="81">
        <v>7094</v>
      </c>
      <c r="L39" s="81">
        <v>0</v>
      </c>
      <c r="M39" s="81">
        <v>6869</v>
      </c>
      <c r="N39" s="81">
        <v>225</v>
      </c>
      <c r="O39" s="81">
        <v>7094</v>
      </c>
      <c r="P39" s="94">
        <f>O39/D39</f>
        <v>2.5022927689594354</v>
      </c>
      <c r="Q39" s="94">
        <f>H39/D39</f>
        <v>1.3809523809523809</v>
      </c>
      <c r="R39" s="94">
        <f>I39/D39</f>
        <v>1.0419753086419754</v>
      </c>
      <c r="S39" s="94">
        <f>J39/D39</f>
        <v>7.9365079365079361E-2</v>
      </c>
      <c r="T39" s="94">
        <f>K39/D39</f>
        <v>2.5022927689594354</v>
      </c>
      <c r="U39" s="94">
        <f>K39/E39</f>
        <v>4.1340326340326339</v>
      </c>
      <c r="V39" s="81">
        <v>272</v>
      </c>
      <c r="W39" s="79" t="s">
        <v>1648</v>
      </c>
      <c r="X39" s="79" t="s">
        <v>1650</v>
      </c>
      <c r="Y39" s="81">
        <v>92</v>
      </c>
      <c r="Z39" s="81">
        <v>262</v>
      </c>
      <c r="AA39" s="81">
        <v>864</v>
      </c>
      <c r="AB39" s="79" t="s">
        <v>1648</v>
      </c>
      <c r="AC39" s="81">
        <v>550</v>
      </c>
      <c r="AD39" s="79" t="s">
        <v>1648</v>
      </c>
      <c r="AE39" s="79" t="s">
        <v>1649</v>
      </c>
      <c r="AF39" s="77">
        <v>0</v>
      </c>
    </row>
    <row r="40" spans="1:32" ht="15.75" thickBot="1" x14ac:dyDescent="0.3">
      <c r="A40" s="79" t="s">
        <v>100</v>
      </c>
      <c r="B40" s="93" t="s">
        <v>440</v>
      </c>
      <c r="C40" s="79" t="s">
        <v>34</v>
      </c>
      <c r="D40" s="81">
        <v>2372</v>
      </c>
      <c r="E40" s="81">
        <v>1216</v>
      </c>
      <c r="F40" s="81">
        <v>8008</v>
      </c>
      <c r="G40" s="81">
        <v>2642</v>
      </c>
      <c r="H40" s="81">
        <v>2536</v>
      </c>
      <c r="I40" s="81">
        <v>8881</v>
      </c>
      <c r="J40" s="81">
        <v>10280</v>
      </c>
      <c r="K40" s="81">
        <v>21697</v>
      </c>
      <c r="L40" s="77" t="s">
        <v>1660</v>
      </c>
      <c r="M40" s="81">
        <v>11417</v>
      </c>
      <c r="N40" s="81">
        <v>10280</v>
      </c>
      <c r="O40" s="81">
        <v>21697</v>
      </c>
      <c r="P40" s="94">
        <f>O40/D40</f>
        <v>9.1471332209106233</v>
      </c>
      <c r="Q40" s="94">
        <f>H40/D40</f>
        <v>1.0691399662731871</v>
      </c>
      <c r="R40" s="94">
        <f>I40/D40</f>
        <v>3.7440978077571669</v>
      </c>
      <c r="S40" s="94">
        <f>J40/D40</f>
        <v>4.3338954468802697</v>
      </c>
      <c r="T40" s="94">
        <f>K40/D40</f>
        <v>9.1471332209106233</v>
      </c>
      <c r="U40" s="94">
        <f>K40/E40</f>
        <v>17.842927631578949</v>
      </c>
      <c r="V40" s="81">
        <v>381</v>
      </c>
      <c r="W40" s="79" t="s">
        <v>1648</v>
      </c>
      <c r="X40" s="79" t="s">
        <v>1651</v>
      </c>
      <c r="Y40" s="81">
        <v>323</v>
      </c>
      <c r="Z40" s="81">
        <v>895</v>
      </c>
      <c r="AA40" s="81">
        <v>1206</v>
      </c>
      <c r="AB40" s="79" t="s">
        <v>1648</v>
      </c>
      <c r="AC40" s="81">
        <v>1646</v>
      </c>
      <c r="AD40" s="79" t="s">
        <v>1649</v>
      </c>
      <c r="AE40" s="79" t="s">
        <v>1648</v>
      </c>
      <c r="AF40" s="81">
        <v>1</v>
      </c>
    </row>
    <row r="41" spans="1:32" ht="15.75" thickBot="1" x14ac:dyDescent="0.3">
      <c r="A41" s="79" t="s">
        <v>104</v>
      </c>
      <c r="B41" s="93" t="s">
        <v>453</v>
      </c>
      <c r="C41" s="96" t="s">
        <v>34</v>
      </c>
      <c r="D41" s="97">
        <v>3667</v>
      </c>
      <c r="E41" s="97">
        <v>608</v>
      </c>
      <c r="F41" s="97">
        <v>4048</v>
      </c>
      <c r="G41" s="97">
        <v>6919</v>
      </c>
      <c r="H41" s="97">
        <v>1525</v>
      </c>
      <c r="I41" s="97">
        <v>4872</v>
      </c>
      <c r="J41" s="97">
        <v>0</v>
      </c>
      <c r="K41" s="97">
        <v>6397</v>
      </c>
      <c r="L41" s="97">
        <v>150</v>
      </c>
      <c r="M41" s="97">
        <v>6397</v>
      </c>
      <c r="N41" s="97">
        <v>150</v>
      </c>
      <c r="O41" s="97">
        <v>6547</v>
      </c>
      <c r="P41" s="98">
        <f>O41/D41</f>
        <v>1.7853831469866375</v>
      </c>
      <c r="Q41" s="98">
        <f>H41/D41</f>
        <v>0.41587128442868831</v>
      </c>
      <c r="R41" s="98">
        <f>I41/D41</f>
        <v>1.328606490319062</v>
      </c>
      <c r="S41" s="98">
        <f>J41/D41</f>
        <v>0</v>
      </c>
      <c r="T41" s="98">
        <f>K41/D41</f>
        <v>1.7444777747477502</v>
      </c>
      <c r="U41" s="98">
        <f>K41/E41</f>
        <v>10.521381578947368</v>
      </c>
      <c r="V41" s="97">
        <v>500</v>
      </c>
      <c r="W41" s="96" t="s">
        <v>1649</v>
      </c>
      <c r="X41" s="96" t="s">
        <v>1650</v>
      </c>
      <c r="Y41" s="97">
        <v>330</v>
      </c>
      <c r="Z41" s="97">
        <v>581</v>
      </c>
      <c r="AA41" s="97">
        <v>519</v>
      </c>
      <c r="AB41" s="96" t="s">
        <v>1648</v>
      </c>
      <c r="AC41" s="97">
        <v>468</v>
      </c>
      <c r="AD41" s="96" t="s">
        <v>1649</v>
      </c>
      <c r="AE41" s="96" t="s">
        <v>1649</v>
      </c>
      <c r="AF41" s="99">
        <v>0</v>
      </c>
    </row>
    <row r="42" spans="1:32" ht="15.75" thickBot="1" x14ac:dyDescent="0.3">
      <c r="A42" s="79" t="s">
        <v>106</v>
      </c>
      <c r="B42" s="93" t="s">
        <v>459</v>
      </c>
      <c r="C42" s="79" t="s">
        <v>34</v>
      </c>
      <c r="D42" s="81">
        <v>492</v>
      </c>
      <c r="E42" s="81">
        <v>1357</v>
      </c>
      <c r="F42" s="81">
        <v>16080</v>
      </c>
      <c r="G42" s="81">
        <v>3235</v>
      </c>
      <c r="H42" s="81">
        <v>497</v>
      </c>
      <c r="I42" s="81">
        <v>2191</v>
      </c>
      <c r="J42" s="81">
        <v>640</v>
      </c>
      <c r="K42" s="81">
        <v>3328</v>
      </c>
      <c r="L42" s="81">
        <v>0</v>
      </c>
      <c r="M42" s="81">
        <v>2688</v>
      </c>
      <c r="N42" s="81">
        <v>640</v>
      </c>
      <c r="O42" s="81">
        <v>3328</v>
      </c>
      <c r="P42" s="94">
        <f>O42/D42</f>
        <v>6.7642276422764231</v>
      </c>
      <c r="Q42" s="94">
        <f>H42/D42</f>
        <v>1.0101626016260163</v>
      </c>
      <c r="R42" s="94">
        <f>I42/D42</f>
        <v>4.4532520325203251</v>
      </c>
      <c r="S42" s="94">
        <f>J42/D42</f>
        <v>1.3008130081300813</v>
      </c>
      <c r="T42" s="94">
        <f>K42/D42</f>
        <v>6.7642276422764231</v>
      </c>
      <c r="U42" s="94">
        <f>K42/E42</f>
        <v>2.4524686809137806</v>
      </c>
      <c r="V42" s="81">
        <v>763</v>
      </c>
      <c r="W42" s="79" t="s">
        <v>1649</v>
      </c>
      <c r="X42" s="79" t="s">
        <v>1650</v>
      </c>
      <c r="Y42" s="81">
        <v>0</v>
      </c>
      <c r="Z42" s="81">
        <v>0</v>
      </c>
      <c r="AA42" s="81">
        <v>996</v>
      </c>
      <c r="AB42" s="79" t="s">
        <v>1648</v>
      </c>
      <c r="AC42" s="81">
        <v>2984</v>
      </c>
      <c r="AD42" s="79" t="s">
        <v>1649</v>
      </c>
      <c r="AE42" s="79" t="s">
        <v>1649</v>
      </c>
      <c r="AF42" s="95">
        <v>0</v>
      </c>
    </row>
    <row r="43" spans="1:32" ht="15.75" thickBot="1" x14ac:dyDescent="0.3">
      <c r="A43" s="79" t="s">
        <v>108</v>
      </c>
      <c r="B43" s="93" t="s">
        <v>475</v>
      </c>
      <c r="C43" s="96" t="s">
        <v>34</v>
      </c>
      <c r="D43" s="97">
        <v>3115</v>
      </c>
      <c r="E43" s="97">
        <v>2138</v>
      </c>
      <c r="F43" s="97">
        <v>4635</v>
      </c>
      <c r="G43" s="97">
        <v>0</v>
      </c>
      <c r="H43" s="97">
        <v>2074</v>
      </c>
      <c r="I43" s="97">
        <v>5014</v>
      </c>
      <c r="J43" s="97">
        <v>0</v>
      </c>
      <c r="K43" s="97">
        <v>7088</v>
      </c>
      <c r="L43" s="97">
        <v>0</v>
      </c>
      <c r="M43" s="97">
        <v>7088</v>
      </c>
      <c r="N43" s="97">
        <v>0</v>
      </c>
      <c r="O43" s="97">
        <v>7088</v>
      </c>
      <c r="P43" s="98">
        <f>O43/D43</f>
        <v>2.2754414125200642</v>
      </c>
      <c r="Q43" s="98">
        <f>H43/D43</f>
        <v>0.66581059390048158</v>
      </c>
      <c r="R43" s="98">
        <f>I43/D43</f>
        <v>1.6096308186195827</v>
      </c>
      <c r="S43" s="98">
        <f>J43/D43</f>
        <v>0</v>
      </c>
      <c r="T43" s="98">
        <f>K43/D43</f>
        <v>2.2754414125200642</v>
      </c>
      <c r="U43" s="98">
        <f>K43/E43</f>
        <v>3.3152478952291862</v>
      </c>
      <c r="V43" s="97">
        <v>0</v>
      </c>
      <c r="W43" s="96" t="s">
        <v>1649</v>
      </c>
      <c r="X43" s="96" t="s">
        <v>1650</v>
      </c>
      <c r="Y43" s="97">
        <v>638</v>
      </c>
      <c r="Z43" s="97">
        <v>1000</v>
      </c>
      <c r="AA43" s="97">
        <v>238</v>
      </c>
      <c r="AB43" s="96" t="s">
        <v>1648</v>
      </c>
      <c r="AC43" s="97">
        <v>126</v>
      </c>
      <c r="AD43" s="96" t="s">
        <v>1649</v>
      </c>
      <c r="AE43" s="96" t="s">
        <v>1649</v>
      </c>
      <c r="AF43" s="99">
        <v>0</v>
      </c>
    </row>
    <row r="44" spans="1:32" ht="15.75" thickBot="1" x14ac:dyDescent="0.3">
      <c r="A44" s="79" t="s">
        <v>110</v>
      </c>
      <c r="B44" s="93" t="s">
        <v>497</v>
      </c>
      <c r="C44" s="96" t="s">
        <v>34</v>
      </c>
      <c r="D44" s="97">
        <v>3433</v>
      </c>
      <c r="E44" s="97">
        <v>1740</v>
      </c>
      <c r="F44" s="97">
        <v>10454</v>
      </c>
      <c r="G44" s="97">
        <v>1894</v>
      </c>
      <c r="H44" s="97">
        <v>4892</v>
      </c>
      <c r="I44" s="97">
        <v>9107</v>
      </c>
      <c r="J44" s="97">
        <v>0</v>
      </c>
      <c r="K44" s="97">
        <v>13999</v>
      </c>
      <c r="L44" s="97">
        <v>0</v>
      </c>
      <c r="M44" s="97">
        <v>13999</v>
      </c>
      <c r="N44" s="97">
        <v>0</v>
      </c>
      <c r="O44" s="97">
        <v>13999</v>
      </c>
      <c r="P44" s="98">
        <f>O44/D44</f>
        <v>4.0777745412175941</v>
      </c>
      <c r="Q44" s="98">
        <f>H44/D44</f>
        <v>1.4249927177395865</v>
      </c>
      <c r="R44" s="98">
        <f>I44/D44</f>
        <v>2.6527818234780076</v>
      </c>
      <c r="S44" s="98">
        <f>J44/D44</f>
        <v>0</v>
      </c>
      <c r="T44" s="98">
        <f>K44/D44</f>
        <v>4.0777745412175941</v>
      </c>
      <c r="U44" s="98">
        <f>K44/E44</f>
        <v>8.0454022988505756</v>
      </c>
      <c r="V44" s="97">
        <v>742</v>
      </c>
      <c r="W44" s="96" t="s">
        <v>1648</v>
      </c>
      <c r="X44" s="96" t="s">
        <v>1651</v>
      </c>
      <c r="Y44" s="97">
        <v>876</v>
      </c>
      <c r="Z44" s="97">
        <v>672</v>
      </c>
      <c r="AA44" s="97">
        <v>941</v>
      </c>
      <c r="AB44" s="96" t="s">
        <v>1648</v>
      </c>
      <c r="AC44" s="97">
        <v>2435</v>
      </c>
      <c r="AD44" s="96" t="s">
        <v>1648</v>
      </c>
      <c r="AE44" s="96" t="s">
        <v>1649</v>
      </c>
      <c r="AF44" s="99">
        <v>0</v>
      </c>
    </row>
    <row r="45" spans="1:32" ht="15.75" thickBot="1" x14ac:dyDescent="0.3">
      <c r="A45" s="79" t="s">
        <v>114</v>
      </c>
      <c r="B45" s="93" t="s">
        <v>517</v>
      </c>
      <c r="C45" s="96" t="s">
        <v>34</v>
      </c>
      <c r="D45" s="97">
        <v>1848</v>
      </c>
      <c r="E45" s="97">
        <v>1809</v>
      </c>
      <c r="F45" s="97">
        <v>2407</v>
      </c>
      <c r="G45" s="97">
        <v>13999</v>
      </c>
      <c r="H45" s="97">
        <v>1229</v>
      </c>
      <c r="I45" s="97">
        <v>5642</v>
      </c>
      <c r="J45" s="97">
        <v>0</v>
      </c>
      <c r="K45" s="97">
        <v>6871</v>
      </c>
      <c r="L45" s="97">
        <v>0</v>
      </c>
      <c r="M45" s="97">
        <v>6871</v>
      </c>
      <c r="N45" s="97">
        <v>0</v>
      </c>
      <c r="O45" s="97">
        <v>6871</v>
      </c>
      <c r="P45" s="98">
        <f>O45/D45</f>
        <v>3.7180735930735929</v>
      </c>
      <c r="Q45" s="98">
        <f>H45/D45</f>
        <v>0.66504329004328999</v>
      </c>
      <c r="R45" s="98">
        <f>I45/D45</f>
        <v>3.0530303030303032</v>
      </c>
      <c r="S45" s="98">
        <f>J45/D45</f>
        <v>0</v>
      </c>
      <c r="T45" s="98">
        <f>K45/D45</f>
        <v>3.7180735930735929</v>
      </c>
      <c r="U45" s="98">
        <f>K45/E45</f>
        <v>3.7982310668877832</v>
      </c>
      <c r="V45" s="97">
        <v>96</v>
      </c>
      <c r="W45" s="96" t="s">
        <v>1648</v>
      </c>
      <c r="X45" s="96" t="s">
        <v>1651</v>
      </c>
      <c r="Y45" s="97">
        <v>339</v>
      </c>
      <c r="Z45" s="97">
        <v>321</v>
      </c>
      <c r="AA45" s="97">
        <v>300</v>
      </c>
      <c r="AB45" s="96" t="s">
        <v>1648</v>
      </c>
      <c r="AC45" s="97">
        <v>0</v>
      </c>
      <c r="AD45" s="96" t="s">
        <v>1649</v>
      </c>
      <c r="AE45" s="96" t="s">
        <v>1649</v>
      </c>
      <c r="AF45" s="99">
        <v>0</v>
      </c>
    </row>
    <row r="46" spans="1:32" ht="15.75" thickBot="1" x14ac:dyDescent="0.3">
      <c r="A46" s="79" t="s">
        <v>116</v>
      </c>
      <c r="B46" s="93" t="s">
        <v>533</v>
      </c>
      <c r="C46" s="79" t="s">
        <v>34</v>
      </c>
      <c r="D46" s="81">
        <v>3645</v>
      </c>
      <c r="E46" s="81">
        <v>7444</v>
      </c>
      <c r="F46" s="81">
        <v>20000</v>
      </c>
      <c r="G46" s="81">
        <v>12200</v>
      </c>
      <c r="H46" s="81">
        <v>9535</v>
      </c>
      <c r="I46" s="81">
        <v>10649</v>
      </c>
      <c r="J46" s="81">
        <v>3022</v>
      </c>
      <c r="K46" s="81">
        <v>23206</v>
      </c>
      <c r="L46" s="81">
        <v>46502</v>
      </c>
      <c r="M46" s="81">
        <v>20184</v>
      </c>
      <c r="N46" s="81">
        <v>49524</v>
      </c>
      <c r="O46" s="81">
        <v>69708</v>
      </c>
      <c r="P46" s="94">
        <f>O46/D46</f>
        <v>19.124279835390947</v>
      </c>
      <c r="Q46" s="94">
        <f>H46/D46</f>
        <v>2.6159122085048012</v>
      </c>
      <c r="R46" s="94">
        <f>I46/D46</f>
        <v>2.9215363511659809</v>
      </c>
      <c r="S46" s="94">
        <f>J46/D46</f>
        <v>0.82908093278463646</v>
      </c>
      <c r="T46" s="94">
        <f>K46/D46</f>
        <v>6.3665294924554185</v>
      </c>
      <c r="U46" s="94">
        <f>K46/E46</f>
        <v>3.117409994626545</v>
      </c>
      <c r="V46" s="81">
        <v>10800</v>
      </c>
      <c r="W46" s="79" t="s">
        <v>1648</v>
      </c>
      <c r="X46" s="79" t="s">
        <v>1650</v>
      </c>
      <c r="Y46" s="81">
        <v>1851</v>
      </c>
      <c r="Z46" s="81">
        <v>2410</v>
      </c>
      <c r="AA46" s="81">
        <v>1666</v>
      </c>
      <c r="AB46" s="79" t="s">
        <v>1648</v>
      </c>
      <c r="AC46" s="81">
        <v>9581</v>
      </c>
      <c r="AD46" s="79" t="s">
        <v>1648</v>
      </c>
      <c r="AE46" s="79" t="s">
        <v>1649</v>
      </c>
      <c r="AF46" s="95">
        <v>0</v>
      </c>
    </row>
    <row r="47" spans="1:32" ht="15.75" thickBot="1" x14ac:dyDescent="0.3">
      <c r="A47" s="79" t="s">
        <v>118</v>
      </c>
      <c r="B47" s="93" t="s">
        <v>547</v>
      </c>
      <c r="C47" s="79" t="s">
        <v>34</v>
      </c>
      <c r="D47" s="81">
        <v>3679</v>
      </c>
      <c r="E47" s="81">
        <v>1227</v>
      </c>
      <c r="F47" s="81">
        <v>9174</v>
      </c>
      <c r="G47" s="81">
        <v>5386</v>
      </c>
      <c r="H47" s="81">
        <v>3981</v>
      </c>
      <c r="I47" s="81">
        <v>10103</v>
      </c>
      <c r="J47" s="81">
        <v>2267</v>
      </c>
      <c r="K47" s="81">
        <v>16351</v>
      </c>
      <c r="L47" s="81">
        <v>20</v>
      </c>
      <c r="M47" s="81">
        <v>14084</v>
      </c>
      <c r="N47" s="81">
        <v>2287</v>
      </c>
      <c r="O47" s="81">
        <v>16371</v>
      </c>
      <c r="P47" s="94">
        <f>O47/D47</f>
        <v>4.4498505028540363</v>
      </c>
      <c r="Q47" s="94">
        <f>H47/D47</f>
        <v>1.0820875237836369</v>
      </c>
      <c r="R47" s="94">
        <f>I47/D47</f>
        <v>2.7461266648545801</v>
      </c>
      <c r="S47" s="94">
        <f>J47/D47</f>
        <v>0.6162000543625985</v>
      </c>
      <c r="T47" s="94">
        <f>K47/D47</f>
        <v>4.4444142430008151</v>
      </c>
      <c r="U47" s="94">
        <f>K47/E47</f>
        <v>13.325998370008151</v>
      </c>
      <c r="V47" s="81">
        <v>1820</v>
      </c>
      <c r="W47" s="79" t="s">
        <v>1649</v>
      </c>
      <c r="X47" s="79" t="s">
        <v>1650</v>
      </c>
      <c r="Y47" s="81">
        <v>892</v>
      </c>
      <c r="Z47" s="81">
        <v>1650</v>
      </c>
      <c r="AA47" s="81">
        <v>3035</v>
      </c>
      <c r="AB47" s="79" t="s">
        <v>1648</v>
      </c>
      <c r="AC47" s="81">
        <v>1600</v>
      </c>
      <c r="AD47" s="79" t="s">
        <v>1648</v>
      </c>
      <c r="AE47" s="79" t="s">
        <v>1649</v>
      </c>
      <c r="AF47" s="77">
        <v>0</v>
      </c>
    </row>
    <row r="48" spans="1:32" ht="15.75" thickBot="1" x14ac:dyDescent="0.3">
      <c r="A48" s="79" t="s">
        <v>120</v>
      </c>
      <c r="B48" s="93" t="s">
        <v>551</v>
      </c>
      <c r="C48" s="96" t="s">
        <v>34</v>
      </c>
      <c r="D48" s="97">
        <v>1830</v>
      </c>
      <c r="E48" s="97">
        <v>682</v>
      </c>
      <c r="F48" s="97">
        <v>1300</v>
      </c>
      <c r="G48" s="97">
        <v>0</v>
      </c>
      <c r="H48" s="97">
        <v>1567</v>
      </c>
      <c r="I48" s="97">
        <v>388</v>
      </c>
      <c r="J48" s="97">
        <v>0</v>
      </c>
      <c r="K48" s="97">
        <v>1955</v>
      </c>
      <c r="L48" s="97">
        <v>0</v>
      </c>
      <c r="M48" s="97">
        <v>1955</v>
      </c>
      <c r="N48" s="97">
        <v>0</v>
      </c>
      <c r="O48" s="97">
        <v>1955</v>
      </c>
      <c r="P48" s="98">
        <f>O48/D48</f>
        <v>1.0683060109289617</v>
      </c>
      <c r="Q48" s="98">
        <f>H48/D48</f>
        <v>0.85628415300546445</v>
      </c>
      <c r="R48" s="98">
        <f>I48/D48</f>
        <v>0.21202185792349726</v>
      </c>
      <c r="S48" s="98">
        <f>J48/D48</f>
        <v>0</v>
      </c>
      <c r="T48" s="98">
        <f>K48/D48</f>
        <v>1.0683060109289617</v>
      </c>
      <c r="U48" s="98">
        <f>K48/E48</f>
        <v>2.8665689149560118</v>
      </c>
      <c r="V48" s="97">
        <v>40</v>
      </c>
      <c r="W48" s="96" t="s">
        <v>1649</v>
      </c>
      <c r="X48" s="96" t="s">
        <v>1650</v>
      </c>
      <c r="Y48" s="97">
        <v>0</v>
      </c>
      <c r="Z48" s="97">
        <v>0</v>
      </c>
      <c r="AA48" s="97">
        <v>23</v>
      </c>
      <c r="AB48" s="96" t="s">
        <v>1648</v>
      </c>
      <c r="AC48" s="97">
        <v>0</v>
      </c>
      <c r="AD48" s="96" t="s">
        <v>1648</v>
      </c>
      <c r="AE48" s="96" t="s">
        <v>1649</v>
      </c>
      <c r="AF48" s="99">
        <v>0</v>
      </c>
    </row>
    <row r="49" spans="1:32" ht="15.75" thickBot="1" x14ac:dyDescent="0.3">
      <c r="A49" s="79" t="s">
        <v>122</v>
      </c>
      <c r="B49" s="93" t="s">
        <v>573</v>
      </c>
      <c r="C49" s="79" t="s">
        <v>34</v>
      </c>
      <c r="D49" s="81">
        <v>1939</v>
      </c>
      <c r="E49" s="81">
        <v>1816</v>
      </c>
      <c r="F49" s="81">
        <v>18746</v>
      </c>
      <c r="G49" s="81">
        <v>16123</v>
      </c>
      <c r="H49" s="81">
        <v>5286</v>
      </c>
      <c r="I49" s="81">
        <v>14078</v>
      </c>
      <c r="J49" s="81">
        <v>8550</v>
      </c>
      <c r="K49" s="81">
        <v>27914</v>
      </c>
      <c r="L49" s="81">
        <v>3000</v>
      </c>
      <c r="M49" s="81">
        <v>19364</v>
      </c>
      <c r="N49" s="81">
        <v>11550</v>
      </c>
      <c r="O49" s="81">
        <v>30914</v>
      </c>
      <c r="P49" s="94">
        <f>O49/D49</f>
        <v>15.943269726663228</v>
      </c>
      <c r="Q49" s="94">
        <f>H49/D49</f>
        <v>2.7261474987106755</v>
      </c>
      <c r="R49" s="94">
        <f>I49/D49</f>
        <v>7.2604435275915424</v>
      </c>
      <c r="S49" s="94">
        <f>J49/D49</f>
        <v>4.4094894275399694</v>
      </c>
      <c r="T49" s="94">
        <f>K49/D49</f>
        <v>14.396080453842186</v>
      </c>
      <c r="U49" s="94">
        <f>K49/E49</f>
        <v>15.371145374449339</v>
      </c>
      <c r="V49" s="81">
        <v>382</v>
      </c>
      <c r="W49" s="79" t="s">
        <v>1648</v>
      </c>
      <c r="X49" s="79" t="s">
        <v>1650</v>
      </c>
      <c r="Y49" s="81">
        <v>1281</v>
      </c>
      <c r="Z49" s="81">
        <v>1901</v>
      </c>
      <c r="AA49" s="81">
        <v>2149</v>
      </c>
      <c r="AB49" s="79" t="s">
        <v>1648</v>
      </c>
      <c r="AC49" s="81">
        <v>6843</v>
      </c>
      <c r="AD49" s="79" t="s">
        <v>1648</v>
      </c>
      <c r="AE49" s="79" t="s">
        <v>1649</v>
      </c>
      <c r="AF49" s="95">
        <v>0</v>
      </c>
    </row>
    <row r="50" spans="1:32" ht="15.75" thickBot="1" x14ac:dyDescent="0.3">
      <c r="A50" s="79" t="s">
        <v>124</v>
      </c>
      <c r="B50" s="93" t="s">
        <v>611</v>
      </c>
      <c r="C50" s="79" t="s">
        <v>34</v>
      </c>
      <c r="D50" s="81">
        <v>3739</v>
      </c>
      <c r="E50" s="81">
        <v>1081</v>
      </c>
      <c r="F50" s="81">
        <v>6900</v>
      </c>
      <c r="G50" s="81">
        <v>7080</v>
      </c>
      <c r="H50" s="81">
        <v>3582</v>
      </c>
      <c r="I50" s="81">
        <v>9774</v>
      </c>
      <c r="J50" s="81">
        <v>1800</v>
      </c>
      <c r="K50" s="81">
        <v>15156</v>
      </c>
      <c r="L50" s="81">
        <v>340</v>
      </c>
      <c r="M50" s="81">
        <v>13356</v>
      </c>
      <c r="N50" s="81">
        <v>2140</v>
      </c>
      <c r="O50" s="81">
        <v>15496</v>
      </c>
      <c r="P50" s="94">
        <f>O50/D50</f>
        <v>4.1444236426852097</v>
      </c>
      <c r="Q50" s="94">
        <f>H50/D50</f>
        <v>0.95801016314522602</v>
      </c>
      <c r="R50" s="94">
        <f>I50/D50</f>
        <v>2.6140679326023002</v>
      </c>
      <c r="S50" s="94">
        <f>J50/D50</f>
        <v>0.48141214228403317</v>
      </c>
      <c r="T50" s="94">
        <f>K50/D50</f>
        <v>4.0534902380315589</v>
      </c>
      <c r="U50" s="94">
        <f>K50/E50</f>
        <v>14.020351526364477</v>
      </c>
      <c r="V50" s="81">
        <v>1270</v>
      </c>
      <c r="W50" s="79" t="s">
        <v>1648</v>
      </c>
      <c r="X50" s="79" t="s">
        <v>1651</v>
      </c>
      <c r="Y50" s="81">
        <v>2529</v>
      </c>
      <c r="Z50" s="81">
        <v>3273</v>
      </c>
      <c r="AA50" s="81">
        <v>540</v>
      </c>
      <c r="AB50" s="79" t="s">
        <v>1648</v>
      </c>
      <c r="AC50" s="81">
        <v>2969</v>
      </c>
      <c r="AD50" s="79" t="s">
        <v>1649</v>
      </c>
      <c r="AE50" s="79" t="s">
        <v>1649</v>
      </c>
      <c r="AF50" s="95">
        <v>0</v>
      </c>
    </row>
    <row r="51" spans="1:32" ht="15.75" thickBot="1" x14ac:dyDescent="0.3">
      <c r="A51" s="79" t="s">
        <v>126</v>
      </c>
      <c r="B51" s="93" t="s">
        <v>621</v>
      </c>
      <c r="C51" s="96" t="s">
        <v>34</v>
      </c>
      <c r="D51" s="97">
        <v>1508</v>
      </c>
      <c r="E51" s="97">
        <v>190</v>
      </c>
      <c r="F51" s="97">
        <v>2706</v>
      </c>
      <c r="G51" s="97">
        <v>0</v>
      </c>
      <c r="H51" s="97">
        <v>1199</v>
      </c>
      <c r="I51" s="97">
        <v>558</v>
      </c>
      <c r="J51" s="97">
        <v>0</v>
      </c>
      <c r="K51" s="97">
        <v>1757</v>
      </c>
      <c r="L51" s="97">
        <v>0</v>
      </c>
      <c r="M51" s="97">
        <v>1757</v>
      </c>
      <c r="N51" s="97">
        <v>0</v>
      </c>
      <c r="O51" s="97">
        <v>1757</v>
      </c>
      <c r="P51" s="98">
        <f>O51/D51</f>
        <v>1.1651193633952255</v>
      </c>
      <c r="Q51" s="98">
        <f>H51/D51</f>
        <v>0.79509283819628651</v>
      </c>
      <c r="R51" s="98">
        <f>I51/D51</f>
        <v>0.37002652519893897</v>
      </c>
      <c r="S51" s="98">
        <f>J51/D51</f>
        <v>0</v>
      </c>
      <c r="T51" s="98">
        <f>K51/D51</f>
        <v>1.1651193633952255</v>
      </c>
      <c r="U51" s="98">
        <f>K51/E51</f>
        <v>9.2473684210526308</v>
      </c>
      <c r="V51" s="97">
        <v>4</v>
      </c>
      <c r="W51" s="96" t="s">
        <v>1649</v>
      </c>
      <c r="X51" s="96" t="s">
        <v>1651</v>
      </c>
      <c r="Y51" s="97">
        <v>0</v>
      </c>
      <c r="Z51" s="97">
        <v>0</v>
      </c>
      <c r="AA51" s="97">
        <v>231</v>
      </c>
      <c r="AB51" s="96" t="s">
        <v>1648</v>
      </c>
      <c r="AC51" s="97">
        <v>157</v>
      </c>
      <c r="AD51" s="96" t="s">
        <v>1649</v>
      </c>
      <c r="AE51" s="96" t="s">
        <v>1649</v>
      </c>
      <c r="AF51" s="99">
        <v>0</v>
      </c>
    </row>
    <row r="52" spans="1:32" ht="15.75" thickBot="1" x14ac:dyDescent="0.3">
      <c r="A52" s="79" t="s">
        <v>128</v>
      </c>
      <c r="B52" s="93" t="s">
        <v>623</v>
      </c>
      <c r="C52" s="79" t="s">
        <v>34</v>
      </c>
      <c r="D52" s="81">
        <v>3731</v>
      </c>
      <c r="E52" s="81">
        <v>3174</v>
      </c>
      <c r="F52" s="81">
        <v>10966</v>
      </c>
      <c r="G52" s="81">
        <v>2411</v>
      </c>
      <c r="H52" s="81">
        <v>1214</v>
      </c>
      <c r="I52" s="81">
        <v>10766</v>
      </c>
      <c r="J52" s="81">
        <v>2</v>
      </c>
      <c r="K52" s="81">
        <v>11982</v>
      </c>
      <c r="L52" s="81">
        <v>0</v>
      </c>
      <c r="M52" s="81">
        <v>11980</v>
      </c>
      <c r="N52" s="81">
        <v>2</v>
      </c>
      <c r="O52" s="81">
        <v>11982</v>
      </c>
      <c r="P52" s="94">
        <f>O52/D52</f>
        <v>3.2114714553738946</v>
      </c>
      <c r="Q52" s="94">
        <f>H52/D52</f>
        <v>0.32538193513803271</v>
      </c>
      <c r="R52" s="94">
        <f>I52/D52</f>
        <v>2.8855534709193247</v>
      </c>
      <c r="S52" s="94">
        <f>J52/D52</f>
        <v>5.3604931653712141E-4</v>
      </c>
      <c r="T52" s="94">
        <f>K52/D52</f>
        <v>3.2114714553738946</v>
      </c>
      <c r="U52" s="94">
        <f>K52/E52</f>
        <v>3.7750472589792059</v>
      </c>
      <c r="V52" s="81">
        <v>-1</v>
      </c>
      <c r="W52" s="79" t="s">
        <v>1648</v>
      </c>
      <c r="X52" s="79" t="s">
        <v>1650</v>
      </c>
      <c r="Y52" s="81">
        <v>424</v>
      </c>
      <c r="Z52" s="81">
        <v>1336</v>
      </c>
      <c r="AA52" s="81">
        <v>1775</v>
      </c>
      <c r="AB52" s="79" t="s">
        <v>1648</v>
      </c>
      <c r="AC52" s="81">
        <v>900</v>
      </c>
      <c r="AD52" s="79" t="s">
        <v>1649</v>
      </c>
      <c r="AE52" s="79" t="s">
        <v>1649</v>
      </c>
      <c r="AF52" s="95">
        <v>0</v>
      </c>
    </row>
    <row r="53" spans="1:32" ht="15.75" thickBot="1" x14ac:dyDescent="0.3">
      <c r="A53" s="79" t="s">
        <v>130</v>
      </c>
      <c r="B53" s="93" t="s">
        <v>627</v>
      </c>
      <c r="C53" s="79" t="s">
        <v>34</v>
      </c>
      <c r="D53" s="81">
        <v>3674</v>
      </c>
      <c r="E53" s="81">
        <v>2934</v>
      </c>
      <c r="F53" s="81">
        <v>12498</v>
      </c>
      <c r="G53" s="81">
        <v>643</v>
      </c>
      <c r="H53" s="81">
        <v>1393</v>
      </c>
      <c r="I53" s="81">
        <v>5887</v>
      </c>
      <c r="J53" s="81">
        <v>333</v>
      </c>
      <c r="K53" s="81">
        <v>7613</v>
      </c>
      <c r="L53" s="81">
        <v>0</v>
      </c>
      <c r="M53" s="81">
        <v>7280</v>
      </c>
      <c r="N53" s="81">
        <v>333</v>
      </c>
      <c r="O53" s="81">
        <v>7613</v>
      </c>
      <c r="P53" s="94">
        <f>O53/D53</f>
        <v>2.0721284703320633</v>
      </c>
      <c r="Q53" s="94">
        <f>H53/D53</f>
        <v>0.37915078933043006</v>
      </c>
      <c r="R53" s="94">
        <f>I53/D53</f>
        <v>1.6023407729994557</v>
      </c>
      <c r="S53" s="94">
        <f>J53/D53</f>
        <v>9.0636908002177469E-2</v>
      </c>
      <c r="T53" s="94">
        <f>K53/D53</f>
        <v>2.0721284703320633</v>
      </c>
      <c r="U53" s="94">
        <f>K53/E53</f>
        <v>2.5947511929107021</v>
      </c>
      <c r="V53" s="81">
        <v>464</v>
      </c>
      <c r="W53" s="79" t="s">
        <v>1648</v>
      </c>
      <c r="X53" s="79" t="s">
        <v>1651</v>
      </c>
      <c r="Y53" s="81">
        <v>438</v>
      </c>
      <c r="Z53" s="81">
        <v>653</v>
      </c>
      <c r="AA53" s="81">
        <v>1464</v>
      </c>
      <c r="AB53" s="79" t="s">
        <v>1648</v>
      </c>
      <c r="AC53" s="81">
        <v>643</v>
      </c>
      <c r="AD53" s="79" t="s">
        <v>1648</v>
      </c>
      <c r="AE53" s="79" t="s">
        <v>1648</v>
      </c>
      <c r="AF53" s="81">
        <v>0</v>
      </c>
    </row>
    <row r="54" spans="1:32" ht="15.75" thickBot="1" x14ac:dyDescent="0.3">
      <c r="A54" s="96" t="s">
        <v>132</v>
      </c>
      <c r="B54" s="93" t="s">
        <v>629</v>
      </c>
      <c r="C54" s="79" t="s">
        <v>34</v>
      </c>
      <c r="D54" s="81">
        <v>882</v>
      </c>
      <c r="E54" s="81">
        <v>391</v>
      </c>
      <c r="F54" s="81">
        <v>3973</v>
      </c>
      <c r="G54" s="81">
        <v>465</v>
      </c>
      <c r="H54" s="81">
        <v>539</v>
      </c>
      <c r="I54" s="81">
        <v>1192</v>
      </c>
      <c r="J54" s="81">
        <v>247</v>
      </c>
      <c r="K54" s="81">
        <v>1978</v>
      </c>
      <c r="L54" s="81">
        <v>0</v>
      </c>
      <c r="M54" s="81">
        <v>1731</v>
      </c>
      <c r="N54" s="81">
        <v>247</v>
      </c>
      <c r="O54" s="81">
        <v>1978</v>
      </c>
      <c r="P54" s="94">
        <f>O54/D54</f>
        <v>2.2426303854875282</v>
      </c>
      <c r="Q54" s="94">
        <f>H54/D54</f>
        <v>0.61111111111111116</v>
      </c>
      <c r="R54" s="94">
        <f>I54/D54</f>
        <v>1.3514739229024944</v>
      </c>
      <c r="S54" s="94">
        <f>J54/D54</f>
        <v>0.2800453514739229</v>
      </c>
      <c r="T54" s="94">
        <f>K54/D54</f>
        <v>2.2426303854875282</v>
      </c>
      <c r="U54" s="94">
        <f>K54/E54</f>
        <v>5.0588235294117645</v>
      </c>
      <c r="V54" s="81">
        <v>378</v>
      </c>
      <c r="W54" s="79" t="s">
        <v>1648</v>
      </c>
      <c r="X54" s="79" t="s">
        <v>1651</v>
      </c>
      <c r="Y54" s="81">
        <v>0</v>
      </c>
      <c r="Z54" s="81">
        <v>0</v>
      </c>
      <c r="AA54" s="81">
        <v>2321</v>
      </c>
      <c r="AB54" s="79" t="s">
        <v>1648</v>
      </c>
      <c r="AC54" s="81">
        <v>464</v>
      </c>
      <c r="AD54" s="79" t="s">
        <v>1648</v>
      </c>
      <c r="AE54" s="79" t="s">
        <v>1649</v>
      </c>
      <c r="AF54" s="95">
        <v>0</v>
      </c>
    </row>
    <row r="55" spans="1:32" ht="15.75" thickBot="1" x14ac:dyDescent="0.3">
      <c r="A55" s="79" t="s">
        <v>134</v>
      </c>
      <c r="B55" s="93" t="s">
        <v>673</v>
      </c>
      <c r="C55" s="79" t="s">
        <v>34</v>
      </c>
      <c r="D55" s="81">
        <v>3775</v>
      </c>
      <c r="E55" s="81">
        <v>1283</v>
      </c>
      <c r="F55" s="81">
        <v>11191</v>
      </c>
      <c r="G55" s="81">
        <v>25672</v>
      </c>
      <c r="H55" s="81">
        <v>10389</v>
      </c>
      <c r="I55" s="81">
        <v>7858</v>
      </c>
      <c r="J55" s="81">
        <v>744</v>
      </c>
      <c r="K55" s="81">
        <v>18991</v>
      </c>
      <c r="L55" s="81">
        <v>873</v>
      </c>
      <c r="M55" s="81">
        <v>18247</v>
      </c>
      <c r="N55" s="81">
        <v>1617</v>
      </c>
      <c r="O55" s="81">
        <v>19864</v>
      </c>
      <c r="P55" s="94">
        <f>O55/D55</f>
        <v>5.2619867549668875</v>
      </c>
      <c r="Q55" s="94">
        <f>H55/D55</f>
        <v>2.7520529801324503</v>
      </c>
      <c r="R55" s="94">
        <f>I55/D55</f>
        <v>2.0815894039735099</v>
      </c>
      <c r="S55" s="94">
        <f>J55/D55</f>
        <v>0.19708609271523178</v>
      </c>
      <c r="T55" s="94">
        <f>K55/D55</f>
        <v>5.0307284768211922</v>
      </c>
      <c r="U55" s="94">
        <f>K55/E55</f>
        <v>14.802026500389712</v>
      </c>
      <c r="V55" s="81">
        <v>791</v>
      </c>
      <c r="W55" s="79" t="s">
        <v>1648</v>
      </c>
      <c r="X55" s="79" t="s">
        <v>1650</v>
      </c>
      <c r="Y55" s="81">
        <v>934</v>
      </c>
      <c r="Z55" s="81">
        <v>2260</v>
      </c>
      <c r="AA55" s="81">
        <v>873</v>
      </c>
      <c r="AB55" s="79" t="s">
        <v>1648</v>
      </c>
      <c r="AC55" s="81">
        <v>610</v>
      </c>
      <c r="AD55" s="79" t="s">
        <v>1648</v>
      </c>
      <c r="AE55" s="79" t="s">
        <v>1648</v>
      </c>
      <c r="AF55" s="81">
        <v>3</v>
      </c>
    </row>
    <row r="56" spans="1:32" ht="15.75" thickBot="1" x14ac:dyDescent="0.3">
      <c r="A56" s="79" t="s">
        <v>136</v>
      </c>
      <c r="B56" s="93" t="s">
        <v>679</v>
      </c>
      <c r="C56" s="79" t="s">
        <v>34</v>
      </c>
      <c r="D56" s="81">
        <v>3138</v>
      </c>
      <c r="E56" s="81">
        <v>866</v>
      </c>
      <c r="F56" s="81">
        <v>5493</v>
      </c>
      <c r="G56" s="81">
        <v>4328</v>
      </c>
      <c r="H56" s="81">
        <v>1078</v>
      </c>
      <c r="I56" s="81">
        <v>3453</v>
      </c>
      <c r="J56" s="81">
        <v>325</v>
      </c>
      <c r="K56" s="81">
        <v>4856</v>
      </c>
      <c r="L56" s="81">
        <v>30</v>
      </c>
      <c r="M56" s="81">
        <v>4531</v>
      </c>
      <c r="N56" s="81">
        <v>355</v>
      </c>
      <c r="O56" s="81">
        <v>4886</v>
      </c>
      <c r="P56" s="94">
        <f>O56/D56</f>
        <v>1.5570427023581899</v>
      </c>
      <c r="Q56" s="94">
        <f>H56/D56</f>
        <v>0.34353091140854047</v>
      </c>
      <c r="R56" s="94">
        <f>I56/D56</f>
        <v>1.1003824091778203</v>
      </c>
      <c r="S56" s="94">
        <f>J56/D56</f>
        <v>0.10356915232632249</v>
      </c>
      <c r="T56" s="94">
        <f>K56/D56</f>
        <v>1.5474824729126833</v>
      </c>
      <c r="U56" s="94">
        <f>K56/E56</f>
        <v>5.6073903002309473</v>
      </c>
      <c r="V56" s="81">
        <v>3800</v>
      </c>
      <c r="W56" s="79" t="s">
        <v>1648</v>
      </c>
      <c r="X56" s="79" t="s">
        <v>1650</v>
      </c>
      <c r="Y56" s="81">
        <v>128</v>
      </c>
      <c r="Z56" s="81">
        <v>196</v>
      </c>
      <c r="AA56" s="81">
        <v>940</v>
      </c>
      <c r="AB56" s="79" t="s">
        <v>1648</v>
      </c>
      <c r="AC56" s="81">
        <v>2936</v>
      </c>
      <c r="AD56" s="79" t="s">
        <v>1648</v>
      </c>
      <c r="AE56" s="79" t="s">
        <v>1648</v>
      </c>
      <c r="AF56" s="81">
        <v>11</v>
      </c>
    </row>
    <row r="57" spans="1:32" ht="15.75" thickBot="1" x14ac:dyDescent="0.3">
      <c r="A57" s="79" t="s">
        <v>138</v>
      </c>
      <c r="B57" s="93" t="s">
        <v>689</v>
      </c>
      <c r="C57" s="79" t="s">
        <v>34</v>
      </c>
      <c r="D57" s="81">
        <v>3428</v>
      </c>
      <c r="E57" s="81">
        <v>1579</v>
      </c>
      <c r="F57" s="81">
        <v>7962</v>
      </c>
      <c r="G57" s="81">
        <v>2916</v>
      </c>
      <c r="H57" s="81">
        <v>3823</v>
      </c>
      <c r="I57" s="81">
        <v>10783</v>
      </c>
      <c r="J57" s="81">
        <v>1052</v>
      </c>
      <c r="K57" s="81">
        <v>15658</v>
      </c>
      <c r="L57" s="81">
        <v>184</v>
      </c>
      <c r="M57" s="81">
        <v>14606</v>
      </c>
      <c r="N57" s="81">
        <v>1236</v>
      </c>
      <c r="O57" s="81">
        <v>15842</v>
      </c>
      <c r="P57" s="94">
        <f>O57/D57</f>
        <v>4.6213535589264874</v>
      </c>
      <c r="Q57" s="94">
        <f>H57/D57</f>
        <v>1.1152275379229872</v>
      </c>
      <c r="R57" s="94">
        <f>I57/D57</f>
        <v>3.1455659276546091</v>
      </c>
      <c r="S57" s="94">
        <f>J57/D57</f>
        <v>0.30688448074679114</v>
      </c>
      <c r="T57" s="94">
        <f>K57/D57</f>
        <v>4.5676779463243875</v>
      </c>
      <c r="U57" s="94">
        <f>K57/E57</f>
        <v>9.91640278657378</v>
      </c>
      <c r="V57" s="81">
        <v>765</v>
      </c>
      <c r="W57" s="79" t="s">
        <v>1648</v>
      </c>
      <c r="X57" s="79" t="s">
        <v>1650</v>
      </c>
      <c r="Y57" s="81">
        <v>249</v>
      </c>
      <c r="Z57" s="81">
        <v>436</v>
      </c>
      <c r="AA57" s="81">
        <v>1467</v>
      </c>
      <c r="AB57" s="79" t="s">
        <v>1648</v>
      </c>
      <c r="AC57" s="81">
        <v>1264</v>
      </c>
      <c r="AD57" s="79" t="s">
        <v>1648</v>
      </c>
      <c r="AE57" s="79" t="s">
        <v>1649</v>
      </c>
      <c r="AF57" s="95">
        <v>0</v>
      </c>
    </row>
    <row r="58" spans="1:32" ht="15.75" thickBot="1" x14ac:dyDescent="0.3">
      <c r="A58" s="79" t="s">
        <v>140</v>
      </c>
      <c r="B58" s="93" t="s">
        <v>691</v>
      </c>
      <c r="C58" s="96" t="s">
        <v>34</v>
      </c>
      <c r="D58" s="97">
        <v>1932</v>
      </c>
      <c r="E58" s="97">
        <v>655</v>
      </c>
      <c r="F58" s="97">
        <v>2742</v>
      </c>
      <c r="G58" s="97">
        <v>4073</v>
      </c>
      <c r="H58" s="97">
        <v>1781</v>
      </c>
      <c r="I58" s="97">
        <v>4483</v>
      </c>
      <c r="J58" s="97">
        <v>0</v>
      </c>
      <c r="K58" s="97">
        <v>6264</v>
      </c>
      <c r="L58" s="97">
        <v>0</v>
      </c>
      <c r="M58" s="97">
        <v>6264</v>
      </c>
      <c r="N58" s="97">
        <v>0</v>
      </c>
      <c r="O58" s="97">
        <v>6264</v>
      </c>
      <c r="P58" s="98">
        <f>O58/D58</f>
        <v>3.2422360248447206</v>
      </c>
      <c r="Q58" s="98">
        <f>H58/D58</f>
        <v>0.92184265010351962</v>
      </c>
      <c r="R58" s="98">
        <f>I58/D58</f>
        <v>2.3203933747412009</v>
      </c>
      <c r="S58" s="98">
        <f>J58/D58</f>
        <v>0</v>
      </c>
      <c r="T58" s="98">
        <f>K58/D58</f>
        <v>3.2422360248447206</v>
      </c>
      <c r="U58" s="98">
        <f>K58/E58</f>
        <v>9.563358778625954</v>
      </c>
      <c r="V58" s="97">
        <v>101</v>
      </c>
      <c r="W58" s="96" t="s">
        <v>1649</v>
      </c>
      <c r="X58" s="96" t="s">
        <v>1650</v>
      </c>
      <c r="Y58" s="97">
        <v>502</v>
      </c>
      <c r="Z58" s="97">
        <v>393</v>
      </c>
      <c r="AA58" s="97">
        <v>289</v>
      </c>
      <c r="AB58" s="96" t="s">
        <v>1648</v>
      </c>
      <c r="AC58" s="97">
        <v>474</v>
      </c>
      <c r="AD58" s="96" t="s">
        <v>1649</v>
      </c>
      <c r="AE58" s="96" t="s">
        <v>1649</v>
      </c>
      <c r="AF58" s="99">
        <v>0</v>
      </c>
    </row>
    <row r="59" spans="1:32" ht="15.75" thickBot="1" x14ac:dyDescent="0.3">
      <c r="A59" s="79" t="s">
        <v>142</v>
      </c>
      <c r="B59" s="93" t="s">
        <v>713</v>
      </c>
      <c r="C59" s="79" t="s">
        <v>34</v>
      </c>
      <c r="D59" s="81">
        <v>2387</v>
      </c>
      <c r="E59" s="81">
        <v>1280</v>
      </c>
      <c r="F59" s="81">
        <v>9540</v>
      </c>
      <c r="G59" s="81">
        <v>2069</v>
      </c>
      <c r="H59" s="81">
        <v>3354</v>
      </c>
      <c r="I59" s="81">
        <v>7568</v>
      </c>
      <c r="J59" s="81">
        <v>588</v>
      </c>
      <c r="K59" s="81">
        <v>11510</v>
      </c>
      <c r="L59" s="81">
        <v>0</v>
      </c>
      <c r="M59" s="81">
        <v>10922</v>
      </c>
      <c r="N59" s="81">
        <v>588</v>
      </c>
      <c r="O59" s="81">
        <v>11510</v>
      </c>
      <c r="P59" s="94">
        <f>O59/D59</f>
        <v>4.8219522413070797</v>
      </c>
      <c r="Q59" s="94">
        <f>H59/D59</f>
        <v>1.4051110180142439</v>
      </c>
      <c r="R59" s="94">
        <f>I59/D59</f>
        <v>3.1705069124423964</v>
      </c>
      <c r="S59" s="94">
        <f>J59/D59</f>
        <v>0.24633431085043989</v>
      </c>
      <c r="T59" s="94">
        <f>K59/D59</f>
        <v>4.8219522413070797</v>
      </c>
      <c r="U59" s="94">
        <f>K59/E59</f>
        <v>8.9921875</v>
      </c>
      <c r="V59" s="81">
        <v>1095</v>
      </c>
      <c r="W59" s="79" t="s">
        <v>1648</v>
      </c>
      <c r="X59" s="79" t="s">
        <v>1650</v>
      </c>
      <c r="Y59" s="81">
        <v>642</v>
      </c>
      <c r="Z59" s="81">
        <v>1414</v>
      </c>
      <c r="AA59" s="81">
        <v>500</v>
      </c>
      <c r="AB59" s="79" t="s">
        <v>1648</v>
      </c>
      <c r="AC59" s="81">
        <v>156</v>
      </c>
      <c r="AD59" s="79" t="s">
        <v>1648</v>
      </c>
      <c r="AE59" s="79" t="s">
        <v>1649</v>
      </c>
      <c r="AF59" s="95">
        <v>0</v>
      </c>
    </row>
    <row r="60" spans="1:32" ht="15.75" thickBot="1" x14ac:dyDescent="0.3">
      <c r="A60" s="79" t="s">
        <v>144</v>
      </c>
      <c r="B60" s="93" t="s">
        <v>731</v>
      </c>
      <c r="C60" s="79" t="s">
        <v>34</v>
      </c>
      <c r="D60" s="81">
        <v>1873</v>
      </c>
      <c r="E60" s="81">
        <v>1276</v>
      </c>
      <c r="F60" s="81">
        <v>6190</v>
      </c>
      <c r="G60" s="81">
        <v>1712</v>
      </c>
      <c r="H60" s="81">
        <v>584</v>
      </c>
      <c r="I60" s="81">
        <v>3611</v>
      </c>
      <c r="J60" s="81">
        <v>650</v>
      </c>
      <c r="K60" s="81">
        <v>4845</v>
      </c>
      <c r="L60" s="81">
        <v>425</v>
      </c>
      <c r="M60" s="81">
        <v>4195</v>
      </c>
      <c r="N60" s="81">
        <v>1075</v>
      </c>
      <c r="O60" s="81">
        <v>5270</v>
      </c>
      <c r="P60" s="94">
        <f>O60/D60</f>
        <v>2.8136679124399357</v>
      </c>
      <c r="Q60" s="94">
        <f>H60/D60</f>
        <v>0.31179925253603846</v>
      </c>
      <c r="R60" s="94">
        <f>I60/D60</f>
        <v>1.9279231179925254</v>
      </c>
      <c r="S60" s="94">
        <f>J60/D60</f>
        <v>0.34703683929524826</v>
      </c>
      <c r="T60" s="94">
        <f>K60/D60</f>
        <v>2.5867592098238119</v>
      </c>
      <c r="U60" s="94">
        <f>K60/E60</f>
        <v>3.7970219435736676</v>
      </c>
      <c r="V60" s="81">
        <v>310</v>
      </c>
      <c r="W60" s="79" t="s">
        <v>1649</v>
      </c>
      <c r="X60" s="79" t="s">
        <v>1650</v>
      </c>
      <c r="Y60" s="81">
        <v>396</v>
      </c>
      <c r="Z60" s="81">
        <v>714</v>
      </c>
      <c r="AA60" s="81">
        <v>483</v>
      </c>
      <c r="AB60" s="79" t="s">
        <v>1648</v>
      </c>
      <c r="AC60" s="81">
        <v>1900</v>
      </c>
      <c r="AD60" s="79" t="s">
        <v>1649</v>
      </c>
      <c r="AE60" s="79" t="s">
        <v>1649</v>
      </c>
      <c r="AF60" s="95">
        <v>0</v>
      </c>
    </row>
    <row r="61" spans="1:32" ht="15.75" thickBot="1" x14ac:dyDescent="0.3">
      <c r="A61" s="79" t="s">
        <v>146</v>
      </c>
      <c r="B61" s="93" t="s">
        <v>749</v>
      </c>
      <c r="C61" s="79" t="s">
        <v>34</v>
      </c>
      <c r="D61" s="81">
        <v>2294</v>
      </c>
      <c r="E61" s="81">
        <v>889</v>
      </c>
      <c r="F61" s="81">
        <v>4250</v>
      </c>
      <c r="G61" s="81">
        <v>225</v>
      </c>
      <c r="H61" s="81">
        <v>690</v>
      </c>
      <c r="I61" s="81">
        <v>3162</v>
      </c>
      <c r="J61" s="81">
        <v>1409</v>
      </c>
      <c r="K61" s="81">
        <v>5261</v>
      </c>
      <c r="L61" s="81">
        <v>0</v>
      </c>
      <c r="M61" s="81">
        <v>3852</v>
      </c>
      <c r="N61" s="81">
        <v>1409</v>
      </c>
      <c r="O61" s="81">
        <v>5261</v>
      </c>
      <c r="P61" s="94">
        <f>O61/D61</f>
        <v>2.293374019180471</v>
      </c>
      <c r="Q61" s="94">
        <f>H61/D61</f>
        <v>0.30078465562336532</v>
      </c>
      <c r="R61" s="94">
        <f>I61/D61</f>
        <v>1.3783783783783783</v>
      </c>
      <c r="S61" s="94">
        <f>J61/D61</f>
        <v>0.61421098517872708</v>
      </c>
      <c r="T61" s="94">
        <f>K61/D61</f>
        <v>2.293374019180471</v>
      </c>
      <c r="U61" s="94">
        <f>K61/E61</f>
        <v>5.9178852643419573</v>
      </c>
      <c r="V61" s="81">
        <v>270</v>
      </c>
      <c r="W61" s="79" t="s">
        <v>1649</v>
      </c>
      <c r="X61" s="79" t="s">
        <v>1650</v>
      </c>
      <c r="Y61" s="81">
        <v>0</v>
      </c>
      <c r="Z61" s="81">
        <v>52</v>
      </c>
      <c r="AA61" s="81">
        <v>1400</v>
      </c>
      <c r="AB61" s="79" t="s">
        <v>1648</v>
      </c>
      <c r="AC61" s="81">
        <v>1350</v>
      </c>
      <c r="AD61" s="79" t="s">
        <v>1649</v>
      </c>
      <c r="AE61" s="79" t="s">
        <v>1649</v>
      </c>
      <c r="AF61" s="95">
        <v>0</v>
      </c>
    </row>
    <row r="62" spans="1:32" ht="15.75" thickBot="1" x14ac:dyDescent="0.3">
      <c r="A62" s="79" t="s">
        <v>148</v>
      </c>
      <c r="B62" s="93" t="s">
        <v>761</v>
      </c>
      <c r="C62" s="79" t="s">
        <v>34</v>
      </c>
      <c r="D62" s="81">
        <v>3895</v>
      </c>
      <c r="E62" s="81">
        <v>2565</v>
      </c>
      <c r="F62" s="81">
        <v>8963</v>
      </c>
      <c r="G62" s="81">
        <v>2300</v>
      </c>
      <c r="H62" s="81">
        <v>2298</v>
      </c>
      <c r="I62" s="81">
        <v>6121</v>
      </c>
      <c r="J62" s="81">
        <v>1144</v>
      </c>
      <c r="K62" s="81">
        <v>9563</v>
      </c>
      <c r="L62" s="81">
        <v>0</v>
      </c>
      <c r="M62" s="81">
        <v>8419</v>
      </c>
      <c r="N62" s="81">
        <v>1144</v>
      </c>
      <c r="O62" s="81">
        <v>9563</v>
      </c>
      <c r="P62" s="94">
        <f>O62/D62</f>
        <v>2.455198973042362</v>
      </c>
      <c r="Q62" s="94">
        <f>H62/D62</f>
        <v>0.58998716302952503</v>
      </c>
      <c r="R62" s="94">
        <f>I62/D62</f>
        <v>1.5715019255455713</v>
      </c>
      <c r="S62" s="94">
        <f>J62/D62</f>
        <v>0.2937098844672657</v>
      </c>
      <c r="T62" s="94">
        <f>K62/D62</f>
        <v>2.455198973042362</v>
      </c>
      <c r="U62" s="94">
        <f>K62/E62</f>
        <v>3.7282651072124757</v>
      </c>
      <c r="V62" s="81">
        <v>600</v>
      </c>
      <c r="W62" s="79" t="s">
        <v>1648</v>
      </c>
      <c r="X62" s="79" t="s">
        <v>1650</v>
      </c>
      <c r="Y62" s="81">
        <v>709</v>
      </c>
      <c r="Z62" s="81">
        <v>1088</v>
      </c>
      <c r="AA62" s="81">
        <v>1325</v>
      </c>
      <c r="AB62" s="79" t="s">
        <v>1648</v>
      </c>
      <c r="AC62" s="81">
        <v>6311</v>
      </c>
      <c r="AD62" s="79" t="s">
        <v>1649</v>
      </c>
      <c r="AE62" s="79" t="s">
        <v>1648</v>
      </c>
      <c r="AF62" s="81">
        <v>10</v>
      </c>
    </row>
    <row r="63" spans="1:32" ht="15.75" thickBot="1" x14ac:dyDescent="0.3">
      <c r="A63" s="79" t="s">
        <v>150</v>
      </c>
      <c r="B63" s="93" t="s">
        <v>767</v>
      </c>
      <c r="C63" s="79" t="s">
        <v>34</v>
      </c>
      <c r="D63" s="81">
        <v>2156</v>
      </c>
      <c r="E63" s="81">
        <v>742</v>
      </c>
      <c r="F63" s="81">
        <v>7200</v>
      </c>
      <c r="G63" s="81">
        <v>2392</v>
      </c>
      <c r="H63" s="81">
        <v>1207</v>
      </c>
      <c r="I63" s="81">
        <v>6424</v>
      </c>
      <c r="J63" s="81">
        <v>2017</v>
      </c>
      <c r="K63" s="81">
        <v>9648</v>
      </c>
      <c r="L63" s="81">
        <v>0</v>
      </c>
      <c r="M63" s="81">
        <v>7631</v>
      </c>
      <c r="N63" s="81">
        <v>2017</v>
      </c>
      <c r="O63" s="81">
        <v>9648</v>
      </c>
      <c r="P63" s="94">
        <f>O63/D63</f>
        <v>4.474953617810761</v>
      </c>
      <c r="Q63" s="94">
        <f>H63/D63</f>
        <v>0.55983302411873836</v>
      </c>
      <c r="R63" s="94">
        <f>I63/D63</f>
        <v>2.9795918367346941</v>
      </c>
      <c r="S63" s="94">
        <f>J63/D63</f>
        <v>0.9355287569573284</v>
      </c>
      <c r="T63" s="94">
        <f>K63/D63</f>
        <v>4.474953617810761</v>
      </c>
      <c r="U63" s="94">
        <f>K63/E63</f>
        <v>13.002695417789758</v>
      </c>
      <c r="V63" s="81">
        <v>150</v>
      </c>
      <c r="W63" s="79" t="s">
        <v>1648</v>
      </c>
      <c r="X63" s="79" t="s">
        <v>1650</v>
      </c>
      <c r="Y63" s="81">
        <v>265</v>
      </c>
      <c r="Z63" s="81">
        <v>494</v>
      </c>
      <c r="AA63" s="81">
        <v>1016</v>
      </c>
      <c r="AB63" s="79" t="s">
        <v>1648</v>
      </c>
      <c r="AC63" s="81">
        <v>2498</v>
      </c>
      <c r="AD63" s="79" t="s">
        <v>1648</v>
      </c>
      <c r="AE63" s="79" t="s">
        <v>1649</v>
      </c>
      <c r="AF63" s="95">
        <v>0</v>
      </c>
    </row>
    <row r="64" spans="1:32" ht="15.75" thickBot="1" x14ac:dyDescent="0.3">
      <c r="A64" s="79" t="s">
        <v>152</v>
      </c>
      <c r="B64" s="93" t="s">
        <v>769</v>
      </c>
      <c r="C64" s="79" t="s">
        <v>34</v>
      </c>
      <c r="D64" s="81">
        <v>2475</v>
      </c>
      <c r="E64" s="81">
        <v>765</v>
      </c>
      <c r="F64" s="81">
        <v>4581</v>
      </c>
      <c r="G64" s="81">
        <v>2422</v>
      </c>
      <c r="H64" s="81">
        <v>1748</v>
      </c>
      <c r="I64" s="81">
        <v>3335</v>
      </c>
      <c r="J64" s="81">
        <v>796</v>
      </c>
      <c r="K64" s="81">
        <v>5879</v>
      </c>
      <c r="L64" s="81">
        <v>0</v>
      </c>
      <c r="M64" s="81">
        <v>5083</v>
      </c>
      <c r="N64" s="81">
        <v>796</v>
      </c>
      <c r="O64" s="81">
        <v>5879</v>
      </c>
      <c r="P64" s="94">
        <f>O64/D64</f>
        <v>2.3753535353535353</v>
      </c>
      <c r="Q64" s="94">
        <f>H64/D64</f>
        <v>0.70626262626262626</v>
      </c>
      <c r="R64" s="94">
        <f>I64/D64</f>
        <v>1.3474747474747475</v>
      </c>
      <c r="S64" s="94">
        <f>J64/D64</f>
        <v>0.32161616161616163</v>
      </c>
      <c r="T64" s="94">
        <f>K64/D64</f>
        <v>2.3753535353535353</v>
      </c>
      <c r="U64" s="94">
        <f>K64/E64</f>
        <v>7.6849673202614381</v>
      </c>
      <c r="V64" s="81">
        <v>4439</v>
      </c>
      <c r="W64" s="79" t="s">
        <v>1648</v>
      </c>
      <c r="X64" s="79" t="s">
        <v>1651</v>
      </c>
      <c r="Y64" s="81">
        <v>358</v>
      </c>
      <c r="Z64" s="81">
        <v>561</v>
      </c>
      <c r="AA64" s="81">
        <v>768</v>
      </c>
      <c r="AB64" s="79" t="s">
        <v>1648</v>
      </c>
      <c r="AC64" s="81">
        <v>9978</v>
      </c>
      <c r="AD64" s="79" t="s">
        <v>1649</v>
      </c>
      <c r="AE64" s="79" t="s">
        <v>1649</v>
      </c>
      <c r="AF64" s="95">
        <v>0</v>
      </c>
    </row>
    <row r="65" spans="1:32" ht="15.75" thickBot="1" x14ac:dyDescent="0.3">
      <c r="A65" s="79" t="s">
        <v>154</v>
      </c>
      <c r="B65" s="93" t="s">
        <v>771</v>
      </c>
      <c r="C65" s="96" t="s">
        <v>34</v>
      </c>
      <c r="D65" s="97">
        <v>1968</v>
      </c>
      <c r="E65" s="97">
        <v>535</v>
      </c>
      <c r="F65" s="97">
        <v>448</v>
      </c>
      <c r="G65" s="97">
        <v>0</v>
      </c>
      <c r="H65" s="97">
        <v>1461</v>
      </c>
      <c r="I65" s="97">
        <v>125</v>
      </c>
      <c r="J65" s="97">
        <v>0</v>
      </c>
      <c r="K65" s="97">
        <v>1586</v>
      </c>
      <c r="L65" s="97">
        <v>0</v>
      </c>
      <c r="M65" s="97">
        <v>1586</v>
      </c>
      <c r="N65" s="97">
        <v>0</v>
      </c>
      <c r="O65" s="97">
        <v>1586</v>
      </c>
      <c r="P65" s="98">
        <f>O65/D65</f>
        <v>0.80589430894308944</v>
      </c>
      <c r="Q65" s="98">
        <f>H65/D65</f>
        <v>0.74237804878048785</v>
      </c>
      <c r="R65" s="98">
        <f>I65/D65</f>
        <v>6.3516260162601632E-2</v>
      </c>
      <c r="S65" s="98">
        <f>J65/D65</f>
        <v>0</v>
      </c>
      <c r="T65" s="98">
        <f>K65/D65</f>
        <v>0.80589430894308944</v>
      </c>
      <c r="U65" s="98">
        <f>K65/E65</f>
        <v>2.9644859813084112</v>
      </c>
      <c r="V65" s="97">
        <v>3</v>
      </c>
      <c r="W65" s="96" t="s">
        <v>1649</v>
      </c>
      <c r="X65" s="96" t="s">
        <v>1651</v>
      </c>
      <c r="Y65" s="97">
        <v>127</v>
      </c>
      <c r="Z65" s="97">
        <v>6</v>
      </c>
      <c r="AA65" s="97">
        <v>51</v>
      </c>
      <c r="AB65" s="96" t="s">
        <v>1648</v>
      </c>
      <c r="AC65" s="97">
        <v>0</v>
      </c>
      <c r="AD65" s="96" t="s">
        <v>1649</v>
      </c>
      <c r="AE65" s="96" t="s">
        <v>1649</v>
      </c>
      <c r="AF65" s="99">
        <v>0</v>
      </c>
    </row>
    <row r="66" spans="1:32" ht="15.75" thickBot="1" x14ac:dyDescent="0.3">
      <c r="A66" s="79" t="s">
        <v>156</v>
      </c>
      <c r="B66" s="93" t="s">
        <v>781</v>
      </c>
      <c r="C66" s="79" t="s">
        <v>34</v>
      </c>
      <c r="D66" s="81">
        <v>2202</v>
      </c>
      <c r="E66" s="81">
        <v>657</v>
      </c>
      <c r="F66" s="81">
        <v>3215</v>
      </c>
      <c r="G66" s="81">
        <v>0</v>
      </c>
      <c r="H66" s="81">
        <v>1142</v>
      </c>
      <c r="I66" s="81">
        <v>9578</v>
      </c>
      <c r="J66" s="81">
        <v>0</v>
      </c>
      <c r="K66" s="81">
        <v>10720</v>
      </c>
      <c r="L66" s="81">
        <v>0</v>
      </c>
      <c r="M66" s="81">
        <v>10720</v>
      </c>
      <c r="N66" s="81">
        <v>0</v>
      </c>
      <c r="O66" s="81">
        <v>10720</v>
      </c>
      <c r="P66" s="94">
        <f>O66/D66</f>
        <v>4.8683015440508628</v>
      </c>
      <c r="Q66" s="94">
        <f>H66/D66</f>
        <v>0.51861943687556766</v>
      </c>
      <c r="R66" s="94">
        <f>I66/D66</f>
        <v>4.3496821071752949</v>
      </c>
      <c r="S66" s="94">
        <f>J66/D66</f>
        <v>0</v>
      </c>
      <c r="T66" s="94">
        <f>K66/D66</f>
        <v>4.8683015440508628</v>
      </c>
      <c r="U66" s="94">
        <f>K66/E66</f>
        <v>16.316590563165907</v>
      </c>
      <c r="V66" s="81">
        <v>5</v>
      </c>
      <c r="W66" s="79" t="s">
        <v>1648</v>
      </c>
      <c r="X66" s="79" t="s">
        <v>1651</v>
      </c>
      <c r="Y66" s="81">
        <v>19</v>
      </c>
      <c r="Z66" s="81">
        <v>112</v>
      </c>
      <c r="AA66" s="81">
        <v>69</v>
      </c>
      <c r="AB66" s="79" t="s">
        <v>1648</v>
      </c>
      <c r="AC66" s="81">
        <v>89</v>
      </c>
      <c r="AD66" s="79" t="s">
        <v>1648</v>
      </c>
      <c r="AE66" s="79" t="s">
        <v>1649</v>
      </c>
      <c r="AF66" s="95">
        <v>0</v>
      </c>
    </row>
    <row r="67" spans="1:32" ht="15.75" thickBot="1" x14ac:dyDescent="0.3">
      <c r="A67" s="79" t="s">
        <v>158</v>
      </c>
      <c r="B67" s="93" t="s">
        <v>793</v>
      </c>
      <c r="C67" s="96" t="s">
        <v>34</v>
      </c>
      <c r="D67" s="97">
        <v>2913</v>
      </c>
      <c r="E67" s="97">
        <v>2483</v>
      </c>
      <c r="F67" s="97">
        <v>3742</v>
      </c>
      <c r="G67" s="96" t="s">
        <v>1613</v>
      </c>
      <c r="H67" s="97">
        <v>339</v>
      </c>
      <c r="I67" s="97">
        <v>1574</v>
      </c>
      <c r="J67" s="97">
        <v>0</v>
      </c>
      <c r="K67" s="97">
        <v>1913</v>
      </c>
      <c r="L67" s="97">
        <v>0</v>
      </c>
      <c r="M67" s="97">
        <v>1913</v>
      </c>
      <c r="N67" s="97">
        <v>0</v>
      </c>
      <c r="O67" s="97">
        <v>1913</v>
      </c>
      <c r="P67" s="98">
        <f>O67/D67</f>
        <v>0.65671129419842089</v>
      </c>
      <c r="Q67" s="98">
        <f>H67/D67</f>
        <v>0.11637487126673532</v>
      </c>
      <c r="R67" s="98">
        <f>I67/D67</f>
        <v>0.5403364229316856</v>
      </c>
      <c r="S67" s="98">
        <f>J67/D67</f>
        <v>0</v>
      </c>
      <c r="T67" s="98">
        <f>K67/D67</f>
        <v>0.65671129419842089</v>
      </c>
      <c r="U67" s="98">
        <f>K67/E67</f>
        <v>0.77043898509867093</v>
      </c>
      <c r="V67" s="97">
        <v>225</v>
      </c>
      <c r="W67" s="96" t="s">
        <v>1649</v>
      </c>
      <c r="X67" s="96" t="s">
        <v>1650</v>
      </c>
      <c r="Y67" s="97">
        <v>0</v>
      </c>
      <c r="Z67" s="97">
        <v>0</v>
      </c>
      <c r="AA67" s="97">
        <v>241</v>
      </c>
      <c r="AB67" s="96" t="s">
        <v>1648</v>
      </c>
      <c r="AC67" s="97">
        <v>350</v>
      </c>
      <c r="AD67" s="96" t="s">
        <v>1649</v>
      </c>
      <c r="AE67" s="96" t="s">
        <v>1649</v>
      </c>
      <c r="AF67" s="99">
        <v>0</v>
      </c>
    </row>
    <row r="68" spans="1:32" ht="15.75" thickBot="1" x14ac:dyDescent="0.3">
      <c r="A68" s="79" t="s">
        <v>160</v>
      </c>
      <c r="B68" s="93" t="s">
        <v>805</v>
      </c>
      <c r="C68" s="79" t="s">
        <v>34</v>
      </c>
      <c r="D68" s="81">
        <v>575</v>
      </c>
      <c r="E68" s="81">
        <v>825</v>
      </c>
      <c r="F68" s="81">
        <v>2619</v>
      </c>
      <c r="G68" s="81">
        <v>122</v>
      </c>
      <c r="H68" s="81">
        <v>320</v>
      </c>
      <c r="I68" s="81">
        <v>1826</v>
      </c>
      <c r="J68" s="81">
        <v>1040</v>
      </c>
      <c r="K68" s="81">
        <v>3186</v>
      </c>
      <c r="L68" s="81">
        <v>0</v>
      </c>
      <c r="M68" s="81">
        <v>2146</v>
      </c>
      <c r="N68" s="81">
        <v>1040</v>
      </c>
      <c r="O68" s="81">
        <v>3186</v>
      </c>
      <c r="P68" s="94">
        <f>O68/D68</f>
        <v>5.5408695652173909</v>
      </c>
      <c r="Q68" s="94">
        <f>H68/D68</f>
        <v>0.55652173913043479</v>
      </c>
      <c r="R68" s="94">
        <f>I68/D68</f>
        <v>3.1756521739130434</v>
      </c>
      <c r="S68" s="94">
        <f>J68/D68</f>
        <v>1.808695652173913</v>
      </c>
      <c r="T68" s="94">
        <f>K68/D68</f>
        <v>5.5408695652173909</v>
      </c>
      <c r="U68" s="94">
        <f>K68/E68</f>
        <v>3.8618181818181818</v>
      </c>
      <c r="V68" s="81">
        <v>21</v>
      </c>
      <c r="W68" s="79" t="s">
        <v>1649</v>
      </c>
      <c r="X68" s="79" t="s">
        <v>1650</v>
      </c>
      <c r="Y68" s="81">
        <v>0</v>
      </c>
      <c r="Z68" s="81">
        <v>20</v>
      </c>
      <c r="AA68" s="81">
        <v>347</v>
      </c>
      <c r="AB68" s="79" t="s">
        <v>1648</v>
      </c>
      <c r="AC68" s="81">
        <v>264</v>
      </c>
      <c r="AD68" s="79" t="s">
        <v>1649</v>
      </c>
      <c r="AE68" s="79" t="s">
        <v>1649</v>
      </c>
      <c r="AF68" s="95">
        <v>0</v>
      </c>
    </row>
    <row r="69" spans="1:32" ht="15.75" thickBot="1" x14ac:dyDescent="0.3">
      <c r="A69" s="79" t="s">
        <v>162</v>
      </c>
      <c r="B69" s="93" t="s">
        <v>813</v>
      </c>
      <c r="C69" s="79" t="s">
        <v>34</v>
      </c>
      <c r="D69" s="81">
        <v>2738</v>
      </c>
      <c r="E69" s="81">
        <v>373</v>
      </c>
      <c r="F69" s="81">
        <v>6070</v>
      </c>
      <c r="G69" s="81">
        <v>0</v>
      </c>
      <c r="H69" s="81">
        <v>1960</v>
      </c>
      <c r="I69" s="81">
        <v>2514</v>
      </c>
      <c r="J69" s="81">
        <v>0</v>
      </c>
      <c r="K69" s="81">
        <v>4474</v>
      </c>
      <c r="L69" s="81">
        <v>0</v>
      </c>
      <c r="M69" s="81">
        <v>4474</v>
      </c>
      <c r="N69" s="81">
        <v>0</v>
      </c>
      <c r="O69" s="81">
        <v>4474</v>
      </c>
      <c r="P69" s="94">
        <f>O69/D69</f>
        <v>1.6340394448502558</v>
      </c>
      <c r="Q69" s="94">
        <f>H69/D69</f>
        <v>0.71585098612125642</v>
      </c>
      <c r="R69" s="94">
        <f>I69/D69</f>
        <v>0.91818845872899923</v>
      </c>
      <c r="S69" s="94">
        <f>J69/D69</f>
        <v>0</v>
      </c>
      <c r="T69" s="94">
        <f>K69/D69</f>
        <v>1.6340394448502558</v>
      </c>
      <c r="U69" s="94">
        <f>K69/E69</f>
        <v>11.994638069705093</v>
      </c>
      <c r="V69" s="81">
        <v>1162</v>
      </c>
      <c r="W69" s="79" t="s">
        <v>1649</v>
      </c>
      <c r="X69" s="79" t="s">
        <v>1651</v>
      </c>
      <c r="Y69" s="81">
        <v>0</v>
      </c>
      <c r="Z69" s="81">
        <v>65</v>
      </c>
      <c r="AA69" s="81">
        <v>831</v>
      </c>
      <c r="AB69" s="79" t="s">
        <v>1649</v>
      </c>
      <c r="AC69" s="81">
        <v>0</v>
      </c>
      <c r="AD69" s="79" t="s">
        <v>1648</v>
      </c>
      <c r="AE69" s="79" t="s">
        <v>1649</v>
      </c>
      <c r="AF69" s="95">
        <v>0</v>
      </c>
    </row>
    <row r="70" spans="1:32" ht="15.75" thickBot="1" x14ac:dyDescent="0.3">
      <c r="A70" s="96" t="s">
        <v>164</v>
      </c>
      <c r="B70" s="93" t="s">
        <v>13</v>
      </c>
      <c r="C70" s="79" t="s">
        <v>17</v>
      </c>
      <c r="D70" s="81">
        <v>6351</v>
      </c>
      <c r="E70" s="81">
        <v>1756</v>
      </c>
      <c r="F70" s="81">
        <v>9281</v>
      </c>
      <c r="G70" s="81">
        <v>14584</v>
      </c>
      <c r="H70" s="81">
        <v>3707</v>
      </c>
      <c r="I70" s="81">
        <v>6469</v>
      </c>
      <c r="J70" s="81">
        <v>4908</v>
      </c>
      <c r="K70" s="81">
        <v>15084</v>
      </c>
      <c r="L70" s="81">
        <v>3375</v>
      </c>
      <c r="M70" s="81">
        <v>10176</v>
      </c>
      <c r="N70" s="81">
        <v>8283</v>
      </c>
      <c r="O70" s="81">
        <v>18459</v>
      </c>
      <c r="P70" s="94">
        <f>O70/D70</f>
        <v>2.9064714218233347</v>
      </c>
      <c r="Q70" s="94">
        <f>H70/D70</f>
        <v>0.58368760825066923</v>
      </c>
      <c r="R70" s="94">
        <f>I70/D70</f>
        <v>1.0185797512202803</v>
      </c>
      <c r="S70" s="94">
        <f>J70/D70</f>
        <v>0.77279168634860651</v>
      </c>
      <c r="T70" s="94">
        <f>K70/D70</f>
        <v>2.375059045819556</v>
      </c>
      <c r="U70" s="94">
        <f>K70/E70</f>
        <v>8.5899772209567207</v>
      </c>
      <c r="V70" s="81">
        <v>1000</v>
      </c>
      <c r="W70" s="79" t="s">
        <v>1648</v>
      </c>
      <c r="X70" s="79" t="s">
        <v>1650</v>
      </c>
      <c r="Y70" s="81">
        <v>17371</v>
      </c>
      <c r="Z70" s="81">
        <v>2619</v>
      </c>
      <c r="AA70" s="81">
        <v>262</v>
      </c>
      <c r="AB70" s="79" t="s">
        <v>1648</v>
      </c>
      <c r="AC70" s="81">
        <v>823</v>
      </c>
      <c r="AD70" s="79" t="s">
        <v>1648</v>
      </c>
      <c r="AE70" s="79" t="s">
        <v>1649</v>
      </c>
      <c r="AF70" s="95">
        <v>0</v>
      </c>
    </row>
    <row r="71" spans="1:32" ht="15.75" thickBot="1" x14ac:dyDescent="0.3">
      <c r="A71" s="79" t="s">
        <v>166</v>
      </c>
      <c r="B71" s="93" t="s">
        <v>44</v>
      </c>
      <c r="C71" s="79" t="s">
        <v>17</v>
      </c>
      <c r="D71" s="81">
        <v>6583</v>
      </c>
      <c r="E71" s="81">
        <v>3066</v>
      </c>
      <c r="F71" s="81">
        <v>18400</v>
      </c>
      <c r="G71" s="81">
        <v>18673</v>
      </c>
      <c r="H71" s="81">
        <v>5639</v>
      </c>
      <c r="I71" s="81">
        <v>8011</v>
      </c>
      <c r="J71" s="81">
        <v>4220</v>
      </c>
      <c r="K71" s="81">
        <v>17870</v>
      </c>
      <c r="L71" s="81">
        <v>0</v>
      </c>
      <c r="M71" s="81">
        <v>13650</v>
      </c>
      <c r="N71" s="81">
        <v>4220</v>
      </c>
      <c r="O71" s="81">
        <v>17870</v>
      </c>
      <c r="P71" s="94">
        <f>O71/D71</f>
        <v>2.7145678262190489</v>
      </c>
      <c r="Q71" s="94">
        <f>H71/D71</f>
        <v>0.85660033419413639</v>
      </c>
      <c r="R71" s="94">
        <f>I71/D71</f>
        <v>1.2169223758164971</v>
      </c>
      <c r="S71" s="94">
        <f>J71/D71</f>
        <v>0.64104511620841564</v>
      </c>
      <c r="T71" s="94">
        <f>K71/D71</f>
        <v>2.7145678262190489</v>
      </c>
      <c r="U71" s="94">
        <f>K71/E71</f>
        <v>5.8284409654272666</v>
      </c>
      <c r="V71" s="81">
        <v>1200</v>
      </c>
      <c r="W71" s="79" t="s">
        <v>1648</v>
      </c>
      <c r="X71" s="79" t="s">
        <v>1650</v>
      </c>
      <c r="Y71" s="81">
        <v>2231</v>
      </c>
      <c r="Z71" s="81">
        <v>1952</v>
      </c>
      <c r="AA71" s="81">
        <v>1082</v>
      </c>
      <c r="AB71" s="79" t="s">
        <v>1648</v>
      </c>
      <c r="AC71" s="81">
        <v>6000</v>
      </c>
      <c r="AD71" s="79" t="s">
        <v>1649</v>
      </c>
      <c r="AE71" s="79" t="s">
        <v>1649</v>
      </c>
      <c r="AF71" s="95">
        <v>0</v>
      </c>
    </row>
    <row r="72" spans="1:32" ht="15.75" thickBot="1" x14ac:dyDescent="0.3">
      <c r="A72" s="79" t="s">
        <v>168</v>
      </c>
      <c r="B72" s="93" t="s">
        <v>55</v>
      </c>
      <c r="C72" s="79" t="s">
        <v>17</v>
      </c>
      <c r="D72" s="81">
        <v>5379</v>
      </c>
      <c r="E72" s="81">
        <v>2635</v>
      </c>
      <c r="F72" s="81">
        <v>20369</v>
      </c>
      <c r="G72" s="81">
        <v>15923</v>
      </c>
      <c r="H72" s="81">
        <v>13554</v>
      </c>
      <c r="I72" s="81">
        <v>22574</v>
      </c>
      <c r="J72" s="81">
        <v>1910</v>
      </c>
      <c r="K72" s="81">
        <v>38038</v>
      </c>
      <c r="L72" s="81">
        <v>3017</v>
      </c>
      <c r="M72" s="81">
        <v>36128</v>
      </c>
      <c r="N72" s="81">
        <v>4927</v>
      </c>
      <c r="O72" s="81">
        <v>41055</v>
      </c>
      <c r="P72" s="94">
        <f>O72/D72</f>
        <v>7.6324595649749023</v>
      </c>
      <c r="Q72" s="94">
        <f>H72/D72</f>
        <v>2.5197992191857224</v>
      </c>
      <c r="R72" s="94">
        <f>I72/D72</f>
        <v>4.1966908347276446</v>
      </c>
      <c r="S72" s="94">
        <f>J72/D72</f>
        <v>0.35508458821342259</v>
      </c>
      <c r="T72" s="94">
        <f>K72/D72</f>
        <v>7.0715746421267891</v>
      </c>
      <c r="U72" s="94">
        <f>K72/E72</f>
        <v>14.435673624288425</v>
      </c>
      <c r="V72" s="81">
        <v>2032</v>
      </c>
      <c r="W72" s="79" t="s">
        <v>1649</v>
      </c>
      <c r="X72" s="79" t="s">
        <v>1651</v>
      </c>
      <c r="Y72" s="81">
        <v>4477</v>
      </c>
      <c r="Z72" s="81">
        <v>3178</v>
      </c>
      <c r="AA72" s="81">
        <v>492</v>
      </c>
      <c r="AB72" s="79" t="s">
        <v>1648</v>
      </c>
      <c r="AC72" s="81">
        <v>5696</v>
      </c>
      <c r="AD72" s="79" t="s">
        <v>1649</v>
      </c>
      <c r="AE72" s="79" t="s">
        <v>1648</v>
      </c>
      <c r="AF72" s="81">
        <v>46</v>
      </c>
    </row>
    <row r="73" spans="1:32" ht="15.75" thickBot="1" x14ac:dyDescent="0.3">
      <c r="A73" s="79" t="s">
        <v>170</v>
      </c>
      <c r="B73" s="93" t="s">
        <v>59</v>
      </c>
      <c r="C73" s="79" t="s">
        <v>17</v>
      </c>
      <c r="D73" s="81">
        <v>4265</v>
      </c>
      <c r="E73" s="81">
        <v>1676</v>
      </c>
      <c r="F73" s="81">
        <v>5659</v>
      </c>
      <c r="G73" s="81">
        <v>0</v>
      </c>
      <c r="H73" s="81">
        <v>1940</v>
      </c>
      <c r="I73" s="81">
        <v>2841</v>
      </c>
      <c r="J73" s="81">
        <v>881</v>
      </c>
      <c r="K73" s="81">
        <v>5662</v>
      </c>
      <c r="L73" s="81">
        <v>881</v>
      </c>
      <c r="M73" s="81">
        <v>4781</v>
      </c>
      <c r="N73" s="81">
        <v>1762</v>
      </c>
      <c r="O73" s="81">
        <v>6543</v>
      </c>
      <c r="P73" s="94">
        <f>O73/D73</f>
        <v>1.5341148886283704</v>
      </c>
      <c r="Q73" s="94">
        <f>H73/D73</f>
        <v>0.45486518171160611</v>
      </c>
      <c r="R73" s="94">
        <f>I73/D73</f>
        <v>0.66611957796014065</v>
      </c>
      <c r="S73" s="94">
        <f>J73/D73</f>
        <v>0.20656506447831183</v>
      </c>
      <c r="T73" s="94">
        <f>K73/D73</f>
        <v>1.3275498241500585</v>
      </c>
      <c r="U73" s="94">
        <f>K73/E73</f>
        <v>3.3782816229116945</v>
      </c>
      <c r="V73" s="81">
        <v>3690</v>
      </c>
      <c r="W73" s="79" t="s">
        <v>1648</v>
      </c>
      <c r="X73" s="79" t="s">
        <v>1651</v>
      </c>
      <c r="Y73" s="81">
        <v>561</v>
      </c>
      <c r="Z73" s="81">
        <v>898</v>
      </c>
      <c r="AA73" s="81">
        <v>591</v>
      </c>
      <c r="AB73" s="79" t="s">
        <v>1648</v>
      </c>
      <c r="AC73" s="81">
        <v>6500</v>
      </c>
      <c r="AD73" s="79" t="s">
        <v>1649</v>
      </c>
      <c r="AE73" s="79" t="s">
        <v>1649</v>
      </c>
      <c r="AF73" s="95">
        <v>0</v>
      </c>
    </row>
    <row r="74" spans="1:32" ht="15.75" thickBot="1" x14ac:dyDescent="0.3">
      <c r="A74" s="79" t="s">
        <v>172</v>
      </c>
      <c r="B74" s="93" t="s">
        <v>69</v>
      </c>
      <c r="C74" s="79" t="s">
        <v>17</v>
      </c>
      <c r="D74" s="81">
        <v>6621</v>
      </c>
      <c r="E74" s="81">
        <v>5733</v>
      </c>
      <c r="F74" s="81">
        <v>22818</v>
      </c>
      <c r="G74" s="81">
        <v>40426</v>
      </c>
      <c r="H74" s="81">
        <v>4766</v>
      </c>
      <c r="I74" s="81">
        <v>16743</v>
      </c>
      <c r="J74" s="81">
        <v>6988</v>
      </c>
      <c r="K74" s="81">
        <v>28497</v>
      </c>
      <c r="L74" s="81">
        <v>3617</v>
      </c>
      <c r="M74" s="81">
        <v>21509</v>
      </c>
      <c r="N74" s="81">
        <v>10605</v>
      </c>
      <c r="O74" s="81">
        <v>32114</v>
      </c>
      <c r="P74" s="94">
        <f>O74/D74</f>
        <v>4.8503247243618786</v>
      </c>
      <c r="Q74" s="94">
        <f>H74/D74</f>
        <v>0.71983084126264918</v>
      </c>
      <c r="R74" s="94">
        <f>I74/D74</f>
        <v>2.5287720888083371</v>
      </c>
      <c r="S74" s="94">
        <f>J74/D74</f>
        <v>1.0554296933997886</v>
      </c>
      <c r="T74" s="94">
        <f>K74/D74</f>
        <v>4.3040326234707749</v>
      </c>
      <c r="U74" s="94">
        <f>K74/E74</f>
        <v>4.9706959706959708</v>
      </c>
      <c r="V74" s="81">
        <v>170</v>
      </c>
      <c r="W74" s="79" t="s">
        <v>1648</v>
      </c>
      <c r="X74" s="79" t="s">
        <v>1650</v>
      </c>
      <c r="Y74" s="81">
        <v>1364</v>
      </c>
      <c r="Z74" s="81">
        <v>1841</v>
      </c>
      <c r="AA74" s="81">
        <v>2718</v>
      </c>
      <c r="AB74" s="79" t="s">
        <v>1648</v>
      </c>
      <c r="AC74" s="81">
        <v>21000</v>
      </c>
      <c r="AD74" s="79" t="s">
        <v>1648</v>
      </c>
      <c r="AE74" s="79" t="s">
        <v>1648</v>
      </c>
      <c r="AF74" s="81">
        <v>40</v>
      </c>
    </row>
    <row r="75" spans="1:32" ht="15.75" thickBot="1" x14ac:dyDescent="0.3">
      <c r="A75" s="79" t="s">
        <v>174</v>
      </c>
      <c r="B75" s="93" t="s">
        <v>73</v>
      </c>
      <c r="C75" s="79" t="s">
        <v>17</v>
      </c>
      <c r="D75" s="81">
        <v>4075</v>
      </c>
      <c r="E75" s="81">
        <v>2387</v>
      </c>
      <c r="F75" s="81">
        <v>9337</v>
      </c>
      <c r="G75" s="79" t="s">
        <v>1613</v>
      </c>
      <c r="H75" s="81">
        <v>2343</v>
      </c>
      <c r="I75" s="81">
        <v>10126</v>
      </c>
      <c r="J75" s="81">
        <v>1360</v>
      </c>
      <c r="K75" s="81">
        <v>13829</v>
      </c>
      <c r="L75" s="81">
        <v>0</v>
      </c>
      <c r="M75" s="81">
        <v>12469</v>
      </c>
      <c r="N75" s="81">
        <v>1360</v>
      </c>
      <c r="O75" s="81">
        <v>13829</v>
      </c>
      <c r="P75" s="94">
        <f>O75/D75</f>
        <v>3.3936196319018403</v>
      </c>
      <c r="Q75" s="94">
        <f>H75/D75</f>
        <v>0.57496932515337418</v>
      </c>
      <c r="R75" s="94">
        <f>I75/D75</f>
        <v>2.4849079754601227</v>
      </c>
      <c r="S75" s="94">
        <f>J75/D75</f>
        <v>0.33374233128834357</v>
      </c>
      <c r="T75" s="94">
        <f>K75/D75</f>
        <v>3.3936196319018403</v>
      </c>
      <c r="U75" s="94">
        <f>K75/E75</f>
        <v>5.7934645999162129</v>
      </c>
      <c r="V75" s="81">
        <v>412</v>
      </c>
      <c r="W75" s="79" t="s">
        <v>1648</v>
      </c>
      <c r="X75" s="79" t="s">
        <v>1650</v>
      </c>
      <c r="Y75" s="81">
        <v>419</v>
      </c>
      <c r="Z75" s="81">
        <v>1348</v>
      </c>
      <c r="AA75" s="81">
        <v>2343</v>
      </c>
      <c r="AB75" s="79" t="s">
        <v>1648</v>
      </c>
      <c r="AC75" s="81">
        <v>3459</v>
      </c>
      <c r="AD75" s="79" t="s">
        <v>1649</v>
      </c>
      <c r="AE75" s="79" t="s">
        <v>1649</v>
      </c>
      <c r="AF75" s="95">
        <v>0</v>
      </c>
    </row>
    <row r="76" spans="1:32" ht="15.75" thickBot="1" x14ac:dyDescent="0.3">
      <c r="A76" s="79" t="s">
        <v>176</v>
      </c>
      <c r="B76" s="93" t="s">
        <v>97</v>
      </c>
      <c r="C76" s="79" t="s">
        <v>17</v>
      </c>
      <c r="D76" s="81">
        <v>5414</v>
      </c>
      <c r="E76" s="81">
        <v>1449</v>
      </c>
      <c r="F76" s="81">
        <v>6379</v>
      </c>
      <c r="G76" s="81">
        <v>1962</v>
      </c>
      <c r="H76" s="81">
        <v>3284</v>
      </c>
      <c r="I76" s="81">
        <v>8622</v>
      </c>
      <c r="J76" s="81">
        <v>1658</v>
      </c>
      <c r="K76" s="81">
        <v>13564</v>
      </c>
      <c r="L76" s="81">
        <v>0</v>
      </c>
      <c r="M76" s="81">
        <v>11906</v>
      </c>
      <c r="N76" s="81">
        <v>1658</v>
      </c>
      <c r="O76" s="81">
        <v>13564</v>
      </c>
      <c r="P76" s="94">
        <f>O76/D76</f>
        <v>2.5053564831917252</v>
      </c>
      <c r="Q76" s="94">
        <f>H76/D76</f>
        <v>0.60657554488363497</v>
      </c>
      <c r="R76" s="94">
        <f>I76/D76</f>
        <v>1.5925378647949759</v>
      </c>
      <c r="S76" s="94">
        <f>J76/D76</f>
        <v>0.30624307351311414</v>
      </c>
      <c r="T76" s="94">
        <f>K76/D76</f>
        <v>2.5053564831917252</v>
      </c>
      <c r="U76" s="94">
        <f>K76/E76</f>
        <v>9.3609385783298826</v>
      </c>
      <c r="V76" s="81">
        <v>1447</v>
      </c>
      <c r="W76" s="79" t="s">
        <v>1648</v>
      </c>
      <c r="X76" s="79" t="s">
        <v>1651</v>
      </c>
      <c r="Y76" s="81">
        <v>951</v>
      </c>
      <c r="Z76" s="81">
        <v>715</v>
      </c>
      <c r="AA76" s="81">
        <v>883</v>
      </c>
      <c r="AB76" s="79" t="s">
        <v>1648</v>
      </c>
      <c r="AC76" s="81">
        <v>1256</v>
      </c>
      <c r="AD76" s="79" t="s">
        <v>1648</v>
      </c>
      <c r="AE76" s="79" t="s">
        <v>1649</v>
      </c>
      <c r="AF76" s="95">
        <v>0</v>
      </c>
    </row>
    <row r="77" spans="1:32" ht="15.75" thickBot="1" x14ac:dyDescent="0.3">
      <c r="A77" s="79" t="s">
        <v>178</v>
      </c>
      <c r="B77" s="93" t="s">
        <v>119</v>
      </c>
      <c r="C77" s="79" t="s">
        <v>17</v>
      </c>
      <c r="D77" s="81">
        <v>6296</v>
      </c>
      <c r="E77" s="81">
        <v>3800</v>
      </c>
      <c r="F77" s="81">
        <v>43238</v>
      </c>
      <c r="G77" s="81">
        <v>1825</v>
      </c>
      <c r="H77" s="81">
        <v>11826</v>
      </c>
      <c r="I77" s="81">
        <v>18296</v>
      </c>
      <c r="J77" s="81">
        <v>8608</v>
      </c>
      <c r="K77" s="81">
        <v>38730</v>
      </c>
      <c r="L77" s="81">
        <v>0</v>
      </c>
      <c r="M77" s="81">
        <v>30122</v>
      </c>
      <c r="N77" s="81">
        <v>8608</v>
      </c>
      <c r="O77" s="81">
        <v>38730</v>
      </c>
      <c r="P77" s="94">
        <f>O77/D77</f>
        <v>6.1515247776365944</v>
      </c>
      <c r="Q77" s="94">
        <f>H77/D77</f>
        <v>1.8783354510800507</v>
      </c>
      <c r="R77" s="94">
        <f>I77/D77</f>
        <v>2.9059720457433289</v>
      </c>
      <c r="S77" s="94">
        <f>J77/D77</f>
        <v>1.3672172808132148</v>
      </c>
      <c r="T77" s="94">
        <f>K77/D77</f>
        <v>6.1515247776365944</v>
      </c>
      <c r="U77" s="94">
        <f>K77/E77</f>
        <v>10.192105263157895</v>
      </c>
      <c r="V77" s="81">
        <v>2847</v>
      </c>
      <c r="W77" s="79" t="s">
        <v>1648</v>
      </c>
      <c r="X77" s="79" t="s">
        <v>1650</v>
      </c>
      <c r="Y77" s="81">
        <v>1671</v>
      </c>
      <c r="Z77" s="81">
        <v>2157</v>
      </c>
      <c r="AA77" s="81">
        <v>12421</v>
      </c>
      <c r="AB77" s="79" t="s">
        <v>1648</v>
      </c>
      <c r="AC77" s="81">
        <v>15160</v>
      </c>
      <c r="AD77" s="79" t="s">
        <v>1648</v>
      </c>
      <c r="AE77" s="79" t="s">
        <v>1648</v>
      </c>
      <c r="AF77" s="81">
        <v>281</v>
      </c>
    </row>
    <row r="78" spans="1:32" ht="15.75" thickBot="1" x14ac:dyDescent="0.3">
      <c r="A78" s="79" t="s">
        <v>180</v>
      </c>
      <c r="B78" s="93" t="s">
        <v>125</v>
      </c>
      <c r="C78" s="79" t="s">
        <v>17</v>
      </c>
      <c r="D78" s="81">
        <v>4005</v>
      </c>
      <c r="E78" s="81">
        <v>1045</v>
      </c>
      <c r="F78" s="81">
        <v>2460</v>
      </c>
      <c r="G78" s="81">
        <v>12500</v>
      </c>
      <c r="H78" s="81">
        <v>2475</v>
      </c>
      <c r="I78" s="81">
        <v>3895</v>
      </c>
      <c r="J78" s="81">
        <v>0</v>
      </c>
      <c r="K78" s="81">
        <v>6370</v>
      </c>
      <c r="L78" s="81">
        <v>0</v>
      </c>
      <c r="M78" s="81">
        <v>6370</v>
      </c>
      <c r="N78" s="81">
        <v>0</v>
      </c>
      <c r="O78" s="81">
        <v>6370</v>
      </c>
      <c r="P78" s="94">
        <f>O78/D78</f>
        <v>1.5905118601747816</v>
      </c>
      <c r="Q78" s="94">
        <f>H78/D78</f>
        <v>0.6179775280898876</v>
      </c>
      <c r="R78" s="94">
        <f>I78/D78</f>
        <v>0.97253433208489393</v>
      </c>
      <c r="S78" s="94">
        <f>J78/D78</f>
        <v>0</v>
      </c>
      <c r="T78" s="94">
        <f>K78/D78</f>
        <v>1.5905118601747816</v>
      </c>
      <c r="U78" s="94">
        <f>K78/E78</f>
        <v>6.0956937799043063</v>
      </c>
      <c r="V78" s="81">
        <v>225</v>
      </c>
      <c r="W78" s="79" t="s">
        <v>1649</v>
      </c>
      <c r="X78" s="79" t="s">
        <v>1650</v>
      </c>
      <c r="Y78" s="81">
        <v>330</v>
      </c>
      <c r="Z78" s="81">
        <v>629</v>
      </c>
      <c r="AA78" s="81">
        <v>1260</v>
      </c>
      <c r="AB78" s="79" t="s">
        <v>1648</v>
      </c>
      <c r="AC78" s="77" t="s">
        <v>1660</v>
      </c>
      <c r="AD78" s="79" t="s">
        <v>1649</v>
      </c>
      <c r="AE78" s="79" t="s">
        <v>1649</v>
      </c>
      <c r="AF78" s="95">
        <v>0</v>
      </c>
    </row>
    <row r="79" spans="1:32" ht="15.75" thickBot="1" x14ac:dyDescent="0.3">
      <c r="A79" s="79" t="s">
        <v>182</v>
      </c>
      <c r="B79" s="93" t="s">
        <v>137</v>
      </c>
      <c r="C79" s="79" t="s">
        <v>17</v>
      </c>
      <c r="D79" s="81">
        <v>4191</v>
      </c>
      <c r="E79" s="81">
        <v>573</v>
      </c>
      <c r="F79" s="81">
        <v>7862</v>
      </c>
      <c r="G79" s="81">
        <v>7952</v>
      </c>
      <c r="H79" s="81">
        <v>5239</v>
      </c>
      <c r="I79" s="81">
        <v>4956</v>
      </c>
      <c r="J79" s="81">
        <v>534</v>
      </c>
      <c r="K79" s="81">
        <v>10729</v>
      </c>
      <c r="L79" s="81">
        <v>0</v>
      </c>
      <c r="M79" s="81">
        <v>10195</v>
      </c>
      <c r="N79" s="81">
        <v>534</v>
      </c>
      <c r="O79" s="81">
        <v>10729</v>
      </c>
      <c r="P79" s="94">
        <f>O79/D79</f>
        <v>2.5600095442615127</v>
      </c>
      <c r="Q79" s="94">
        <f>H79/D79</f>
        <v>1.2500596516344549</v>
      </c>
      <c r="R79" s="94">
        <f>I79/D79</f>
        <v>1.1825340014316392</v>
      </c>
      <c r="S79" s="94">
        <f>J79/D79</f>
        <v>0.12741589119541877</v>
      </c>
      <c r="T79" s="94">
        <f>K79/D79</f>
        <v>2.5600095442615127</v>
      </c>
      <c r="U79" s="94">
        <f>K79/E79</f>
        <v>18.724258289703315</v>
      </c>
      <c r="V79" s="81">
        <v>1563</v>
      </c>
      <c r="W79" s="79" t="s">
        <v>1648</v>
      </c>
      <c r="X79" s="79" t="s">
        <v>1650</v>
      </c>
      <c r="Y79" s="81">
        <v>952</v>
      </c>
      <c r="Z79" s="81">
        <v>1256</v>
      </c>
      <c r="AA79" s="81">
        <v>1225</v>
      </c>
      <c r="AB79" s="79" t="s">
        <v>1648</v>
      </c>
      <c r="AC79" s="81">
        <v>525</v>
      </c>
      <c r="AD79" s="79" t="s">
        <v>1649</v>
      </c>
      <c r="AE79" s="79" t="s">
        <v>1649</v>
      </c>
      <c r="AF79" s="95">
        <v>0</v>
      </c>
    </row>
    <row r="80" spans="1:32" ht="15.75" thickBot="1" x14ac:dyDescent="0.3">
      <c r="A80" s="79" t="s">
        <v>184</v>
      </c>
      <c r="B80" s="93" t="s">
        <v>179</v>
      </c>
      <c r="C80" s="79" t="s">
        <v>17</v>
      </c>
      <c r="D80" s="81">
        <v>4622</v>
      </c>
      <c r="E80" s="81">
        <v>2294</v>
      </c>
      <c r="F80" s="81">
        <v>16442</v>
      </c>
      <c r="G80" s="81">
        <v>10402</v>
      </c>
      <c r="H80" s="81">
        <v>1381</v>
      </c>
      <c r="I80" s="81">
        <v>11024</v>
      </c>
      <c r="J80" s="81">
        <v>103968</v>
      </c>
      <c r="K80" s="81">
        <v>116373</v>
      </c>
      <c r="L80" s="81">
        <v>0</v>
      </c>
      <c r="M80" s="81">
        <v>12405</v>
      </c>
      <c r="N80" s="81">
        <v>103968</v>
      </c>
      <c r="O80" s="81">
        <v>116373</v>
      </c>
      <c r="P80" s="94">
        <f>O80/D80</f>
        <v>25.17806144526179</v>
      </c>
      <c r="Q80" s="94">
        <f>H80/D80</f>
        <v>0.29878840328861966</v>
      </c>
      <c r="R80" s="94">
        <f>I80/D80</f>
        <v>2.3851146689744698</v>
      </c>
      <c r="S80" s="94">
        <f>J80/D80</f>
        <v>22.494158372998701</v>
      </c>
      <c r="T80" s="94">
        <f>K80/D80</f>
        <v>25.17806144526179</v>
      </c>
      <c r="U80" s="94">
        <f>K80/E80</f>
        <v>50.729293809938973</v>
      </c>
      <c r="V80" s="81">
        <v>370</v>
      </c>
      <c r="W80" s="79" t="s">
        <v>1648</v>
      </c>
      <c r="X80" s="79" t="s">
        <v>1650</v>
      </c>
      <c r="Y80" s="81">
        <v>2865</v>
      </c>
      <c r="Z80" s="81">
        <v>1419</v>
      </c>
      <c r="AA80" s="81">
        <v>1743</v>
      </c>
      <c r="AB80" s="79" t="s">
        <v>1648</v>
      </c>
      <c r="AC80" s="81">
        <v>780</v>
      </c>
      <c r="AD80" s="79" t="s">
        <v>1648</v>
      </c>
      <c r="AE80" s="79" t="s">
        <v>1648</v>
      </c>
      <c r="AF80" s="81">
        <v>35</v>
      </c>
    </row>
    <row r="81" spans="1:32" ht="15.75" thickBot="1" x14ac:dyDescent="0.3">
      <c r="A81" s="79" t="s">
        <v>186</v>
      </c>
      <c r="B81" s="93" t="s">
        <v>193</v>
      </c>
      <c r="C81" s="79" t="s">
        <v>17</v>
      </c>
      <c r="D81" s="81">
        <v>4986</v>
      </c>
      <c r="E81" s="81">
        <v>2637</v>
      </c>
      <c r="F81" s="81">
        <v>12692</v>
      </c>
      <c r="G81" s="81">
        <v>5011</v>
      </c>
      <c r="H81" s="81">
        <v>6419</v>
      </c>
      <c r="I81" s="81">
        <v>9805</v>
      </c>
      <c r="J81" s="81">
        <v>1326</v>
      </c>
      <c r="K81" s="81">
        <v>17550</v>
      </c>
      <c r="L81" s="77" t="s">
        <v>1660</v>
      </c>
      <c r="M81" s="81">
        <v>16224</v>
      </c>
      <c r="N81" s="81">
        <v>1326</v>
      </c>
      <c r="O81" s="81">
        <v>17550</v>
      </c>
      <c r="P81" s="94">
        <f>O81/D81</f>
        <v>3.5198555956678699</v>
      </c>
      <c r="Q81" s="94">
        <f>H81/D81</f>
        <v>1.2874047332531087</v>
      </c>
      <c r="R81" s="94">
        <f>I81/D81</f>
        <v>1.9665062174087444</v>
      </c>
      <c r="S81" s="94">
        <f>J81/D81</f>
        <v>0.26594464500601683</v>
      </c>
      <c r="T81" s="94">
        <f>K81/D81</f>
        <v>3.5198555956678699</v>
      </c>
      <c r="U81" s="94">
        <f>K81/E81</f>
        <v>6.6552901023890785</v>
      </c>
      <c r="V81" s="81">
        <v>900</v>
      </c>
      <c r="W81" s="79" t="s">
        <v>1648</v>
      </c>
      <c r="X81" s="79" t="s">
        <v>1650</v>
      </c>
      <c r="Y81" s="81">
        <v>697</v>
      </c>
      <c r="Z81" s="81">
        <v>814</v>
      </c>
      <c r="AA81" s="81">
        <v>3487</v>
      </c>
      <c r="AB81" s="79" t="s">
        <v>1648</v>
      </c>
      <c r="AC81" s="81">
        <v>736</v>
      </c>
      <c r="AD81" s="79" t="s">
        <v>1648</v>
      </c>
      <c r="AE81" s="79" t="s">
        <v>1649</v>
      </c>
      <c r="AF81" s="95">
        <v>0</v>
      </c>
    </row>
    <row r="82" spans="1:32" ht="15.75" thickBot="1" x14ac:dyDescent="0.3">
      <c r="A82" s="79" t="s">
        <v>188</v>
      </c>
      <c r="B82" s="93" t="s">
        <v>215</v>
      </c>
      <c r="C82" s="79" t="s">
        <v>17</v>
      </c>
      <c r="D82" s="81">
        <v>4514</v>
      </c>
      <c r="E82" s="81">
        <v>1965</v>
      </c>
      <c r="F82" s="81">
        <v>4393</v>
      </c>
      <c r="G82" s="81">
        <v>1700</v>
      </c>
      <c r="H82" s="81">
        <v>2741</v>
      </c>
      <c r="I82" s="81">
        <v>6631</v>
      </c>
      <c r="J82" s="81">
        <v>486</v>
      </c>
      <c r="K82" s="81">
        <v>9858</v>
      </c>
      <c r="L82" s="81">
        <v>0</v>
      </c>
      <c r="M82" s="81">
        <v>9372</v>
      </c>
      <c r="N82" s="81">
        <v>486</v>
      </c>
      <c r="O82" s="81">
        <v>9858</v>
      </c>
      <c r="P82" s="94">
        <f>O82/D82</f>
        <v>2.1838723969871512</v>
      </c>
      <c r="Q82" s="94">
        <f>H82/D82</f>
        <v>0.60722197607443507</v>
      </c>
      <c r="R82" s="94">
        <f>I82/D82</f>
        <v>1.4689853788214444</v>
      </c>
      <c r="S82" s="94">
        <f>J82/D82</f>
        <v>0.1076650420912716</v>
      </c>
      <c r="T82" s="94">
        <f>K82/D82</f>
        <v>2.1838723969871512</v>
      </c>
      <c r="U82" s="94">
        <f>K82/E82</f>
        <v>5.0167938931297709</v>
      </c>
      <c r="V82" s="81">
        <v>750</v>
      </c>
      <c r="W82" s="79" t="s">
        <v>1648</v>
      </c>
      <c r="X82" s="79" t="s">
        <v>1650</v>
      </c>
      <c r="Y82" s="81">
        <v>877</v>
      </c>
      <c r="Z82" s="81">
        <v>1424</v>
      </c>
      <c r="AA82" s="81">
        <v>750</v>
      </c>
      <c r="AB82" s="79" t="s">
        <v>1648</v>
      </c>
      <c r="AC82" s="81">
        <v>300</v>
      </c>
      <c r="AD82" s="79" t="s">
        <v>1648</v>
      </c>
      <c r="AE82" s="79" t="s">
        <v>1649</v>
      </c>
      <c r="AF82" s="95">
        <v>0</v>
      </c>
    </row>
    <row r="83" spans="1:32" ht="15.75" thickBot="1" x14ac:dyDescent="0.3">
      <c r="A83" s="79" t="s">
        <v>190</v>
      </c>
      <c r="B83" s="93" t="s">
        <v>229</v>
      </c>
      <c r="C83" s="79" t="s">
        <v>17</v>
      </c>
      <c r="D83" s="81">
        <v>6838</v>
      </c>
      <c r="E83" s="81">
        <v>1468</v>
      </c>
      <c r="F83" s="81">
        <v>11056</v>
      </c>
      <c r="G83" s="81">
        <v>10516</v>
      </c>
      <c r="H83" s="81">
        <v>4121</v>
      </c>
      <c r="I83" s="81">
        <v>13331</v>
      </c>
      <c r="J83" s="81">
        <v>3162</v>
      </c>
      <c r="K83" s="81">
        <v>20614</v>
      </c>
      <c r="L83" s="81">
        <v>9</v>
      </c>
      <c r="M83" s="81">
        <v>17452</v>
      </c>
      <c r="N83" s="81">
        <v>3171</v>
      </c>
      <c r="O83" s="81">
        <v>20623</v>
      </c>
      <c r="P83" s="94">
        <f>O83/D83</f>
        <v>3.0159403334308279</v>
      </c>
      <c r="Q83" s="94">
        <f>H83/D83</f>
        <v>0.60266159695817489</v>
      </c>
      <c r="R83" s="94">
        <f>I83/D83</f>
        <v>1.9495466510675636</v>
      </c>
      <c r="S83" s="94">
        <f>J83/D83</f>
        <v>0.4624159110851126</v>
      </c>
      <c r="T83" s="94">
        <f>K83/D83</f>
        <v>3.0146241591108511</v>
      </c>
      <c r="U83" s="94">
        <f>K83/E83</f>
        <v>14.042234332425068</v>
      </c>
      <c r="V83" s="81">
        <v>2797</v>
      </c>
      <c r="W83" s="79" t="s">
        <v>1648</v>
      </c>
      <c r="X83" s="79" t="s">
        <v>1651</v>
      </c>
      <c r="Y83" s="81">
        <v>667</v>
      </c>
      <c r="Z83" s="81">
        <v>1523</v>
      </c>
      <c r="AA83" s="81">
        <v>1322</v>
      </c>
      <c r="AB83" s="79" t="s">
        <v>1648</v>
      </c>
      <c r="AC83" s="81">
        <v>1421</v>
      </c>
      <c r="AD83" s="79" t="s">
        <v>1648</v>
      </c>
      <c r="AE83" s="79" t="s">
        <v>1649</v>
      </c>
      <c r="AF83" s="77">
        <v>0</v>
      </c>
    </row>
    <row r="84" spans="1:32" ht="15.75" thickBot="1" x14ac:dyDescent="0.3">
      <c r="A84" s="79" t="s">
        <v>192</v>
      </c>
      <c r="B84" s="93" t="s">
        <v>235</v>
      </c>
      <c r="C84" s="79" t="s">
        <v>17</v>
      </c>
      <c r="D84" s="81">
        <v>4869</v>
      </c>
      <c r="E84" s="81">
        <v>1952</v>
      </c>
      <c r="F84" s="81">
        <v>6642</v>
      </c>
      <c r="G84" s="81">
        <v>1050</v>
      </c>
      <c r="H84" s="81">
        <v>1666</v>
      </c>
      <c r="I84" s="81">
        <v>11824</v>
      </c>
      <c r="J84" s="81">
        <v>1664</v>
      </c>
      <c r="K84" s="81">
        <v>15154</v>
      </c>
      <c r="L84" s="81">
        <v>0</v>
      </c>
      <c r="M84" s="81">
        <v>13490</v>
      </c>
      <c r="N84" s="81">
        <v>1664</v>
      </c>
      <c r="O84" s="81">
        <v>15154</v>
      </c>
      <c r="P84" s="94">
        <f>O84/D84</f>
        <v>3.1123433970014376</v>
      </c>
      <c r="Q84" s="94">
        <f>H84/D84</f>
        <v>0.34216471554734029</v>
      </c>
      <c r="R84" s="94">
        <f>I84/D84</f>
        <v>2.4284247278701994</v>
      </c>
      <c r="S84" s="94">
        <f>J84/D84</f>
        <v>0.34175395358389815</v>
      </c>
      <c r="T84" s="94">
        <f>K84/D84</f>
        <v>3.1123433970014376</v>
      </c>
      <c r="U84" s="94">
        <f>K84/E84</f>
        <v>7.7633196721311473</v>
      </c>
      <c r="V84" s="81">
        <v>261</v>
      </c>
      <c r="W84" s="79" t="s">
        <v>1649</v>
      </c>
      <c r="X84" s="79" t="s">
        <v>1650</v>
      </c>
      <c r="Y84" s="81">
        <v>1744</v>
      </c>
      <c r="Z84" s="81">
        <v>2348</v>
      </c>
      <c r="AA84" s="81">
        <v>763</v>
      </c>
      <c r="AB84" s="79" t="s">
        <v>1648</v>
      </c>
      <c r="AC84" s="81">
        <v>520</v>
      </c>
      <c r="AD84" s="79" t="s">
        <v>1648</v>
      </c>
      <c r="AE84" s="79" t="s">
        <v>1649</v>
      </c>
      <c r="AF84" s="95">
        <v>0</v>
      </c>
    </row>
    <row r="85" spans="1:32" ht="15.75" thickBot="1" x14ac:dyDescent="0.3">
      <c r="A85" s="79" t="s">
        <v>194</v>
      </c>
      <c r="B85" s="93" t="s">
        <v>237</v>
      </c>
      <c r="C85" s="79" t="s">
        <v>17</v>
      </c>
      <c r="D85" s="81">
        <v>4768</v>
      </c>
      <c r="E85" s="81">
        <v>1959</v>
      </c>
      <c r="F85" s="81">
        <v>17379</v>
      </c>
      <c r="G85" s="81">
        <v>8357</v>
      </c>
      <c r="H85" s="81">
        <v>3262</v>
      </c>
      <c r="I85" s="81">
        <v>5176</v>
      </c>
      <c r="J85" s="81">
        <v>2120</v>
      </c>
      <c r="K85" s="81">
        <v>10558</v>
      </c>
      <c r="L85" s="81">
        <v>13</v>
      </c>
      <c r="M85" s="81">
        <v>8438</v>
      </c>
      <c r="N85" s="81">
        <v>2133</v>
      </c>
      <c r="O85" s="81">
        <v>10571</v>
      </c>
      <c r="P85" s="94">
        <f>O85/D85</f>
        <v>2.2170721476510069</v>
      </c>
      <c r="Q85" s="94">
        <f>H85/D85</f>
        <v>0.68414429530201337</v>
      </c>
      <c r="R85" s="94">
        <f>I85/D85</f>
        <v>1.0855704697986577</v>
      </c>
      <c r="S85" s="94">
        <f>J85/D85</f>
        <v>0.44463087248322147</v>
      </c>
      <c r="T85" s="94">
        <f>K85/D85</f>
        <v>2.2143456375838926</v>
      </c>
      <c r="U85" s="94">
        <f>K85/E85</f>
        <v>5.3894844308320575</v>
      </c>
      <c r="V85" s="81">
        <v>896</v>
      </c>
      <c r="W85" s="79" t="s">
        <v>1648</v>
      </c>
      <c r="X85" s="79" t="s">
        <v>1650</v>
      </c>
      <c r="Y85" s="81">
        <v>844</v>
      </c>
      <c r="Z85" s="81">
        <v>1274</v>
      </c>
      <c r="AA85" s="81">
        <v>1572</v>
      </c>
      <c r="AB85" s="79" t="s">
        <v>1648</v>
      </c>
      <c r="AC85" s="81">
        <v>1277</v>
      </c>
      <c r="AD85" s="79" t="s">
        <v>1648</v>
      </c>
      <c r="AE85" s="79" t="s">
        <v>1649</v>
      </c>
      <c r="AF85" s="95">
        <v>0</v>
      </c>
    </row>
    <row r="86" spans="1:32" ht="15.75" thickBot="1" x14ac:dyDescent="0.3">
      <c r="A86" s="79" t="s">
        <v>196</v>
      </c>
      <c r="B86" s="93" t="s">
        <v>251</v>
      </c>
      <c r="C86" s="79" t="s">
        <v>17</v>
      </c>
      <c r="D86" s="81">
        <v>5432</v>
      </c>
      <c r="E86" s="81">
        <v>3625</v>
      </c>
      <c r="F86" s="81">
        <v>31848</v>
      </c>
      <c r="G86" s="81">
        <v>55917</v>
      </c>
      <c r="H86" s="81">
        <v>8481</v>
      </c>
      <c r="I86" s="81">
        <v>23628</v>
      </c>
      <c r="J86" s="81">
        <v>6801</v>
      </c>
      <c r="K86" s="81">
        <v>38910</v>
      </c>
      <c r="L86" s="81">
        <v>11400</v>
      </c>
      <c r="M86" s="81">
        <v>32109</v>
      </c>
      <c r="N86" s="81">
        <v>18201</v>
      </c>
      <c r="O86" s="81">
        <v>50310</v>
      </c>
      <c r="P86" s="94">
        <f>O86/D86</f>
        <v>9.2617820324005891</v>
      </c>
      <c r="Q86" s="94">
        <f>H86/D86</f>
        <v>1.5613033873343152</v>
      </c>
      <c r="R86" s="94">
        <f>I86/D86</f>
        <v>4.3497790868924886</v>
      </c>
      <c r="S86" s="94">
        <f>J86/D86</f>
        <v>1.2520250368188512</v>
      </c>
      <c r="T86" s="94">
        <f>K86/D86</f>
        <v>7.1631075110456557</v>
      </c>
      <c r="U86" s="94">
        <f>K86/E86</f>
        <v>10.733793103448276</v>
      </c>
      <c r="V86" s="81">
        <v>298</v>
      </c>
      <c r="W86" s="79" t="s">
        <v>1648</v>
      </c>
      <c r="X86" s="79" t="s">
        <v>1650</v>
      </c>
      <c r="Y86" s="81">
        <v>564</v>
      </c>
      <c r="Z86" s="81">
        <v>2497</v>
      </c>
      <c r="AA86" s="81">
        <v>4424</v>
      </c>
      <c r="AB86" s="79" t="s">
        <v>1648</v>
      </c>
      <c r="AC86" s="81">
        <v>13169</v>
      </c>
      <c r="AD86" s="79" t="s">
        <v>1648</v>
      </c>
      <c r="AE86" s="79" t="s">
        <v>1648</v>
      </c>
      <c r="AF86" s="81">
        <v>50</v>
      </c>
    </row>
    <row r="87" spans="1:32" ht="15.75" thickBot="1" x14ac:dyDescent="0.3">
      <c r="A87" s="79" t="s">
        <v>198</v>
      </c>
      <c r="B87" s="93" t="s">
        <v>279</v>
      </c>
      <c r="C87" s="79" t="s">
        <v>17</v>
      </c>
      <c r="D87" s="81">
        <v>6164</v>
      </c>
      <c r="E87" s="81">
        <v>4219</v>
      </c>
      <c r="F87" s="81">
        <v>29242</v>
      </c>
      <c r="G87" s="81">
        <v>6959</v>
      </c>
      <c r="H87" s="81">
        <v>8212</v>
      </c>
      <c r="I87" s="81">
        <v>17471</v>
      </c>
      <c r="J87" s="81">
        <v>3815</v>
      </c>
      <c r="K87" s="81">
        <v>29498</v>
      </c>
      <c r="L87" s="81">
        <v>0</v>
      </c>
      <c r="M87" s="81">
        <v>25683</v>
      </c>
      <c r="N87" s="81">
        <v>3815</v>
      </c>
      <c r="O87" s="81">
        <v>29498</v>
      </c>
      <c r="P87" s="94">
        <f>O87/D87</f>
        <v>4.7855288773523688</v>
      </c>
      <c r="Q87" s="94">
        <f>H87/D87</f>
        <v>1.3322517845554835</v>
      </c>
      <c r="R87" s="94">
        <f>I87/D87</f>
        <v>2.8343608046722908</v>
      </c>
      <c r="S87" s="94">
        <f>J87/D87</f>
        <v>0.61891628812459443</v>
      </c>
      <c r="T87" s="94">
        <f>K87/D87</f>
        <v>4.7855288773523688</v>
      </c>
      <c r="U87" s="94">
        <f>K87/E87</f>
        <v>6.9917041953069452</v>
      </c>
      <c r="V87" s="81">
        <v>5150</v>
      </c>
      <c r="W87" s="79" t="s">
        <v>1648</v>
      </c>
      <c r="X87" s="79" t="s">
        <v>1650</v>
      </c>
      <c r="Y87" s="81">
        <v>3985</v>
      </c>
      <c r="Z87" s="81">
        <v>2925</v>
      </c>
      <c r="AA87" s="81">
        <v>4132</v>
      </c>
      <c r="AB87" s="79" t="s">
        <v>1648</v>
      </c>
      <c r="AC87" s="81">
        <v>3301</v>
      </c>
      <c r="AD87" s="79" t="s">
        <v>1648</v>
      </c>
      <c r="AE87" s="79" t="s">
        <v>1649</v>
      </c>
      <c r="AF87" s="95">
        <v>0</v>
      </c>
    </row>
    <row r="88" spans="1:32" ht="15.75" thickBot="1" x14ac:dyDescent="0.3">
      <c r="A88" s="79" t="s">
        <v>200</v>
      </c>
      <c r="B88" s="93" t="s">
        <v>289</v>
      </c>
      <c r="C88" s="79" t="s">
        <v>17</v>
      </c>
      <c r="D88" s="81">
        <v>5641</v>
      </c>
      <c r="E88" s="81">
        <v>779</v>
      </c>
      <c r="F88" s="81">
        <v>4784</v>
      </c>
      <c r="G88" s="81">
        <v>6432</v>
      </c>
      <c r="H88" s="81">
        <v>7438</v>
      </c>
      <c r="I88" s="81">
        <v>17586</v>
      </c>
      <c r="J88" s="81">
        <v>3751</v>
      </c>
      <c r="K88" s="81">
        <v>28775</v>
      </c>
      <c r="L88" s="81">
        <v>0</v>
      </c>
      <c r="M88" s="81">
        <v>25024</v>
      </c>
      <c r="N88" s="81">
        <v>3751</v>
      </c>
      <c r="O88" s="81">
        <v>28775</v>
      </c>
      <c r="P88" s="94">
        <f>O88/D88</f>
        <v>5.1010459138450628</v>
      </c>
      <c r="Q88" s="94">
        <f>H88/D88</f>
        <v>1.3185605389115405</v>
      </c>
      <c r="R88" s="94">
        <f>I88/D88</f>
        <v>3.1175323524197838</v>
      </c>
      <c r="S88" s="94">
        <f>J88/D88</f>
        <v>0.66495302251373867</v>
      </c>
      <c r="T88" s="94">
        <f>K88/D88</f>
        <v>5.1010459138450628</v>
      </c>
      <c r="U88" s="94">
        <f>K88/E88</f>
        <v>36.938382541720152</v>
      </c>
      <c r="V88" s="81">
        <v>224</v>
      </c>
      <c r="W88" s="79" t="s">
        <v>1648</v>
      </c>
      <c r="X88" s="79" t="s">
        <v>1650</v>
      </c>
      <c r="Y88" s="81">
        <v>1824</v>
      </c>
      <c r="Z88" s="81">
        <v>1577</v>
      </c>
      <c r="AA88" s="81">
        <v>351</v>
      </c>
      <c r="AB88" s="79" t="s">
        <v>1648</v>
      </c>
      <c r="AC88" s="81">
        <v>4176</v>
      </c>
      <c r="AD88" s="79" t="s">
        <v>1648</v>
      </c>
      <c r="AE88" s="79" t="s">
        <v>1649</v>
      </c>
      <c r="AF88" s="95">
        <v>0</v>
      </c>
    </row>
    <row r="89" spans="1:32" ht="15.75" thickBot="1" x14ac:dyDescent="0.3">
      <c r="A89" s="79" t="s">
        <v>202</v>
      </c>
      <c r="B89" s="93" t="s">
        <v>333</v>
      </c>
      <c r="C89" s="79" t="s">
        <v>17</v>
      </c>
      <c r="D89" s="81">
        <v>6119</v>
      </c>
      <c r="E89" s="81">
        <v>1691</v>
      </c>
      <c r="F89" s="81">
        <v>11943</v>
      </c>
      <c r="G89" s="81">
        <v>4607</v>
      </c>
      <c r="H89" s="81">
        <v>8839</v>
      </c>
      <c r="I89" s="81">
        <v>13546</v>
      </c>
      <c r="J89" s="81">
        <v>3169</v>
      </c>
      <c r="K89" s="81">
        <v>25554</v>
      </c>
      <c r="L89" s="81">
        <v>4937</v>
      </c>
      <c r="M89" s="81">
        <v>22385</v>
      </c>
      <c r="N89" s="81">
        <v>8106</v>
      </c>
      <c r="O89" s="81">
        <v>30491</v>
      </c>
      <c r="P89" s="94">
        <f>O89/D89</f>
        <v>4.9830037587841147</v>
      </c>
      <c r="Q89" s="94">
        <f>H89/D89</f>
        <v>1.444517077953914</v>
      </c>
      <c r="R89" s="94">
        <f>I89/D89</f>
        <v>2.2137604183690147</v>
      </c>
      <c r="S89" s="94">
        <f>J89/D89</f>
        <v>0.51789508089557112</v>
      </c>
      <c r="T89" s="94">
        <f>K89/D89</f>
        <v>4.1761725772184999</v>
      </c>
      <c r="U89" s="94">
        <f>K89/E89</f>
        <v>15.111768184506209</v>
      </c>
      <c r="V89" s="81">
        <v>600</v>
      </c>
      <c r="W89" s="79" t="s">
        <v>1649</v>
      </c>
      <c r="X89" s="79" t="s">
        <v>1650</v>
      </c>
      <c r="Y89" s="81">
        <v>555</v>
      </c>
      <c r="Z89" s="81">
        <v>1630</v>
      </c>
      <c r="AA89" s="81">
        <v>2600</v>
      </c>
      <c r="AB89" s="79" t="s">
        <v>1648</v>
      </c>
      <c r="AC89" s="81">
        <v>6879</v>
      </c>
      <c r="AD89" s="79" t="s">
        <v>1648</v>
      </c>
      <c r="AE89" s="79" t="s">
        <v>1649</v>
      </c>
      <c r="AF89" s="95">
        <v>0</v>
      </c>
    </row>
    <row r="90" spans="1:32" ht="15.75" thickBot="1" x14ac:dyDescent="0.3">
      <c r="A90" s="79" t="s">
        <v>204</v>
      </c>
      <c r="B90" s="93" t="s">
        <v>343</v>
      </c>
      <c r="C90" s="79" t="s">
        <v>17</v>
      </c>
      <c r="D90" s="81">
        <v>6582</v>
      </c>
      <c r="E90" s="81">
        <v>3501</v>
      </c>
      <c r="F90" s="81">
        <v>26136</v>
      </c>
      <c r="G90" s="81">
        <v>15654</v>
      </c>
      <c r="H90" s="81">
        <v>16382</v>
      </c>
      <c r="I90" s="81">
        <v>13682</v>
      </c>
      <c r="J90" s="81">
        <v>789</v>
      </c>
      <c r="K90" s="81">
        <v>30853</v>
      </c>
      <c r="L90" s="81">
        <v>125</v>
      </c>
      <c r="M90" s="81">
        <v>30064</v>
      </c>
      <c r="N90" s="81">
        <v>914</v>
      </c>
      <c r="O90" s="81">
        <v>30978</v>
      </c>
      <c r="P90" s="94">
        <f>O90/D90</f>
        <v>4.7064721969006378</v>
      </c>
      <c r="Q90" s="94">
        <f>H90/D90</f>
        <v>2.4889091461561836</v>
      </c>
      <c r="R90" s="94">
        <f>I90/D90</f>
        <v>2.0786994834396841</v>
      </c>
      <c r="S90" s="94">
        <f>J90/D90</f>
        <v>0.11987237921604375</v>
      </c>
      <c r="T90" s="94">
        <f>K90/D90</f>
        <v>4.6874810088119112</v>
      </c>
      <c r="U90" s="94">
        <f>K90/E90</f>
        <v>8.8126249642959156</v>
      </c>
      <c r="V90" s="81">
        <v>1967</v>
      </c>
      <c r="W90" s="79" t="s">
        <v>1648</v>
      </c>
      <c r="X90" s="79" t="s">
        <v>1650</v>
      </c>
      <c r="Y90" s="81">
        <v>1109</v>
      </c>
      <c r="Z90" s="81">
        <v>1721</v>
      </c>
      <c r="AA90" s="81">
        <v>10985</v>
      </c>
      <c r="AB90" s="79" t="s">
        <v>1648</v>
      </c>
      <c r="AC90" s="81">
        <v>490</v>
      </c>
      <c r="AD90" s="79" t="s">
        <v>1648</v>
      </c>
      <c r="AE90" s="79" t="s">
        <v>1649</v>
      </c>
      <c r="AF90" s="95">
        <v>0</v>
      </c>
    </row>
    <row r="91" spans="1:32" ht="15.75" thickBot="1" x14ac:dyDescent="0.3">
      <c r="A91" s="79" t="s">
        <v>206</v>
      </c>
      <c r="B91" s="93" t="s">
        <v>353</v>
      </c>
      <c r="C91" s="79" t="s">
        <v>17</v>
      </c>
      <c r="D91" s="81">
        <v>5933</v>
      </c>
      <c r="E91" s="81">
        <v>1217</v>
      </c>
      <c r="F91" s="81">
        <v>13839</v>
      </c>
      <c r="G91" s="81">
        <v>50567</v>
      </c>
      <c r="H91" s="81">
        <v>14057</v>
      </c>
      <c r="I91" s="81">
        <v>23912</v>
      </c>
      <c r="J91" s="81">
        <v>2876</v>
      </c>
      <c r="K91" s="81">
        <v>40845</v>
      </c>
      <c r="L91" s="81">
        <v>1062</v>
      </c>
      <c r="M91" s="81">
        <v>37969</v>
      </c>
      <c r="N91" s="81">
        <v>3938</v>
      </c>
      <c r="O91" s="81">
        <v>41907</v>
      </c>
      <c r="P91" s="94">
        <f>O91/D91</f>
        <v>7.0633743468734203</v>
      </c>
      <c r="Q91" s="94">
        <f>H91/D91</f>
        <v>2.3692904095735714</v>
      </c>
      <c r="R91" s="94">
        <f>I91/D91</f>
        <v>4.0303387830777009</v>
      </c>
      <c r="S91" s="94">
        <f>J91/D91</f>
        <v>0.48474633406371143</v>
      </c>
      <c r="T91" s="94">
        <f>K91/D91</f>
        <v>6.884375526714984</v>
      </c>
      <c r="U91" s="94">
        <f>K91/E91</f>
        <v>33.562037797863596</v>
      </c>
      <c r="V91" s="81">
        <v>4587</v>
      </c>
      <c r="W91" s="79" t="s">
        <v>1649</v>
      </c>
      <c r="X91" s="79" t="s">
        <v>1650</v>
      </c>
      <c r="Y91" s="81">
        <v>2842</v>
      </c>
      <c r="Z91" s="81">
        <v>1637</v>
      </c>
      <c r="AA91" s="81">
        <v>0</v>
      </c>
      <c r="AB91" s="79" t="s">
        <v>1648</v>
      </c>
      <c r="AC91" s="81">
        <v>22112</v>
      </c>
      <c r="AD91" s="79" t="s">
        <v>1649</v>
      </c>
      <c r="AE91" s="79" t="s">
        <v>1649</v>
      </c>
      <c r="AF91" s="77">
        <v>0</v>
      </c>
    </row>
    <row r="92" spans="1:32" ht="15.75" thickBot="1" x14ac:dyDescent="0.3">
      <c r="A92" s="79" t="s">
        <v>208</v>
      </c>
      <c r="B92" s="93" t="s">
        <v>361</v>
      </c>
      <c r="C92" s="79" t="s">
        <v>17</v>
      </c>
      <c r="D92" s="81">
        <v>4220</v>
      </c>
      <c r="E92" s="81">
        <v>766</v>
      </c>
      <c r="F92" s="81">
        <v>10000</v>
      </c>
      <c r="G92" s="81">
        <v>7796</v>
      </c>
      <c r="H92" s="81">
        <v>3607</v>
      </c>
      <c r="I92" s="81">
        <v>7032</v>
      </c>
      <c r="J92" s="81">
        <v>1712</v>
      </c>
      <c r="K92" s="81">
        <v>12351</v>
      </c>
      <c r="L92" s="81">
        <v>0</v>
      </c>
      <c r="M92" s="81">
        <v>10639</v>
      </c>
      <c r="N92" s="81">
        <v>1712</v>
      </c>
      <c r="O92" s="81">
        <v>12351</v>
      </c>
      <c r="P92" s="94">
        <f>O92/D92</f>
        <v>2.9267772511848342</v>
      </c>
      <c r="Q92" s="94">
        <f>H92/D92</f>
        <v>0.85473933649289102</v>
      </c>
      <c r="R92" s="94">
        <f>I92/D92</f>
        <v>1.666350710900474</v>
      </c>
      <c r="S92" s="94">
        <f>J92/D92</f>
        <v>0.40568720379146922</v>
      </c>
      <c r="T92" s="94">
        <f>K92/D92</f>
        <v>2.9267772511848342</v>
      </c>
      <c r="U92" s="94">
        <f>K92/E92</f>
        <v>16.124020887728459</v>
      </c>
      <c r="V92" s="81">
        <v>1300</v>
      </c>
      <c r="W92" s="79" t="s">
        <v>1648</v>
      </c>
      <c r="X92" s="79" t="s">
        <v>1650</v>
      </c>
      <c r="Y92" s="81">
        <v>1717</v>
      </c>
      <c r="Z92" s="81">
        <v>893</v>
      </c>
      <c r="AA92" s="81">
        <v>1420</v>
      </c>
      <c r="AB92" s="79" t="s">
        <v>1648</v>
      </c>
      <c r="AC92" s="81">
        <v>268</v>
      </c>
      <c r="AD92" s="79" t="s">
        <v>1648</v>
      </c>
      <c r="AE92" s="79" t="s">
        <v>1649</v>
      </c>
      <c r="AF92" s="95">
        <v>0</v>
      </c>
    </row>
    <row r="93" spans="1:32" ht="15.75" thickBot="1" x14ac:dyDescent="0.3">
      <c r="A93" s="79" t="s">
        <v>210</v>
      </c>
      <c r="B93" s="93" t="s">
        <v>365</v>
      </c>
      <c r="C93" s="79" t="s">
        <v>17</v>
      </c>
      <c r="D93" s="81">
        <v>4610</v>
      </c>
      <c r="E93" s="81">
        <v>926</v>
      </c>
      <c r="F93" s="81">
        <v>21124</v>
      </c>
      <c r="G93" s="81">
        <v>8219</v>
      </c>
      <c r="H93" s="81">
        <v>10102</v>
      </c>
      <c r="I93" s="81">
        <v>12789</v>
      </c>
      <c r="J93" s="81">
        <v>3678</v>
      </c>
      <c r="K93" s="81">
        <v>26569</v>
      </c>
      <c r="L93" s="81">
        <v>1543</v>
      </c>
      <c r="M93" s="81">
        <v>22891</v>
      </c>
      <c r="N93" s="81">
        <v>5221</v>
      </c>
      <c r="O93" s="81">
        <v>28112</v>
      </c>
      <c r="P93" s="94">
        <f>O93/D93</f>
        <v>6.0980477223427334</v>
      </c>
      <c r="Q93" s="94">
        <f>H93/D93</f>
        <v>2.1913232104121474</v>
      </c>
      <c r="R93" s="94">
        <f>I93/D93</f>
        <v>2.7741865509761388</v>
      </c>
      <c r="S93" s="94">
        <f>J93/D93</f>
        <v>0.79783080260303685</v>
      </c>
      <c r="T93" s="94">
        <f>K93/D93</f>
        <v>5.7633405639913233</v>
      </c>
      <c r="U93" s="94">
        <f>K93/E93</f>
        <v>28.692224622030238</v>
      </c>
      <c r="V93" s="81">
        <v>3120</v>
      </c>
      <c r="W93" s="79" t="s">
        <v>1648</v>
      </c>
      <c r="X93" s="79" t="s">
        <v>1650</v>
      </c>
      <c r="Y93" s="81">
        <v>1666</v>
      </c>
      <c r="Z93" s="81">
        <v>2071</v>
      </c>
      <c r="AA93" s="81">
        <v>4095</v>
      </c>
      <c r="AB93" s="79" t="s">
        <v>1648</v>
      </c>
      <c r="AC93" s="81">
        <v>2040</v>
      </c>
      <c r="AD93" s="79" t="s">
        <v>1648</v>
      </c>
      <c r="AE93" s="79" t="s">
        <v>1648</v>
      </c>
      <c r="AF93" s="81">
        <v>3</v>
      </c>
    </row>
    <row r="94" spans="1:32" ht="15.75" thickBot="1" x14ac:dyDescent="0.3">
      <c r="A94" s="79" t="s">
        <v>212</v>
      </c>
      <c r="B94" s="93" t="s">
        <v>371</v>
      </c>
      <c r="C94" s="79" t="s">
        <v>17</v>
      </c>
      <c r="D94" s="81">
        <v>5531</v>
      </c>
      <c r="E94" s="81">
        <v>3401</v>
      </c>
      <c r="F94" s="81">
        <v>7765</v>
      </c>
      <c r="G94" s="81">
        <v>1400</v>
      </c>
      <c r="H94" s="81">
        <v>567</v>
      </c>
      <c r="I94" s="81">
        <v>7136</v>
      </c>
      <c r="J94" s="81">
        <v>435</v>
      </c>
      <c r="K94" s="81">
        <v>8138</v>
      </c>
      <c r="L94" s="81">
        <v>0</v>
      </c>
      <c r="M94" s="81">
        <v>7703</v>
      </c>
      <c r="N94" s="81">
        <v>435</v>
      </c>
      <c r="O94" s="81">
        <v>8138</v>
      </c>
      <c r="P94" s="94">
        <f>O94/D94</f>
        <v>1.4713433375519798</v>
      </c>
      <c r="Q94" s="94">
        <f>H94/D94</f>
        <v>0.1025131079370819</v>
      </c>
      <c r="R94" s="94">
        <f>I94/D94</f>
        <v>1.2901826071234859</v>
      </c>
      <c r="S94" s="94">
        <f>J94/D94</f>
        <v>7.8647622491412036E-2</v>
      </c>
      <c r="T94" s="94">
        <f>K94/D94</f>
        <v>1.4713433375519798</v>
      </c>
      <c r="U94" s="94">
        <f>K94/E94</f>
        <v>2.3928256395177887</v>
      </c>
      <c r="V94" s="81">
        <v>632</v>
      </c>
      <c r="W94" s="79" t="s">
        <v>1649</v>
      </c>
      <c r="X94" s="79" t="s">
        <v>1651</v>
      </c>
      <c r="Y94" s="81">
        <v>1290</v>
      </c>
      <c r="Z94" s="81">
        <v>800</v>
      </c>
      <c r="AA94" s="81">
        <v>805</v>
      </c>
      <c r="AB94" s="79" t="s">
        <v>1648</v>
      </c>
      <c r="AC94" s="81">
        <v>364</v>
      </c>
      <c r="AD94" s="79" t="s">
        <v>1649</v>
      </c>
      <c r="AE94" s="79" t="s">
        <v>1649</v>
      </c>
      <c r="AF94" s="95">
        <v>0</v>
      </c>
    </row>
    <row r="95" spans="1:32" ht="15.75" thickBot="1" x14ac:dyDescent="0.3">
      <c r="A95" s="79" t="s">
        <v>214</v>
      </c>
      <c r="B95" s="93" t="s">
        <v>375</v>
      </c>
      <c r="C95" s="79" t="s">
        <v>17</v>
      </c>
      <c r="D95" s="81">
        <v>5107</v>
      </c>
      <c r="E95" s="81">
        <v>1508</v>
      </c>
      <c r="F95" s="81">
        <v>5909</v>
      </c>
      <c r="G95" s="81">
        <v>6000</v>
      </c>
      <c r="H95" s="81">
        <v>1699</v>
      </c>
      <c r="I95" s="81">
        <v>8050</v>
      </c>
      <c r="J95" s="81">
        <v>2445</v>
      </c>
      <c r="K95" s="81">
        <v>12194</v>
      </c>
      <c r="L95" s="77" t="s">
        <v>1660</v>
      </c>
      <c r="M95" s="81">
        <v>9749</v>
      </c>
      <c r="N95" s="81">
        <v>2445</v>
      </c>
      <c r="O95" s="81">
        <v>12194</v>
      </c>
      <c r="P95" s="94">
        <f>O95/D95</f>
        <v>2.3877031525357353</v>
      </c>
      <c r="Q95" s="94">
        <f>H95/D95</f>
        <v>0.3326806344233405</v>
      </c>
      <c r="R95" s="94">
        <f>I95/D95</f>
        <v>1.5762678676326611</v>
      </c>
      <c r="S95" s="94">
        <f>J95/D95</f>
        <v>0.4787546504797337</v>
      </c>
      <c r="T95" s="94">
        <f>K95/D95</f>
        <v>2.3877031525357353</v>
      </c>
      <c r="U95" s="94">
        <f>K95/E95</f>
        <v>8.0862068965517242</v>
      </c>
      <c r="V95" s="81">
        <v>2570</v>
      </c>
      <c r="W95" s="79" t="s">
        <v>1648</v>
      </c>
      <c r="X95" s="79" t="s">
        <v>1651</v>
      </c>
      <c r="Y95" s="81">
        <v>327</v>
      </c>
      <c r="Z95" s="81">
        <v>178</v>
      </c>
      <c r="AA95" s="81">
        <v>1175</v>
      </c>
      <c r="AB95" s="79" t="s">
        <v>1648</v>
      </c>
      <c r="AC95" s="81">
        <v>2145</v>
      </c>
      <c r="AD95" s="79" t="s">
        <v>1648</v>
      </c>
      <c r="AE95" s="79" t="s">
        <v>1649</v>
      </c>
      <c r="AF95" s="95">
        <v>0</v>
      </c>
    </row>
    <row r="96" spans="1:32" ht="15.75" thickBot="1" x14ac:dyDescent="0.3">
      <c r="A96" s="79" t="s">
        <v>216</v>
      </c>
      <c r="B96" s="93" t="s">
        <v>381</v>
      </c>
      <c r="C96" s="79" t="s">
        <v>17</v>
      </c>
      <c r="D96" s="81">
        <v>5784</v>
      </c>
      <c r="E96" s="81">
        <v>65258</v>
      </c>
      <c r="F96" s="81">
        <v>60716</v>
      </c>
      <c r="G96" s="81">
        <v>0</v>
      </c>
      <c r="H96" s="81">
        <v>26781</v>
      </c>
      <c r="I96" s="81">
        <v>44134</v>
      </c>
      <c r="J96" s="81">
        <v>0</v>
      </c>
      <c r="K96" s="81">
        <v>70915</v>
      </c>
      <c r="L96" s="81">
        <v>0</v>
      </c>
      <c r="M96" s="81">
        <v>70915</v>
      </c>
      <c r="N96" s="81">
        <v>0</v>
      </c>
      <c r="O96" s="81">
        <v>70915</v>
      </c>
      <c r="P96" s="94">
        <f>O96/D96</f>
        <v>12.260546334716459</v>
      </c>
      <c r="Q96" s="94">
        <f>H96/D96</f>
        <v>4.6301867219917012</v>
      </c>
      <c r="R96" s="94">
        <f>I96/D96</f>
        <v>7.6303596127247584</v>
      </c>
      <c r="S96" s="94">
        <f>J96/D96</f>
        <v>0</v>
      </c>
      <c r="T96" s="94">
        <f>K96/D96</f>
        <v>12.260546334716459</v>
      </c>
      <c r="U96" s="94">
        <f>K96/E96</f>
        <v>1.0866866897545129</v>
      </c>
      <c r="V96" s="81">
        <v>5465</v>
      </c>
      <c r="W96" s="79" t="s">
        <v>1648</v>
      </c>
      <c r="X96" s="79" t="s">
        <v>1650</v>
      </c>
      <c r="Y96" s="81">
        <v>9098</v>
      </c>
      <c r="Z96" s="81">
        <v>23630</v>
      </c>
      <c r="AA96" s="81">
        <v>5279</v>
      </c>
      <c r="AB96" s="79" t="s">
        <v>1648</v>
      </c>
      <c r="AC96" s="81">
        <v>17994</v>
      </c>
      <c r="AD96" s="79" t="s">
        <v>1648</v>
      </c>
      <c r="AE96" s="79" t="s">
        <v>1649</v>
      </c>
      <c r="AF96" s="95">
        <v>0</v>
      </c>
    </row>
    <row r="97" spans="1:32" ht="15.75" thickBot="1" x14ac:dyDescent="0.3">
      <c r="A97" s="79" t="s">
        <v>218</v>
      </c>
      <c r="B97" s="93" t="s">
        <v>387</v>
      </c>
      <c r="C97" s="79" t="s">
        <v>17</v>
      </c>
      <c r="D97" s="81">
        <v>5713</v>
      </c>
      <c r="E97" s="81">
        <v>2274</v>
      </c>
      <c r="F97" s="81">
        <v>8800</v>
      </c>
      <c r="G97" s="81">
        <v>7410</v>
      </c>
      <c r="H97" s="81">
        <v>2999</v>
      </c>
      <c r="I97" s="81">
        <v>12486</v>
      </c>
      <c r="J97" s="81">
        <v>3229</v>
      </c>
      <c r="K97" s="81">
        <v>18714</v>
      </c>
      <c r="L97" s="81">
        <v>0</v>
      </c>
      <c r="M97" s="81">
        <v>15485</v>
      </c>
      <c r="N97" s="81">
        <v>3229</v>
      </c>
      <c r="O97" s="81">
        <v>18714</v>
      </c>
      <c r="P97" s="94">
        <f>O97/D97</f>
        <v>3.2756870295816558</v>
      </c>
      <c r="Q97" s="94">
        <f>H97/D97</f>
        <v>0.52494311220024503</v>
      </c>
      <c r="R97" s="94">
        <f>I97/D97</f>
        <v>2.1855417468930511</v>
      </c>
      <c r="S97" s="94">
        <f>J97/D97</f>
        <v>0.56520217048835986</v>
      </c>
      <c r="T97" s="94">
        <f>K97/D97</f>
        <v>3.2756870295816558</v>
      </c>
      <c r="U97" s="94">
        <f>K97/E97</f>
        <v>8.2295514511873353</v>
      </c>
      <c r="V97" s="81">
        <v>680</v>
      </c>
      <c r="W97" s="79" t="s">
        <v>1648</v>
      </c>
      <c r="X97" s="79" t="s">
        <v>1650</v>
      </c>
      <c r="Y97" s="81">
        <v>1263</v>
      </c>
      <c r="Z97" s="81">
        <v>1216</v>
      </c>
      <c r="AA97" s="81">
        <v>1302</v>
      </c>
      <c r="AB97" s="79" t="s">
        <v>1648</v>
      </c>
      <c r="AC97" s="81">
        <v>3047</v>
      </c>
      <c r="AD97" s="79" t="s">
        <v>1648</v>
      </c>
      <c r="AE97" s="79" t="s">
        <v>1649</v>
      </c>
      <c r="AF97" s="95">
        <v>0</v>
      </c>
    </row>
    <row r="98" spans="1:32" ht="15.75" thickBot="1" x14ac:dyDescent="0.3">
      <c r="A98" s="79" t="s">
        <v>220</v>
      </c>
      <c r="B98" s="93" t="s">
        <v>391</v>
      </c>
      <c r="C98" s="79" t="s">
        <v>17</v>
      </c>
      <c r="D98" s="81">
        <v>6443</v>
      </c>
      <c r="E98" s="81">
        <v>3315</v>
      </c>
      <c r="F98" s="81">
        <v>5700</v>
      </c>
      <c r="G98" s="81">
        <v>5862</v>
      </c>
      <c r="H98" s="81">
        <v>4262</v>
      </c>
      <c r="I98" s="81">
        <v>5210</v>
      </c>
      <c r="J98" s="81">
        <v>2740</v>
      </c>
      <c r="K98" s="81">
        <v>12212</v>
      </c>
      <c r="L98" s="81">
        <v>0</v>
      </c>
      <c r="M98" s="81">
        <v>9472</v>
      </c>
      <c r="N98" s="81">
        <v>2740</v>
      </c>
      <c r="O98" s="81">
        <v>12212</v>
      </c>
      <c r="P98" s="94">
        <f>O98/D98</f>
        <v>1.8953903461120596</v>
      </c>
      <c r="Q98" s="94">
        <f>H98/D98</f>
        <v>0.66149309327952821</v>
      </c>
      <c r="R98" s="94">
        <f>I98/D98</f>
        <v>0.808629520409747</v>
      </c>
      <c r="S98" s="94">
        <f>J98/D98</f>
        <v>0.42526773242278443</v>
      </c>
      <c r="T98" s="94">
        <f>K98/D98</f>
        <v>1.8953903461120596</v>
      </c>
      <c r="U98" s="94">
        <f>K98/E98</f>
        <v>3.6838612368024131</v>
      </c>
      <c r="V98" s="81">
        <v>975</v>
      </c>
      <c r="W98" s="79" t="s">
        <v>1648</v>
      </c>
      <c r="X98" s="79" t="s">
        <v>1650</v>
      </c>
      <c r="Y98" s="81">
        <v>1453</v>
      </c>
      <c r="Z98" s="81">
        <v>2160</v>
      </c>
      <c r="AA98" s="81">
        <v>320</v>
      </c>
      <c r="AB98" s="79" t="s">
        <v>1648</v>
      </c>
      <c r="AC98" s="81">
        <v>1750</v>
      </c>
      <c r="AD98" s="79" t="s">
        <v>1648</v>
      </c>
      <c r="AE98" s="79" t="s">
        <v>1649</v>
      </c>
      <c r="AF98" s="95">
        <v>0</v>
      </c>
    </row>
    <row r="99" spans="1:32" ht="15.75" thickBot="1" x14ac:dyDescent="0.3">
      <c r="A99" s="79" t="s">
        <v>222</v>
      </c>
      <c r="B99" s="93" t="s">
        <v>395</v>
      </c>
      <c r="C99" s="79" t="s">
        <v>17</v>
      </c>
      <c r="D99" s="81">
        <v>4080</v>
      </c>
      <c r="E99" s="81">
        <v>1129</v>
      </c>
      <c r="F99" s="81">
        <v>5500</v>
      </c>
      <c r="G99" s="81">
        <v>3403</v>
      </c>
      <c r="H99" s="81">
        <v>191</v>
      </c>
      <c r="I99" s="81">
        <v>5360</v>
      </c>
      <c r="J99" s="81">
        <v>797</v>
      </c>
      <c r="K99" s="81">
        <v>6348</v>
      </c>
      <c r="L99" s="81">
        <v>3</v>
      </c>
      <c r="M99" s="81">
        <v>5551</v>
      </c>
      <c r="N99" s="81">
        <v>800</v>
      </c>
      <c r="O99" s="81">
        <v>6351</v>
      </c>
      <c r="P99" s="94">
        <f>O99/D99</f>
        <v>1.5566176470588236</v>
      </c>
      <c r="Q99" s="94">
        <f>H99/D99</f>
        <v>4.6813725490196079E-2</v>
      </c>
      <c r="R99" s="94">
        <f>I99/D99</f>
        <v>1.3137254901960784</v>
      </c>
      <c r="S99" s="94">
        <f>J99/D99</f>
        <v>0.19534313725490196</v>
      </c>
      <c r="T99" s="94">
        <f>K99/D99</f>
        <v>1.5558823529411765</v>
      </c>
      <c r="U99" s="94">
        <f>K99/E99</f>
        <v>5.622674933569531</v>
      </c>
      <c r="V99" s="81">
        <v>150</v>
      </c>
      <c r="W99" s="79" t="s">
        <v>1648</v>
      </c>
      <c r="X99" s="79" t="s">
        <v>1650</v>
      </c>
      <c r="Y99" s="81">
        <v>338</v>
      </c>
      <c r="Z99" s="81">
        <v>449</v>
      </c>
      <c r="AA99" s="81">
        <v>298</v>
      </c>
      <c r="AB99" s="79" t="s">
        <v>1648</v>
      </c>
      <c r="AC99" s="81">
        <v>100</v>
      </c>
      <c r="AD99" s="79" t="s">
        <v>1648</v>
      </c>
      <c r="AE99" s="79" t="s">
        <v>1649</v>
      </c>
      <c r="AF99" s="95">
        <v>0</v>
      </c>
    </row>
    <row r="100" spans="1:32" ht="15.75" thickBot="1" x14ac:dyDescent="0.3">
      <c r="A100" s="79" t="s">
        <v>224</v>
      </c>
      <c r="B100" s="93" t="s">
        <v>397</v>
      </c>
      <c r="C100" s="79" t="s">
        <v>17</v>
      </c>
      <c r="D100" s="81">
        <v>5210</v>
      </c>
      <c r="E100" s="81">
        <v>707</v>
      </c>
      <c r="F100" s="81">
        <v>12352</v>
      </c>
      <c r="G100" s="81">
        <v>9356</v>
      </c>
      <c r="H100" s="81">
        <v>11713</v>
      </c>
      <c r="I100" s="81">
        <v>19594</v>
      </c>
      <c r="J100" s="81">
        <v>2545</v>
      </c>
      <c r="K100" s="81">
        <v>33852</v>
      </c>
      <c r="L100" s="81">
        <v>1910</v>
      </c>
      <c r="M100" s="81">
        <v>31307</v>
      </c>
      <c r="N100" s="81">
        <v>4455</v>
      </c>
      <c r="O100" s="81">
        <v>35762</v>
      </c>
      <c r="P100" s="94">
        <f>O100/D100</f>
        <v>6.8641074856046069</v>
      </c>
      <c r="Q100" s="94">
        <f>H100/D100</f>
        <v>2.2481765834932821</v>
      </c>
      <c r="R100" s="94">
        <f>I100/D100</f>
        <v>3.76084452975048</v>
      </c>
      <c r="S100" s="94">
        <f>J100/D100</f>
        <v>0.48848368522072938</v>
      </c>
      <c r="T100" s="94">
        <f>K100/D100</f>
        <v>6.4975047984644911</v>
      </c>
      <c r="U100" s="94">
        <f>K100/E100</f>
        <v>47.881188118811885</v>
      </c>
      <c r="V100" s="81">
        <v>9360</v>
      </c>
      <c r="W100" s="79" t="s">
        <v>1648</v>
      </c>
      <c r="X100" s="79" t="s">
        <v>1650</v>
      </c>
      <c r="Y100" s="81">
        <v>693</v>
      </c>
      <c r="Z100" s="81">
        <v>1640</v>
      </c>
      <c r="AA100" s="81">
        <v>1775</v>
      </c>
      <c r="AB100" s="79" t="s">
        <v>1648</v>
      </c>
      <c r="AC100" s="81">
        <v>752</v>
      </c>
      <c r="AD100" s="79" t="s">
        <v>1648</v>
      </c>
      <c r="AE100" s="79" t="s">
        <v>1649</v>
      </c>
      <c r="AF100" s="95">
        <v>0</v>
      </c>
    </row>
    <row r="101" spans="1:32" ht="15.75" thickBot="1" x14ac:dyDescent="0.3">
      <c r="A101" s="79" t="s">
        <v>226</v>
      </c>
      <c r="B101" s="93" t="s">
        <v>399</v>
      </c>
      <c r="C101" s="79" t="s">
        <v>17</v>
      </c>
      <c r="D101" s="81">
        <v>6997</v>
      </c>
      <c r="E101" s="81">
        <v>4286</v>
      </c>
      <c r="F101" s="81">
        <v>10449</v>
      </c>
      <c r="G101" s="81">
        <v>2337</v>
      </c>
      <c r="H101" s="81">
        <v>496</v>
      </c>
      <c r="I101" s="81">
        <v>11409</v>
      </c>
      <c r="J101" s="81">
        <v>5305</v>
      </c>
      <c r="K101" s="81">
        <v>17210</v>
      </c>
      <c r="L101" s="81">
        <v>83</v>
      </c>
      <c r="M101" s="81">
        <v>11905</v>
      </c>
      <c r="N101" s="81">
        <v>5388</v>
      </c>
      <c r="O101" s="81">
        <v>17293</v>
      </c>
      <c r="P101" s="94">
        <f>O101/D101</f>
        <v>2.4714877804773474</v>
      </c>
      <c r="Q101" s="94">
        <f>H101/D101</f>
        <v>7.0887523224238955E-2</v>
      </c>
      <c r="R101" s="94">
        <f>I101/D101</f>
        <v>1.6305559525510933</v>
      </c>
      <c r="S101" s="94">
        <f>J101/D101</f>
        <v>0.75818207803344295</v>
      </c>
      <c r="T101" s="94">
        <f>K101/D101</f>
        <v>2.4596255538087752</v>
      </c>
      <c r="U101" s="94">
        <f>K101/E101</f>
        <v>4.0153989734017737</v>
      </c>
      <c r="V101" s="81">
        <v>1655</v>
      </c>
      <c r="W101" s="79" t="s">
        <v>1648</v>
      </c>
      <c r="X101" s="79" t="s">
        <v>1650</v>
      </c>
      <c r="Y101" s="81">
        <v>1865</v>
      </c>
      <c r="Z101" s="81">
        <v>2546</v>
      </c>
      <c r="AA101" s="81">
        <v>2337</v>
      </c>
      <c r="AB101" s="79" t="s">
        <v>1648</v>
      </c>
      <c r="AC101" s="81">
        <v>0</v>
      </c>
      <c r="AD101" s="79" t="s">
        <v>1648</v>
      </c>
      <c r="AE101" s="79" t="s">
        <v>1649</v>
      </c>
      <c r="AF101" s="95">
        <v>0</v>
      </c>
    </row>
    <row r="102" spans="1:32" ht="15.75" thickBot="1" x14ac:dyDescent="0.3">
      <c r="A102" s="79" t="s">
        <v>228</v>
      </c>
      <c r="B102" s="93" t="s">
        <v>413</v>
      </c>
      <c r="C102" s="79" t="s">
        <v>17</v>
      </c>
      <c r="D102" s="81">
        <v>4168</v>
      </c>
      <c r="E102" s="81">
        <v>2476</v>
      </c>
      <c r="F102" s="81">
        <v>19000</v>
      </c>
      <c r="G102" s="81">
        <v>16000</v>
      </c>
      <c r="H102" s="81">
        <v>15374</v>
      </c>
      <c r="I102" s="81">
        <v>14231</v>
      </c>
      <c r="J102" s="81">
        <v>4151</v>
      </c>
      <c r="K102" s="81">
        <v>33756</v>
      </c>
      <c r="L102" s="81">
        <v>0</v>
      </c>
      <c r="M102" s="81">
        <v>29605</v>
      </c>
      <c r="N102" s="81">
        <v>4151</v>
      </c>
      <c r="O102" s="81">
        <v>33756</v>
      </c>
      <c r="P102" s="94">
        <f>O102/D102</f>
        <v>8.0988483685220736</v>
      </c>
      <c r="Q102" s="94">
        <f>H102/D102</f>
        <v>3.6885796545105567</v>
      </c>
      <c r="R102" s="94">
        <f>I102/D102</f>
        <v>3.4143474088291748</v>
      </c>
      <c r="S102" s="94">
        <f>J102/D102</f>
        <v>0.99592130518234168</v>
      </c>
      <c r="T102" s="94">
        <f>K102/D102</f>
        <v>8.0988483685220736</v>
      </c>
      <c r="U102" s="94">
        <f>K102/E102</f>
        <v>13.633279483037157</v>
      </c>
      <c r="V102" s="81">
        <v>1500</v>
      </c>
      <c r="W102" s="79" t="s">
        <v>1648</v>
      </c>
      <c r="X102" s="79" t="s">
        <v>1650</v>
      </c>
      <c r="Y102" s="81">
        <v>4105</v>
      </c>
      <c r="Z102" s="81">
        <v>1821</v>
      </c>
      <c r="AA102" s="81">
        <v>1736</v>
      </c>
      <c r="AB102" s="79" t="s">
        <v>1648</v>
      </c>
      <c r="AC102" s="81">
        <v>10680</v>
      </c>
      <c r="AD102" s="79" t="s">
        <v>1648</v>
      </c>
      <c r="AE102" s="79" t="s">
        <v>1649</v>
      </c>
      <c r="AF102" s="95">
        <v>0</v>
      </c>
    </row>
    <row r="103" spans="1:32" ht="15.75" thickBot="1" x14ac:dyDescent="0.3">
      <c r="A103" s="79" t="s">
        <v>230</v>
      </c>
      <c r="B103" s="93" t="s">
        <v>426</v>
      </c>
      <c r="C103" s="79" t="s">
        <v>17</v>
      </c>
      <c r="D103" s="81">
        <v>4934</v>
      </c>
      <c r="E103" s="81">
        <v>1668</v>
      </c>
      <c r="F103" s="81">
        <v>26480</v>
      </c>
      <c r="G103" s="81">
        <v>18395</v>
      </c>
      <c r="H103" s="81">
        <v>30818</v>
      </c>
      <c r="I103" s="81">
        <v>43588</v>
      </c>
      <c r="J103" s="81">
        <v>5208</v>
      </c>
      <c r="K103" s="81">
        <v>79614</v>
      </c>
      <c r="L103" s="81">
        <v>0</v>
      </c>
      <c r="M103" s="81">
        <v>74406</v>
      </c>
      <c r="N103" s="81">
        <v>5208</v>
      </c>
      <c r="O103" s="81">
        <v>79614</v>
      </c>
      <c r="P103" s="94">
        <f>O103/D103</f>
        <v>16.135792460478314</v>
      </c>
      <c r="Q103" s="94">
        <f>H103/D103</f>
        <v>6.2460478313741383</v>
      </c>
      <c r="R103" s="94">
        <f>I103/D103</f>
        <v>8.8342115930279697</v>
      </c>
      <c r="S103" s="94">
        <f>J103/D103</f>
        <v>1.0555330360762059</v>
      </c>
      <c r="T103" s="94">
        <f>K103/D103</f>
        <v>16.135792460478314</v>
      </c>
      <c r="U103" s="94">
        <f>K103/E103</f>
        <v>47.730215827338128</v>
      </c>
      <c r="V103" s="81">
        <v>964</v>
      </c>
      <c r="W103" s="79" t="s">
        <v>1648</v>
      </c>
      <c r="X103" s="79" t="s">
        <v>1650</v>
      </c>
      <c r="Y103" s="81">
        <v>3953</v>
      </c>
      <c r="Z103" s="81">
        <v>3280</v>
      </c>
      <c r="AA103" s="81">
        <v>5453</v>
      </c>
      <c r="AB103" s="79" t="s">
        <v>1648</v>
      </c>
      <c r="AC103" s="81">
        <v>5431</v>
      </c>
      <c r="AD103" s="79" t="s">
        <v>1648</v>
      </c>
      <c r="AE103" s="79" t="s">
        <v>1649</v>
      </c>
      <c r="AF103" s="95">
        <v>0</v>
      </c>
    </row>
    <row r="104" spans="1:32" ht="15.75" thickBot="1" x14ac:dyDescent="0.3">
      <c r="A104" s="79" t="s">
        <v>232</v>
      </c>
      <c r="B104" s="93" t="s">
        <v>428</v>
      </c>
      <c r="C104" s="79" t="s">
        <v>17</v>
      </c>
      <c r="D104" s="81">
        <v>5857</v>
      </c>
      <c r="E104" s="81">
        <v>5553</v>
      </c>
      <c r="F104" s="81">
        <v>29179</v>
      </c>
      <c r="G104" s="81">
        <v>7501</v>
      </c>
      <c r="H104" s="81">
        <v>11834</v>
      </c>
      <c r="I104" s="81">
        <v>18892</v>
      </c>
      <c r="J104" s="81">
        <v>6208</v>
      </c>
      <c r="K104" s="81">
        <v>36934</v>
      </c>
      <c r="L104" s="81">
        <v>267</v>
      </c>
      <c r="M104" s="81">
        <v>30726</v>
      </c>
      <c r="N104" s="81">
        <v>6475</v>
      </c>
      <c r="O104" s="81">
        <v>37201</v>
      </c>
      <c r="P104" s="94">
        <f>O104/D104</f>
        <v>6.3515451596380403</v>
      </c>
      <c r="Q104" s="94">
        <f>H104/D104</f>
        <v>2.0204883045927948</v>
      </c>
      <c r="R104" s="94">
        <f>I104/D104</f>
        <v>3.225542086392351</v>
      </c>
      <c r="S104" s="94">
        <f>J104/D104</f>
        <v>1.0599282909339252</v>
      </c>
      <c r="T104" s="94">
        <f>K104/D104</f>
        <v>6.3059586819190709</v>
      </c>
      <c r="U104" s="94">
        <f>K104/E104</f>
        <v>6.651179542589591</v>
      </c>
      <c r="V104" s="81">
        <v>3000</v>
      </c>
      <c r="W104" s="79" t="s">
        <v>1648</v>
      </c>
      <c r="X104" s="79" t="s">
        <v>1650</v>
      </c>
      <c r="Y104" s="81">
        <v>3436</v>
      </c>
      <c r="Z104" s="81">
        <v>3542</v>
      </c>
      <c r="AA104" s="81">
        <v>2989</v>
      </c>
      <c r="AB104" s="79" t="s">
        <v>1648</v>
      </c>
      <c r="AC104" s="81">
        <v>3477</v>
      </c>
      <c r="AD104" s="79" t="s">
        <v>1648</v>
      </c>
      <c r="AE104" s="79" t="s">
        <v>1649</v>
      </c>
      <c r="AF104" s="95">
        <v>0</v>
      </c>
    </row>
    <row r="105" spans="1:32" ht="15.75" thickBot="1" x14ac:dyDescent="0.3">
      <c r="A105" s="79" t="s">
        <v>234</v>
      </c>
      <c r="B105" s="93" t="s">
        <v>449</v>
      </c>
      <c r="C105" s="79" t="s">
        <v>17</v>
      </c>
      <c r="D105" s="81">
        <v>4141</v>
      </c>
      <c r="E105" s="81">
        <v>1659</v>
      </c>
      <c r="F105" s="81">
        <v>6787</v>
      </c>
      <c r="G105" s="81">
        <v>679</v>
      </c>
      <c r="H105" s="81">
        <v>1043</v>
      </c>
      <c r="I105" s="81">
        <v>1726</v>
      </c>
      <c r="J105" s="81">
        <v>533</v>
      </c>
      <c r="K105" s="81">
        <v>3302</v>
      </c>
      <c r="L105" s="77" t="s">
        <v>1660</v>
      </c>
      <c r="M105" s="81">
        <v>2769</v>
      </c>
      <c r="N105" s="81">
        <v>533</v>
      </c>
      <c r="O105" s="81">
        <v>3302</v>
      </c>
      <c r="P105" s="94">
        <f>O105/D105</f>
        <v>0.7973919343153828</v>
      </c>
      <c r="Q105" s="94">
        <f>H105/D105</f>
        <v>0.25187152861627626</v>
      </c>
      <c r="R105" s="94">
        <f>I105/D105</f>
        <v>0.41680753441197776</v>
      </c>
      <c r="S105" s="94">
        <f>J105/D105</f>
        <v>0.12871287128712872</v>
      </c>
      <c r="T105" s="94">
        <f>K105/D105</f>
        <v>0.7973919343153828</v>
      </c>
      <c r="U105" s="94">
        <f>K105/E105</f>
        <v>1.9903556359252561</v>
      </c>
      <c r="V105" s="81">
        <v>200</v>
      </c>
      <c r="W105" s="79" t="s">
        <v>1649</v>
      </c>
      <c r="X105" s="79" t="s">
        <v>1650</v>
      </c>
      <c r="Y105" s="81">
        <v>290</v>
      </c>
      <c r="Z105" s="81">
        <v>90</v>
      </c>
      <c r="AA105" s="81">
        <v>1516</v>
      </c>
      <c r="AB105" s="79" t="s">
        <v>1648</v>
      </c>
      <c r="AC105" s="81">
        <v>889</v>
      </c>
      <c r="AD105" s="79" t="s">
        <v>1648</v>
      </c>
      <c r="AE105" s="79" t="s">
        <v>1649</v>
      </c>
      <c r="AF105" s="95">
        <v>0</v>
      </c>
    </row>
    <row r="106" spans="1:32" ht="15.75" thickBot="1" x14ac:dyDescent="0.3">
      <c r="A106" s="79" t="s">
        <v>236</v>
      </c>
      <c r="B106" s="93" t="s">
        <v>455</v>
      </c>
      <c r="C106" s="79" t="s">
        <v>17</v>
      </c>
      <c r="D106" s="81">
        <v>4197</v>
      </c>
      <c r="E106" s="81">
        <v>3264</v>
      </c>
      <c r="F106" s="81">
        <v>11350</v>
      </c>
      <c r="G106" s="81">
        <v>12100</v>
      </c>
      <c r="H106" s="81">
        <v>2235</v>
      </c>
      <c r="I106" s="81">
        <v>5654</v>
      </c>
      <c r="J106" s="81">
        <v>0</v>
      </c>
      <c r="K106" s="81">
        <v>7889</v>
      </c>
      <c r="L106" s="81">
        <v>0</v>
      </c>
      <c r="M106" s="81">
        <v>7889</v>
      </c>
      <c r="N106" s="81">
        <v>0</v>
      </c>
      <c r="O106" s="81">
        <v>7889</v>
      </c>
      <c r="P106" s="94">
        <f>O106/D106</f>
        <v>1.8796759590183465</v>
      </c>
      <c r="Q106" s="94">
        <f>H106/D106</f>
        <v>0.53252323087919939</v>
      </c>
      <c r="R106" s="94">
        <f>I106/D106</f>
        <v>1.3471527281391471</v>
      </c>
      <c r="S106" s="94">
        <f>J106/D106</f>
        <v>0</v>
      </c>
      <c r="T106" s="94">
        <f>K106/D106</f>
        <v>1.8796759590183465</v>
      </c>
      <c r="U106" s="94">
        <f>K106/E106</f>
        <v>2.4169730392156863</v>
      </c>
      <c r="V106" s="81">
        <v>221</v>
      </c>
      <c r="W106" s="79" t="s">
        <v>1648</v>
      </c>
      <c r="X106" s="79" t="s">
        <v>1650</v>
      </c>
      <c r="Y106" s="81">
        <v>98</v>
      </c>
      <c r="Z106" s="81">
        <v>486</v>
      </c>
      <c r="AA106" s="81">
        <v>2500</v>
      </c>
      <c r="AB106" s="79" t="s">
        <v>1648</v>
      </c>
      <c r="AC106" s="81">
        <v>3750</v>
      </c>
      <c r="AD106" s="79" t="s">
        <v>1648</v>
      </c>
      <c r="AE106" s="79" t="s">
        <v>1649</v>
      </c>
      <c r="AF106" s="95">
        <v>0</v>
      </c>
    </row>
    <row r="107" spans="1:32" ht="15.75" thickBot="1" x14ac:dyDescent="0.3">
      <c r="A107" s="79" t="s">
        <v>238</v>
      </c>
      <c r="B107" s="93" t="s">
        <v>461</v>
      </c>
      <c r="C107" s="79" t="s">
        <v>17</v>
      </c>
      <c r="D107" s="81">
        <v>5068</v>
      </c>
      <c r="E107" s="81">
        <v>2792</v>
      </c>
      <c r="F107" s="81">
        <v>13380</v>
      </c>
      <c r="G107" s="81">
        <v>10385</v>
      </c>
      <c r="H107" s="81">
        <v>4401</v>
      </c>
      <c r="I107" s="81">
        <v>11889</v>
      </c>
      <c r="J107" s="81">
        <v>3527</v>
      </c>
      <c r="K107" s="81">
        <v>19817</v>
      </c>
      <c r="L107" s="81">
        <v>0</v>
      </c>
      <c r="M107" s="81">
        <v>16290</v>
      </c>
      <c r="N107" s="81">
        <v>3527</v>
      </c>
      <c r="O107" s="81">
        <v>19817</v>
      </c>
      <c r="P107" s="94">
        <f>O107/D107</f>
        <v>3.910220994475138</v>
      </c>
      <c r="Q107" s="94">
        <f>H107/D107</f>
        <v>0.86838989739542227</v>
      </c>
      <c r="R107" s="94">
        <f>I107/D107</f>
        <v>2.3458958168902919</v>
      </c>
      <c r="S107" s="94">
        <f>J107/D107</f>
        <v>0.69593528018942385</v>
      </c>
      <c r="T107" s="94">
        <f>K107/D107</f>
        <v>3.910220994475138</v>
      </c>
      <c r="U107" s="94">
        <f>K107/E107</f>
        <v>7.0977793696275073</v>
      </c>
      <c r="V107" s="81">
        <v>1924</v>
      </c>
      <c r="W107" s="79" t="s">
        <v>1649</v>
      </c>
      <c r="X107" s="79" t="s">
        <v>1650</v>
      </c>
      <c r="Y107" s="81">
        <v>5523</v>
      </c>
      <c r="Z107" s="81">
        <v>3681</v>
      </c>
      <c r="AA107" s="81">
        <v>986</v>
      </c>
      <c r="AB107" s="79" t="s">
        <v>1648</v>
      </c>
      <c r="AC107" s="81">
        <v>1000</v>
      </c>
      <c r="AD107" s="79" t="s">
        <v>1648</v>
      </c>
      <c r="AE107" s="79" t="s">
        <v>1649</v>
      </c>
      <c r="AF107" s="95">
        <v>0</v>
      </c>
    </row>
    <row r="108" spans="1:32" ht="15.75" thickBot="1" x14ac:dyDescent="0.3">
      <c r="A108" s="79" t="s">
        <v>240</v>
      </c>
      <c r="B108" s="93" t="s">
        <v>465</v>
      </c>
      <c r="C108" s="79" t="s">
        <v>17</v>
      </c>
      <c r="D108" s="81">
        <v>4968</v>
      </c>
      <c r="E108" s="81">
        <v>3102</v>
      </c>
      <c r="F108" s="81">
        <v>8168</v>
      </c>
      <c r="G108" s="81">
        <v>0</v>
      </c>
      <c r="H108" s="81">
        <v>1831</v>
      </c>
      <c r="I108" s="81">
        <v>6177</v>
      </c>
      <c r="J108" s="81">
        <v>17</v>
      </c>
      <c r="K108" s="81">
        <v>8025</v>
      </c>
      <c r="L108" s="81">
        <v>0</v>
      </c>
      <c r="M108" s="81">
        <v>8008</v>
      </c>
      <c r="N108" s="81">
        <v>17</v>
      </c>
      <c r="O108" s="81">
        <v>8025</v>
      </c>
      <c r="P108" s="94">
        <f>O108/D108</f>
        <v>1.6153381642512077</v>
      </c>
      <c r="Q108" s="94">
        <f>H108/D108</f>
        <v>0.36855877616747185</v>
      </c>
      <c r="R108" s="94">
        <f>I108/D108</f>
        <v>1.2433574879227054</v>
      </c>
      <c r="S108" s="94">
        <f>J108/D108</f>
        <v>3.4219001610305958E-3</v>
      </c>
      <c r="T108" s="94">
        <f>K108/D108</f>
        <v>1.6153381642512077</v>
      </c>
      <c r="U108" s="94">
        <f>K108/E108</f>
        <v>2.5870406189555126</v>
      </c>
      <c r="V108" s="81">
        <v>1525</v>
      </c>
      <c r="W108" s="79" t="s">
        <v>1648</v>
      </c>
      <c r="X108" s="79" t="s">
        <v>1650</v>
      </c>
      <c r="Y108" s="81">
        <v>53</v>
      </c>
      <c r="Z108" s="81">
        <v>118</v>
      </c>
      <c r="AA108" s="81">
        <v>2103</v>
      </c>
      <c r="AB108" s="79" t="s">
        <v>1648</v>
      </c>
      <c r="AC108" s="81">
        <v>1205</v>
      </c>
      <c r="AD108" s="79" t="s">
        <v>1649</v>
      </c>
      <c r="AE108" s="79" t="s">
        <v>1649</v>
      </c>
      <c r="AF108" s="95">
        <v>0</v>
      </c>
    </row>
    <row r="109" spans="1:32" ht="15.75" thickBot="1" x14ac:dyDescent="0.3">
      <c r="A109" s="79" t="s">
        <v>242</v>
      </c>
      <c r="B109" s="93" t="s">
        <v>477</v>
      </c>
      <c r="C109" s="79" t="s">
        <v>17</v>
      </c>
      <c r="D109" s="81">
        <v>4101</v>
      </c>
      <c r="E109" s="81">
        <v>2833</v>
      </c>
      <c r="F109" s="81">
        <v>9390</v>
      </c>
      <c r="G109" s="81">
        <v>5218</v>
      </c>
      <c r="H109" s="81">
        <v>6410</v>
      </c>
      <c r="I109" s="81">
        <v>10583</v>
      </c>
      <c r="J109" s="81">
        <v>2023</v>
      </c>
      <c r="K109" s="81">
        <v>19016</v>
      </c>
      <c r="L109" s="81">
        <v>115</v>
      </c>
      <c r="M109" s="81">
        <v>16993</v>
      </c>
      <c r="N109" s="81">
        <v>2138</v>
      </c>
      <c r="O109" s="81">
        <v>19131</v>
      </c>
      <c r="P109" s="94">
        <f>O109/D109</f>
        <v>4.6649597659107531</v>
      </c>
      <c r="Q109" s="94">
        <f>H109/D109</f>
        <v>1.5630334064862228</v>
      </c>
      <c r="R109" s="94">
        <f>I109/D109</f>
        <v>2.5805900999756157</v>
      </c>
      <c r="S109" s="94">
        <f>J109/D109</f>
        <v>0.49329431845891247</v>
      </c>
      <c r="T109" s="94">
        <f>K109/D109</f>
        <v>4.6369178249207508</v>
      </c>
      <c r="U109" s="94">
        <f>K109/E109</f>
        <v>6.7123190963642783</v>
      </c>
      <c r="V109" s="81">
        <v>2889</v>
      </c>
      <c r="W109" s="79" t="s">
        <v>1648</v>
      </c>
      <c r="X109" s="79" t="s">
        <v>1650</v>
      </c>
      <c r="Y109" s="81">
        <v>762</v>
      </c>
      <c r="Z109" s="81">
        <v>456</v>
      </c>
      <c r="AA109" s="81">
        <v>2001</v>
      </c>
      <c r="AB109" s="79" t="s">
        <v>1648</v>
      </c>
      <c r="AC109" s="81">
        <v>4232</v>
      </c>
      <c r="AD109" s="79" t="s">
        <v>1648</v>
      </c>
      <c r="AE109" s="79" t="s">
        <v>1649</v>
      </c>
      <c r="AF109" s="95">
        <v>0</v>
      </c>
    </row>
    <row r="110" spans="1:32" ht="15.75" thickBot="1" x14ac:dyDescent="0.3">
      <c r="A110" s="79" t="s">
        <v>244</v>
      </c>
      <c r="B110" s="93" t="s">
        <v>479</v>
      </c>
      <c r="C110" s="79" t="s">
        <v>17</v>
      </c>
      <c r="D110" s="81">
        <v>5241</v>
      </c>
      <c r="E110" s="81">
        <v>2876</v>
      </c>
      <c r="F110" s="81">
        <v>22100</v>
      </c>
      <c r="G110" s="81">
        <v>0</v>
      </c>
      <c r="H110" s="81">
        <v>7897</v>
      </c>
      <c r="I110" s="81">
        <v>23833</v>
      </c>
      <c r="J110" s="81">
        <v>2384</v>
      </c>
      <c r="K110" s="81">
        <v>34114</v>
      </c>
      <c r="L110" s="81">
        <v>0</v>
      </c>
      <c r="M110" s="81">
        <v>31730</v>
      </c>
      <c r="N110" s="81">
        <v>2384</v>
      </c>
      <c r="O110" s="81">
        <v>34114</v>
      </c>
      <c r="P110" s="94">
        <f>O110/D110</f>
        <v>6.509063155886281</v>
      </c>
      <c r="Q110" s="94">
        <f>H110/D110</f>
        <v>1.5067735165044838</v>
      </c>
      <c r="R110" s="94">
        <f>I110/D110</f>
        <v>4.5474146155313875</v>
      </c>
      <c r="S110" s="94">
        <f>J110/D110</f>
        <v>0.45487502385041023</v>
      </c>
      <c r="T110" s="94">
        <f>K110/D110</f>
        <v>6.509063155886281</v>
      </c>
      <c r="U110" s="94">
        <f>K110/E110</f>
        <v>11.861613351877608</v>
      </c>
      <c r="V110" s="81">
        <v>4005</v>
      </c>
      <c r="W110" s="79" t="s">
        <v>1648</v>
      </c>
      <c r="X110" s="79" t="s">
        <v>1650</v>
      </c>
      <c r="Y110" s="81">
        <v>1740</v>
      </c>
      <c r="Z110" s="81">
        <v>2980</v>
      </c>
      <c r="AA110" s="81">
        <v>5107</v>
      </c>
      <c r="AB110" s="79" t="s">
        <v>1648</v>
      </c>
      <c r="AC110" s="81">
        <v>7484</v>
      </c>
      <c r="AD110" s="79" t="s">
        <v>1648</v>
      </c>
      <c r="AE110" s="79" t="s">
        <v>1649</v>
      </c>
      <c r="AF110" s="77">
        <v>0</v>
      </c>
    </row>
    <row r="111" spans="1:32" ht="15.75" thickBot="1" x14ac:dyDescent="0.3">
      <c r="A111" s="79" t="s">
        <v>246</v>
      </c>
      <c r="B111" s="93" t="s">
        <v>487</v>
      </c>
      <c r="C111" s="79" t="s">
        <v>17</v>
      </c>
      <c r="D111" s="81">
        <v>5160</v>
      </c>
      <c r="E111" s="81">
        <v>2870</v>
      </c>
      <c r="F111" s="81">
        <v>14996</v>
      </c>
      <c r="G111" s="81">
        <v>54673</v>
      </c>
      <c r="H111" s="81">
        <v>14458</v>
      </c>
      <c r="I111" s="81">
        <v>22628</v>
      </c>
      <c r="J111" s="81">
        <v>2869</v>
      </c>
      <c r="K111" s="81">
        <v>39955</v>
      </c>
      <c r="L111" s="81">
        <v>0</v>
      </c>
      <c r="M111" s="81">
        <v>37086</v>
      </c>
      <c r="N111" s="81">
        <v>2869</v>
      </c>
      <c r="O111" s="81">
        <v>39955</v>
      </c>
      <c r="P111" s="94">
        <f>O111/D111</f>
        <v>7.7432170542635657</v>
      </c>
      <c r="Q111" s="94">
        <f>H111/D111</f>
        <v>2.8019379844961239</v>
      </c>
      <c r="R111" s="94">
        <f>I111/D111</f>
        <v>4.3852713178294573</v>
      </c>
      <c r="S111" s="94">
        <f>J111/D111</f>
        <v>0.55600775193798446</v>
      </c>
      <c r="T111" s="94">
        <f>K111/D111</f>
        <v>7.7432170542635657</v>
      </c>
      <c r="U111" s="94">
        <f>K111/E111</f>
        <v>13.921602787456447</v>
      </c>
      <c r="V111" s="81">
        <v>1500</v>
      </c>
      <c r="W111" s="79" t="s">
        <v>1648</v>
      </c>
      <c r="X111" s="79" t="s">
        <v>1650</v>
      </c>
      <c r="Y111" s="81">
        <v>1100</v>
      </c>
      <c r="Z111" s="81">
        <v>1603</v>
      </c>
      <c r="AA111" s="81">
        <v>1759</v>
      </c>
      <c r="AB111" s="79" t="s">
        <v>1648</v>
      </c>
      <c r="AC111" s="81">
        <v>4880</v>
      </c>
      <c r="AD111" s="79" t="s">
        <v>1648</v>
      </c>
      <c r="AE111" s="79" t="s">
        <v>1649</v>
      </c>
      <c r="AF111" s="95">
        <v>0</v>
      </c>
    </row>
    <row r="112" spans="1:32" ht="15.75" thickBot="1" x14ac:dyDescent="0.3">
      <c r="A112" s="96" t="s">
        <v>250</v>
      </c>
      <c r="B112" s="93" t="s">
        <v>489</v>
      </c>
      <c r="C112" s="79" t="s">
        <v>17</v>
      </c>
      <c r="D112" s="81">
        <v>5841</v>
      </c>
      <c r="E112" s="81">
        <v>5477</v>
      </c>
      <c r="F112" s="81">
        <v>23389</v>
      </c>
      <c r="G112" s="81">
        <v>5904</v>
      </c>
      <c r="H112" s="81">
        <v>13046</v>
      </c>
      <c r="I112" s="81">
        <v>9654</v>
      </c>
      <c r="J112" s="81">
        <v>5013</v>
      </c>
      <c r="K112" s="81">
        <v>27713</v>
      </c>
      <c r="L112" s="77" t="s">
        <v>1660</v>
      </c>
      <c r="M112" s="81">
        <v>22700</v>
      </c>
      <c r="N112" s="81">
        <v>5013</v>
      </c>
      <c r="O112" s="81">
        <v>27713</v>
      </c>
      <c r="P112" s="94">
        <f>O112/D112</f>
        <v>4.7445642869371687</v>
      </c>
      <c r="Q112" s="94">
        <f>H112/D112</f>
        <v>2.233521657250471</v>
      </c>
      <c r="R112" s="94">
        <f>I112/D112</f>
        <v>1.652799178222907</v>
      </c>
      <c r="S112" s="94">
        <f>J112/D112</f>
        <v>0.85824345146379044</v>
      </c>
      <c r="T112" s="94">
        <f>K112/D112</f>
        <v>4.7445642869371687</v>
      </c>
      <c r="U112" s="94">
        <f>K112/E112</f>
        <v>5.0598867993427055</v>
      </c>
      <c r="V112" s="81">
        <v>315</v>
      </c>
      <c r="W112" s="79" t="s">
        <v>1649</v>
      </c>
      <c r="X112" s="79" t="s">
        <v>1651</v>
      </c>
      <c r="Y112" s="81">
        <v>771</v>
      </c>
      <c r="Z112" s="81">
        <v>1425</v>
      </c>
      <c r="AA112" s="81">
        <v>912</v>
      </c>
      <c r="AB112" s="79" t="s">
        <v>1648</v>
      </c>
      <c r="AC112" s="81">
        <v>220</v>
      </c>
      <c r="AD112" s="79" t="s">
        <v>1649</v>
      </c>
      <c r="AE112" s="79" t="s">
        <v>1649</v>
      </c>
      <c r="AF112" s="95">
        <v>0</v>
      </c>
    </row>
    <row r="113" spans="1:32" ht="15.75" thickBot="1" x14ac:dyDescent="0.3">
      <c r="A113" s="79" t="s">
        <v>252</v>
      </c>
      <c r="B113" s="93" t="s">
        <v>493</v>
      </c>
      <c r="C113" s="96" t="s">
        <v>17</v>
      </c>
      <c r="D113" s="97">
        <v>4730</v>
      </c>
      <c r="E113" s="97">
        <v>3809</v>
      </c>
      <c r="F113" s="97">
        <v>5591</v>
      </c>
      <c r="G113" s="96" t="s">
        <v>1613</v>
      </c>
      <c r="H113" s="97">
        <v>3437</v>
      </c>
      <c r="I113" s="97">
        <v>5358</v>
      </c>
      <c r="J113" s="97">
        <v>0</v>
      </c>
      <c r="K113" s="97">
        <v>8795</v>
      </c>
      <c r="L113" s="100">
        <v>0</v>
      </c>
      <c r="M113" s="97">
        <v>8795</v>
      </c>
      <c r="N113" s="97">
        <v>0</v>
      </c>
      <c r="O113" s="97">
        <v>8795</v>
      </c>
      <c r="P113" s="98">
        <f>O113/D113</f>
        <v>1.8594080338266386</v>
      </c>
      <c r="Q113" s="98">
        <f>H113/D113</f>
        <v>0.72663847780126845</v>
      </c>
      <c r="R113" s="98">
        <f>I113/D113</f>
        <v>1.1327695560253699</v>
      </c>
      <c r="S113" s="98">
        <f>J113/D113</f>
        <v>0</v>
      </c>
      <c r="T113" s="98">
        <f>K113/D113</f>
        <v>1.8594080338266386</v>
      </c>
      <c r="U113" s="98">
        <f>K113/E113</f>
        <v>2.3090049881858756</v>
      </c>
      <c r="V113" s="97">
        <v>675</v>
      </c>
      <c r="W113" s="96" t="s">
        <v>1648</v>
      </c>
      <c r="X113" s="96" t="s">
        <v>1651</v>
      </c>
      <c r="Y113" s="97">
        <v>86</v>
      </c>
      <c r="Z113" s="97">
        <v>1509</v>
      </c>
      <c r="AA113" s="97">
        <v>468</v>
      </c>
      <c r="AB113" s="96" t="s">
        <v>1648</v>
      </c>
      <c r="AC113" s="97">
        <v>0</v>
      </c>
      <c r="AD113" s="96" t="s">
        <v>1648</v>
      </c>
      <c r="AE113" s="96" t="s">
        <v>1649</v>
      </c>
      <c r="AF113" s="99">
        <v>0</v>
      </c>
    </row>
    <row r="114" spans="1:32" ht="15.75" thickBot="1" x14ac:dyDescent="0.3">
      <c r="A114" s="96" t="s">
        <v>256</v>
      </c>
      <c r="B114" s="93" t="s">
        <v>511</v>
      </c>
      <c r="C114" s="79" t="s">
        <v>17</v>
      </c>
      <c r="D114" s="81">
        <v>5072</v>
      </c>
      <c r="E114" s="81">
        <v>2534</v>
      </c>
      <c r="F114" s="81">
        <v>11113</v>
      </c>
      <c r="G114" s="81">
        <v>2025</v>
      </c>
      <c r="H114" s="81">
        <v>3603</v>
      </c>
      <c r="I114" s="81">
        <v>11736</v>
      </c>
      <c r="J114" s="81">
        <v>2883</v>
      </c>
      <c r="K114" s="81">
        <v>18222</v>
      </c>
      <c r="L114" s="81">
        <v>0</v>
      </c>
      <c r="M114" s="81">
        <v>15339</v>
      </c>
      <c r="N114" s="81">
        <v>2883</v>
      </c>
      <c r="O114" s="81">
        <v>18222</v>
      </c>
      <c r="P114" s="94">
        <f>O114/D114</f>
        <v>3.5926656151419558</v>
      </c>
      <c r="Q114" s="94">
        <f>H114/D114</f>
        <v>0.71037066246056779</v>
      </c>
      <c r="R114" s="94">
        <f>I114/D114</f>
        <v>2.3138801261829651</v>
      </c>
      <c r="S114" s="94">
        <f>J114/D114</f>
        <v>0.56841482649842268</v>
      </c>
      <c r="T114" s="94">
        <f>K114/D114</f>
        <v>3.5926656151419558</v>
      </c>
      <c r="U114" s="94">
        <f>K114/E114</f>
        <v>7.1910023677979478</v>
      </c>
      <c r="V114" s="81">
        <v>442</v>
      </c>
      <c r="W114" s="79" t="s">
        <v>1649</v>
      </c>
      <c r="X114" s="79" t="s">
        <v>1651</v>
      </c>
      <c r="Y114" s="81">
        <v>613</v>
      </c>
      <c r="Z114" s="81">
        <v>2048</v>
      </c>
      <c r="AA114" s="81">
        <v>2497</v>
      </c>
      <c r="AB114" s="79" t="s">
        <v>1648</v>
      </c>
      <c r="AC114" s="81">
        <v>2046</v>
      </c>
      <c r="AD114" s="79" t="s">
        <v>1648</v>
      </c>
      <c r="AE114" s="79" t="s">
        <v>1649</v>
      </c>
      <c r="AF114" s="95">
        <v>0</v>
      </c>
    </row>
    <row r="115" spans="1:32" ht="15.75" thickBot="1" x14ac:dyDescent="0.3">
      <c r="A115" s="79" t="s">
        <v>258</v>
      </c>
      <c r="B115" s="93" t="s">
        <v>513</v>
      </c>
      <c r="C115" s="79" t="s">
        <v>17</v>
      </c>
      <c r="D115" s="81">
        <v>6634</v>
      </c>
      <c r="E115" s="81">
        <v>8740</v>
      </c>
      <c r="F115" s="81">
        <v>17213</v>
      </c>
      <c r="G115" s="81">
        <v>16284</v>
      </c>
      <c r="H115" s="81">
        <v>6500</v>
      </c>
      <c r="I115" s="81">
        <v>19495</v>
      </c>
      <c r="J115" s="81">
        <v>8745</v>
      </c>
      <c r="K115" s="81">
        <v>34740</v>
      </c>
      <c r="L115" s="81">
        <v>0</v>
      </c>
      <c r="M115" s="81">
        <v>25995</v>
      </c>
      <c r="N115" s="81">
        <v>8745</v>
      </c>
      <c r="O115" s="81">
        <v>34740</v>
      </c>
      <c r="P115" s="94">
        <f>O115/D115</f>
        <v>5.2366596321977692</v>
      </c>
      <c r="Q115" s="94">
        <f>H115/D115</f>
        <v>0.97980102502261079</v>
      </c>
      <c r="R115" s="94">
        <f>I115/D115</f>
        <v>2.9386493819716613</v>
      </c>
      <c r="S115" s="94">
        <f>J115/D115</f>
        <v>1.3182092252034971</v>
      </c>
      <c r="T115" s="94">
        <f>K115/D115</f>
        <v>5.2366596321977692</v>
      </c>
      <c r="U115" s="94">
        <f>K115/E115</f>
        <v>3.9748283752860414</v>
      </c>
      <c r="V115" s="81">
        <v>653</v>
      </c>
      <c r="W115" s="79" t="s">
        <v>1648</v>
      </c>
      <c r="X115" s="79" t="s">
        <v>1651</v>
      </c>
      <c r="Y115" s="81">
        <v>520</v>
      </c>
      <c r="Z115" s="81">
        <v>1290</v>
      </c>
      <c r="AA115" s="81">
        <v>1825</v>
      </c>
      <c r="AB115" s="79" t="s">
        <v>1648</v>
      </c>
      <c r="AC115" s="81">
        <v>540</v>
      </c>
      <c r="AD115" s="79" t="s">
        <v>1648</v>
      </c>
      <c r="AE115" s="79" t="s">
        <v>1648</v>
      </c>
      <c r="AF115" s="81">
        <v>9</v>
      </c>
    </row>
    <row r="116" spans="1:32" ht="15.75" thickBot="1" x14ac:dyDescent="0.3">
      <c r="A116" s="79" t="s">
        <v>260</v>
      </c>
      <c r="B116" s="93" t="s">
        <v>525</v>
      </c>
      <c r="C116" s="79" t="s">
        <v>17</v>
      </c>
      <c r="D116" s="81">
        <v>5302</v>
      </c>
      <c r="E116" s="81">
        <v>5288</v>
      </c>
      <c r="F116" s="81">
        <v>79680</v>
      </c>
      <c r="G116" s="81">
        <v>13000</v>
      </c>
      <c r="H116" s="81">
        <v>16566</v>
      </c>
      <c r="I116" s="81">
        <v>31235</v>
      </c>
      <c r="J116" s="81">
        <v>5387</v>
      </c>
      <c r="K116" s="81">
        <v>53188</v>
      </c>
      <c r="L116" s="81">
        <v>0</v>
      </c>
      <c r="M116" s="81">
        <v>47801</v>
      </c>
      <c r="N116" s="81">
        <v>5387</v>
      </c>
      <c r="O116" s="81">
        <v>53188</v>
      </c>
      <c r="P116" s="94">
        <f>O116/D116</f>
        <v>10.031686156167485</v>
      </c>
      <c r="Q116" s="94">
        <f>H116/D116</f>
        <v>3.1244813278008299</v>
      </c>
      <c r="R116" s="94">
        <f>I116/D116</f>
        <v>5.8911731422104863</v>
      </c>
      <c r="S116" s="94">
        <f>J116/D116</f>
        <v>1.0160316861561676</v>
      </c>
      <c r="T116" s="94">
        <f>K116/D116</f>
        <v>10.031686156167485</v>
      </c>
      <c r="U116" s="94">
        <f>K116/E116</f>
        <v>10.058245083207261</v>
      </c>
      <c r="V116" s="81">
        <v>3500</v>
      </c>
      <c r="W116" s="79" t="s">
        <v>1648</v>
      </c>
      <c r="X116" s="79" t="s">
        <v>1650</v>
      </c>
      <c r="Y116" s="81">
        <v>2141</v>
      </c>
      <c r="Z116" s="81">
        <v>1942</v>
      </c>
      <c r="AA116" s="81">
        <v>8973</v>
      </c>
      <c r="AB116" s="79" t="s">
        <v>1648</v>
      </c>
      <c r="AC116" s="81">
        <v>6259</v>
      </c>
      <c r="AD116" s="79" t="s">
        <v>1648</v>
      </c>
      <c r="AE116" s="79" t="s">
        <v>1649</v>
      </c>
      <c r="AF116" s="95">
        <v>0</v>
      </c>
    </row>
    <row r="117" spans="1:32" ht="15.75" thickBot="1" x14ac:dyDescent="0.3">
      <c r="A117" s="96" t="s">
        <v>262</v>
      </c>
      <c r="B117" s="93" t="s">
        <v>527</v>
      </c>
      <c r="C117" s="79" t="s">
        <v>17</v>
      </c>
      <c r="D117" s="81">
        <v>6834</v>
      </c>
      <c r="E117" s="81">
        <v>1624</v>
      </c>
      <c r="F117" s="81">
        <v>48936</v>
      </c>
      <c r="G117" s="81">
        <v>12000</v>
      </c>
      <c r="H117" s="81">
        <v>21056</v>
      </c>
      <c r="I117" s="81">
        <v>25997</v>
      </c>
      <c r="J117" s="81">
        <v>3633</v>
      </c>
      <c r="K117" s="81">
        <v>50686</v>
      </c>
      <c r="L117" s="81">
        <v>0</v>
      </c>
      <c r="M117" s="81">
        <v>47053</v>
      </c>
      <c r="N117" s="81">
        <v>3633</v>
      </c>
      <c r="O117" s="81">
        <v>50686</v>
      </c>
      <c r="P117" s="94">
        <f>O117/D117</f>
        <v>7.4167398302604628</v>
      </c>
      <c r="Q117" s="94">
        <f>H117/D117</f>
        <v>3.0810652619256658</v>
      </c>
      <c r="R117" s="94">
        <f>I117/D117</f>
        <v>3.8040678958150425</v>
      </c>
      <c r="S117" s="94">
        <f>J117/D117</f>
        <v>0.53160667251975413</v>
      </c>
      <c r="T117" s="94">
        <f>K117/D117</f>
        <v>7.4167398302604628</v>
      </c>
      <c r="U117" s="94">
        <f>K117/E117</f>
        <v>31.210591133004925</v>
      </c>
      <c r="V117" s="81">
        <v>8183</v>
      </c>
      <c r="W117" s="79" t="s">
        <v>1648</v>
      </c>
      <c r="X117" s="79" t="s">
        <v>1650</v>
      </c>
      <c r="Y117" s="81">
        <v>3339</v>
      </c>
      <c r="Z117" s="81">
        <v>3399</v>
      </c>
      <c r="AA117" s="81">
        <v>4010</v>
      </c>
      <c r="AB117" s="79" t="s">
        <v>1648</v>
      </c>
      <c r="AC117" s="81">
        <v>9500</v>
      </c>
      <c r="AD117" s="79" t="s">
        <v>1648</v>
      </c>
      <c r="AE117" s="79" t="s">
        <v>1648</v>
      </c>
      <c r="AF117" s="81">
        <v>14</v>
      </c>
    </row>
    <row r="118" spans="1:32" ht="15.75" thickBot="1" x14ac:dyDescent="0.3">
      <c r="A118" s="79" t="s">
        <v>264</v>
      </c>
      <c r="B118" s="93" t="s">
        <v>531</v>
      </c>
      <c r="C118" s="79" t="s">
        <v>17</v>
      </c>
      <c r="D118" s="81">
        <v>4469</v>
      </c>
      <c r="E118" s="81">
        <v>413</v>
      </c>
      <c r="F118" s="81">
        <v>2176</v>
      </c>
      <c r="G118" s="81">
        <v>3731</v>
      </c>
      <c r="H118" s="81">
        <v>2236</v>
      </c>
      <c r="I118" s="81">
        <v>1520</v>
      </c>
      <c r="J118" s="81">
        <v>915</v>
      </c>
      <c r="K118" s="81">
        <v>4671</v>
      </c>
      <c r="L118" s="81">
        <v>224</v>
      </c>
      <c r="M118" s="81">
        <v>3756</v>
      </c>
      <c r="N118" s="81">
        <v>1139</v>
      </c>
      <c r="O118" s="81">
        <v>4895</v>
      </c>
      <c r="P118" s="94">
        <f>O118/D118</f>
        <v>1.0953233385544865</v>
      </c>
      <c r="Q118" s="94">
        <f>H118/D118</f>
        <v>0.50033564555829046</v>
      </c>
      <c r="R118" s="94">
        <f>I118/D118</f>
        <v>0.34012083240098456</v>
      </c>
      <c r="S118" s="94">
        <f>J118/D118</f>
        <v>0.20474379055717162</v>
      </c>
      <c r="T118" s="94">
        <f>K118/D118</f>
        <v>1.0452002685164465</v>
      </c>
      <c r="U118" s="94">
        <f>K118/E118</f>
        <v>11.309927360774818</v>
      </c>
      <c r="V118" s="81">
        <v>539</v>
      </c>
      <c r="W118" s="79" t="s">
        <v>1648</v>
      </c>
      <c r="X118" s="79" t="s">
        <v>1651</v>
      </c>
      <c r="Y118" s="81">
        <v>240</v>
      </c>
      <c r="Z118" s="81">
        <v>679</v>
      </c>
      <c r="AA118" s="81">
        <v>240</v>
      </c>
      <c r="AB118" s="79" t="s">
        <v>1648</v>
      </c>
      <c r="AC118" s="81">
        <v>240</v>
      </c>
      <c r="AD118" s="79" t="s">
        <v>1648</v>
      </c>
      <c r="AE118" s="79" t="s">
        <v>1649</v>
      </c>
      <c r="AF118" s="95">
        <v>0</v>
      </c>
    </row>
    <row r="119" spans="1:32" ht="15.75" thickBot="1" x14ac:dyDescent="0.3">
      <c r="A119" s="79" t="s">
        <v>266</v>
      </c>
      <c r="B119" s="93" t="s">
        <v>539</v>
      </c>
      <c r="C119" s="96" t="s">
        <v>17</v>
      </c>
      <c r="D119" s="97">
        <v>6174</v>
      </c>
      <c r="E119" s="97">
        <v>1560</v>
      </c>
      <c r="F119" s="97">
        <v>20784</v>
      </c>
      <c r="G119" s="97">
        <v>1095</v>
      </c>
      <c r="H119" s="97">
        <v>15662</v>
      </c>
      <c r="I119" s="97">
        <v>33180</v>
      </c>
      <c r="J119" s="97">
        <v>0</v>
      </c>
      <c r="K119" s="97">
        <v>48842</v>
      </c>
      <c r="L119" s="97">
        <v>255</v>
      </c>
      <c r="M119" s="97">
        <v>48842</v>
      </c>
      <c r="N119" s="97">
        <v>255</v>
      </c>
      <c r="O119" s="97">
        <v>49097</v>
      </c>
      <c r="P119" s="98">
        <f>O119/D119</f>
        <v>7.9522189828312273</v>
      </c>
      <c r="Q119" s="98">
        <f>H119/D119</f>
        <v>2.5367670877874962</v>
      </c>
      <c r="R119" s="98">
        <f>I119/D119</f>
        <v>5.3741496598639458</v>
      </c>
      <c r="S119" s="98">
        <f>J119/D119</f>
        <v>0</v>
      </c>
      <c r="T119" s="98">
        <f>K119/D119</f>
        <v>7.9109167476514415</v>
      </c>
      <c r="U119" s="98">
        <f>K119/E119</f>
        <v>31.308974358974361</v>
      </c>
      <c r="V119" s="97">
        <v>3120</v>
      </c>
      <c r="W119" s="96" t="s">
        <v>1648</v>
      </c>
      <c r="X119" s="96" t="s">
        <v>1650</v>
      </c>
      <c r="Y119" s="97">
        <v>1405</v>
      </c>
      <c r="Z119" s="97">
        <v>2485</v>
      </c>
      <c r="AA119" s="97">
        <v>1400</v>
      </c>
      <c r="AB119" s="96" t="s">
        <v>1648</v>
      </c>
      <c r="AC119" s="97">
        <v>-1</v>
      </c>
      <c r="AD119" s="96" t="s">
        <v>1648</v>
      </c>
      <c r="AE119" s="96" t="s">
        <v>1649</v>
      </c>
      <c r="AF119" s="99">
        <v>0</v>
      </c>
    </row>
    <row r="120" spans="1:32" ht="15.75" thickBot="1" x14ac:dyDescent="0.3">
      <c r="A120" s="79" t="s">
        <v>268</v>
      </c>
      <c r="B120" s="93" t="s">
        <v>559</v>
      </c>
      <c r="C120" s="79" t="s">
        <v>17</v>
      </c>
      <c r="D120" s="81">
        <v>5305</v>
      </c>
      <c r="E120" s="81">
        <v>4518</v>
      </c>
      <c r="F120" s="81">
        <v>21255</v>
      </c>
      <c r="G120" s="81">
        <v>0</v>
      </c>
      <c r="H120" s="81">
        <v>4920</v>
      </c>
      <c r="I120" s="81">
        <v>5403</v>
      </c>
      <c r="J120" s="81">
        <v>1333</v>
      </c>
      <c r="K120" s="81">
        <v>11656</v>
      </c>
      <c r="L120" s="81">
        <v>0</v>
      </c>
      <c r="M120" s="81">
        <v>10323</v>
      </c>
      <c r="N120" s="81">
        <v>1333</v>
      </c>
      <c r="O120" s="81">
        <v>11656</v>
      </c>
      <c r="P120" s="94">
        <f>O120/D120</f>
        <v>2.1971724787935911</v>
      </c>
      <c r="Q120" s="94">
        <f>H120/D120</f>
        <v>0.92742695570216782</v>
      </c>
      <c r="R120" s="94">
        <f>I120/D120</f>
        <v>1.018473138548539</v>
      </c>
      <c r="S120" s="94">
        <f>J120/D120</f>
        <v>0.25127238454288409</v>
      </c>
      <c r="T120" s="94">
        <f>K120/D120</f>
        <v>2.1971724787935911</v>
      </c>
      <c r="U120" s="94">
        <f>K120/E120</f>
        <v>2.5799026117751218</v>
      </c>
      <c r="V120" s="81">
        <v>2281</v>
      </c>
      <c r="W120" s="79" t="s">
        <v>1648</v>
      </c>
      <c r="X120" s="79" t="s">
        <v>1650</v>
      </c>
      <c r="Y120" s="81">
        <v>647</v>
      </c>
      <c r="Z120" s="81">
        <v>2610</v>
      </c>
      <c r="AA120" s="81">
        <v>1981</v>
      </c>
      <c r="AB120" s="79" t="s">
        <v>1648</v>
      </c>
      <c r="AC120" s="81">
        <v>1157</v>
      </c>
      <c r="AD120" s="79" t="s">
        <v>1648</v>
      </c>
      <c r="AE120" s="79" t="s">
        <v>1649</v>
      </c>
      <c r="AF120" s="95">
        <v>0</v>
      </c>
    </row>
    <row r="121" spans="1:32" ht="15.75" thickBot="1" x14ac:dyDescent="0.3">
      <c r="A121" s="79" t="s">
        <v>270</v>
      </c>
      <c r="B121" s="93" t="s">
        <v>565</v>
      </c>
      <c r="C121" s="79" t="s">
        <v>17</v>
      </c>
      <c r="D121" s="81">
        <v>6341</v>
      </c>
      <c r="E121" s="81">
        <v>3233</v>
      </c>
      <c r="F121" s="81">
        <v>59125</v>
      </c>
      <c r="G121" s="81">
        <v>9500</v>
      </c>
      <c r="H121" s="81">
        <v>11899</v>
      </c>
      <c r="I121" s="81">
        <v>79200</v>
      </c>
      <c r="J121" s="81">
        <v>540</v>
      </c>
      <c r="K121" s="81">
        <v>91639</v>
      </c>
      <c r="L121" s="81">
        <v>616</v>
      </c>
      <c r="M121" s="81">
        <v>91099</v>
      </c>
      <c r="N121" s="81">
        <v>1156</v>
      </c>
      <c r="O121" s="81">
        <v>92255</v>
      </c>
      <c r="P121" s="94">
        <f>O121/D121</f>
        <v>14.54896703989907</v>
      </c>
      <c r="Q121" s="94">
        <f>H121/D121</f>
        <v>1.8765178993849549</v>
      </c>
      <c r="R121" s="94">
        <f>I121/D121</f>
        <v>12.490143510487306</v>
      </c>
      <c r="S121" s="94">
        <f>J121/D121</f>
        <v>8.5160069389686163E-2</v>
      </c>
      <c r="T121" s="94">
        <f>K121/D121</f>
        <v>14.451821479261946</v>
      </c>
      <c r="U121" s="94">
        <f>K121/E121</f>
        <v>28.344880915558306</v>
      </c>
      <c r="V121" s="81">
        <v>6325</v>
      </c>
      <c r="W121" s="79" t="s">
        <v>1648</v>
      </c>
      <c r="X121" s="79" t="s">
        <v>1650</v>
      </c>
      <c r="Y121" s="81">
        <v>1210</v>
      </c>
      <c r="Z121" s="81">
        <v>1655</v>
      </c>
      <c r="AA121" s="81">
        <v>16500</v>
      </c>
      <c r="AB121" s="79" t="s">
        <v>1648</v>
      </c>
      <c r="AC121" s="81">
        <v>1350</v>
      </c>
      <c r="AD121" s="79" t="s">
        <v>1648</v>
      </c>
      <c r="AE121" s="79" t="s">
        <v>1649</v>
      </c>
      <c r="AF121" s="95">
        <v>0</v>
      </c>
    </row>
    <row r="122" spans="1:32" ht="15.75" thickBot="1" x14ac:dyDescent="0.3">
      <c r="A122" s="79" t="s">
        <v>272</v>
      </c>
      <c r="B122" s="93" t="s">
        <v>571</v>
      </c>
      <c r="C122" s="79" t="s">
        <v>17</v>
      </c>
      <c r="D122" s="81">
        <v>5433</v>
      </c>
      <c r="E122" s="81">
        <v>66691</v>
      </c>
      <c r="F122" s="81">
        <v>18774</v>
      </c>
      <c r="G122" s="81">
        <v>1325</v>
      </c>
      <c r="H122" s="81">
        <v>4699</v>
      </c>
      <c r="I122" s="81">
        <v>9970</v>
      </c>
      <c r="J122" s="81">
        <v>0</v>
      </c>
      <c r="K122" s="81">
        <v>14669</v>
      </c>
      <c r="L122" s="81">
        <v>102</v>
      </c>
      <c r="M122" s="81">
        <v>14669</v>
      </c>
      <c r="N122" s="81">
        <v>102</v>
      </c>
      <c r="O122" s="81">
        <v>14771</v>
      </c>
      <c r="P122" s="94">
        <f>O122/D122</f>
        <v>2.718755751886619</v>
      </c>
      <c r="Q122" s="94">
        <f>H122/D122</f>
        <v>0.86489968709736798</v>
      </c>
      <c r="R122" s="94">
        <f>I122/D122</f>
        <v>1.8350819068654518</v>
      </c>
      <c r="S122" s="94">
        <f>J122/D122</f>
        <v>0</v>
      </c>
      <c r="T122" s="94">
        <f>K122/D122</f>
        <v>2.69998159396282</v>
      </c>
      <c r="U122" s="94">
        <f>K122/E122</f>
        <v>0.2199547165284671</v>
      </c>
      <c r="V122" s="81">
        <v>2267</v>
      </c>
      <c r="W122" s="79" t="s">
        <v>1648</v>
      </c>
      <c r="X122" s="79" t="s">
        <v>1651</v>
      </c>
      <c r="Y122" s="81">
        <v>5508</v>
      </c>
      <c r="Z122" s="81">
        <v>3557</v>
      </c>
      <c r="AA122" s="81">
        <v>110</v>
      </c>
      <c r="AB122" s="79" t="s">
        <v>1648</v>
      </c>
      <c r="AC122" s="81">
        <v>3775</v>
      </c>
      <c r="AD122" s="79" t="s">
        <v>1648</v>
      </c>
      <c r="AE122" s="79" t="s">
        <v>1649</v>
      </c>
      <c r="AF122" s="95">
        <v>0</v>
      </c>
    </row>
    <row r="123" spans="1:32" ht="15.75" thickBot="1" x14ac:dyDescent="0.3">
      <c r="A123" s="79" t="s">
        <v>274</v>
      </c>
      <c r="B123" s="93" t="s">
        <v>581</v>
      </c>
      <c r="C123" s="79" t="s">
        <v>17</v>
      </c>
      <c r="D123" s="81">
        <v>6654</v>
      </c>
      <c r="E123" s="81">
        <v>4896</v>
      </c>
      <c r="F123" s="81">
        <v>28966</v>
      </c>
      <c r="G123" s="81">
        <v>48666</v>
      </c>
      <c r="H123" s="81">
        <v>13217</v>
      </c>
      <c r="I123" s="81">
        <v>16907</v>
      </c>
      <c r="J123" s="81">
        <v>3438</v>
      </c>
      <c r="K123" s="81">
        <v>33562</v>
      </c>
      <c r="L123" s="81">
        <v>0</v>
      </c>
      <c r="M123" s="81">
        <v>30124</v>
      </c>
      <c r="N123" s="81">
        <v>3438</v>
      </c>
      <c r="O123" s="81">
        <v>33562</v>
      </c>
      <c r="P123" s="94">
        <f>O123/D123</f>
        <v>5.0438833784189958</v>
      </c>
      <c r="Q123" s="94">
        <f>H123/D123</f>
        <v>1.9863240156296964</v>
      </c>
      <c r="R123" s="94">
        <f>I123/D123</f>
        <v>2.5408776675683797</v>
      </c>
      <c r="S123" s="94">
        <f>J123/D123</f>
        <v>0.51668169522091978</v>
      </c>
      <c r="T123" s="94">
        <f>K123/D123</f>
        <v>5.0438833784189958</v>
      </c>
      <c r="U123" s="94">
        <f>K123/E123</f>
        <v>6.8549836601307188</v>
      </c>
      <c r="V123" s="81">
        <v>2380</v>
      </c>
      <c r="W123" s="79" t="s">
        <v>1648</v>
      </c>
      <c r="X123" s="79" t="s">
        <v>1650</v>
      </c>
      <c r="Y123" s="81">
        <v>3028</v>
      </c>
      <c r="Z123" s="81">
        <v>1725</v>
      </c>
      <c r="AA123" s="81">
        <v>2200</v>
      </c>
      <c r="AB123" s="79" t="s">
        <v>1648</v>
      </c>
      <c r="AC123" s="81">
        <v>1036</v>
      </c>
      <c r="AD123" s="79" t="s">
        <v>1649</v>
      </c>
      <c r="AE123" s="79" t="s">
        <v>1649</v>
      </c>
      <c r="AF123" s="95">
        <v>0</v>
      </c>
    </row>
    <row r="124" spans="1:32" ht="15.75" thickBot="1" x14ac:dyDescent="0.3">
      <c r="A124" s="79" t="s">
        <v>276</v>
      </c>
      <c r="B124" s="93" t="s">
        <v>585</v>
      </c>
      <c r="C124" s="79" t="s">
        <v>17</v>
      </c>
      <c r="D124" s="81">
        <v>4105</v>
      </c>
      <c r="E124" s="81">
        <v>3407</v>
      </c>
      <c r="F124" s="81">
        <v>2104</v>
      </c>
      <c r="G124" s="81">
        <v>0</v>
      </c>
      <c r="H124" s="81">
        <v>2115</v>
      </c>
      <c r="I124" s="81">
        <v>2467</v>
      </c>
      <c r="J124" s="81">
        <v>1148</v>
      </c>
      <c r="K124" s="81">
        <v>5730</v>
      </c>
      <c r="L124" s="81">
        <v>1148</v>
      </c>
      <c r="M124" s="81">
        <v>4582</v>
      </c>
      <c r="N124" s="81">
        <v>2296</v>
      </c>
      <c r="O124" s="81">
        <v>6878</v>
      </c>
      <c r="P124" s="94">
        <f>O124/D124</f>
        <v>1.6755176613885505</v>
      </c>
      <c r="Q124" s="94">
        <f>H124/D124</f>
        <v>0.51522533495736911</v>
      </c>
      <c r="R124" s="94">
        <f>I124/D124</f>
        <v>0.60097442143727164</v>
      </c>
      <c r="S124" s="94">
        <f>J124/D124</f>
        <v>0.27965895249695494</v>
      </c>
      <c r="T124" s="94">
        <f>K124/D124</f>
        <v>1.3958587088915957</v>
      </c>
      <c r="U124" s="94">
        <f>K124/E124</f>
        <v>1.6818315233343117</v>
      </c>
      <c r="V124" s="81">
        <v>829</v>
      </c>
      <c r="W124" s="79" t="s">
        <v>1648</v>
      </c>
      <c r="X124" s="79" t="s">
        <v>1650</v>
      </c>
      <c r="Y124" s="81">
        <v>380</v>
      </c>
      <c r="Z124" s="81">
        <v>287</v>
      </c>
      <c r="AA124" s="81">
        <v>535</v>
      </c>
      <c r="AB124" s="79" t="s">
        <v>1648</v>
      </c>
      <c r="AC124" s="81">
        <v>150</v>
      </c>
      <c r="AD124" s="79" t="s">
        <v>1648</v>
      </c>
      <c r="AE124" s="79" t="s">
        <v>1649</v>
      </c>
      <c r="AF124" s="95">
        <v>0</v>
      </c>
    </row>
    <row r="125" spans="1:32" ht="15.75" thickBot="1" x14ac:dyDescent="0.3">
      <c r="A125" s="79" t="s">
        <v>278</v>
      </c>
      <c r="B125" s="93" t="s">
        <v>591</v>
      </c>
      <c r="C125" s="79" t="s">
        <v>17</v>
      </c>
      <c r="D125" s="81">
        <v>5033</v>
      </c>
      <c r="E125" s="81">
        <v>650</v>
      </c>
      <c r="F125" s="81">
        <v>18000</v>
      </c>
      <c r="G125" s="81">
        <v>3800</v>
      </c>
      <c r="H125" s="81">
        <v>2000</v>
      </c>
      <c r="I125" s="81">
        <v>8500</v>
      </c>
      <c r="J125" s="81">
        <v>250</v>
      </c>
      <c r="K125" s="81">
        <v>10750</v>
      </c>
      <c r="L125" s="81">
        <v>0</v>
      </c>
      <c r="M125" s="81">
        <v>10500</v>
      </c>
      <c r="N125" s="81">
        <v>250</v>
      </c>
      <c r="O125" s="81">
        <v>10750</v>
      </c>
      <c r="P125" s="94">
        <f>O125/D125</f>
        <v>2.1359030399364198</v>
      </c>
      <c r="Q125" s="94">
        <f>H125/D125</f>
        <v>0.39737730975561297</v>
      </c>
      <c r="R125" s="94">
        <f>I125/D125</f>
        <v>1.6888535664613551</v>
      </c>
      <c r="S125" s="94">
        <f>J125/D125</f>
        <v>4.9672163719451622E-2</v>
      </c>
      <c r="T125" s="94">
        <f>K125/D125</f>
        <v>2.1359030399364198</v>
      </c>
      <c r="U125" s="94">
        <f>K125/E125</f>
        <v>16.53846153846154</v>
      </c>
      <c r="V125" s="81">
        <v>40</v>
      </c>
      <c r="W125" s="79" t="s">
        <v>1648</v>
      </c>
      <c r="X125" s="79" t="s">
        <v>1650</v>
      </c>
      <c r="Y125" s="81">
        <v>350</v>
      </c>
      <c r="Z125" s="81">
        <v>1900</v>
      </c>
      <c r="AA125" s="81">
        <v>2800</v>
      </c>
      <c r="AB125" s="79" t="s">
        <v>1648</v>
      </c>
      <c r="AC125" s="81">
        <v>1300</v>
      </c>
      <c r="AD125" s="79" t="s">
        <v>1648</v>
      </c>
      <c r="AE125" s="79" t="s">
        <v>1648</v>
      </c>
      <c r="AF125" s="81">
        <v>1</v>
      </c>
    </row>
    <row r="126" spans="1:32" ht="15.75" thickBot="1" x14ac:dyDescent="0.3">
      <c r="A126" s="79" t="s">
        <v>280</v>
      </c>
      <c r="B126" s="93" t="s">
        <v>599</v>
      </c>
      <c r="C126" s="79" t="s">
        <v>17</v>
      </c>
      <c r="D126" s="81">
        <v>5413</v>
      </c>
      <c r="E126" s="81">
        <v>2817</v>
      </c>
      <c r="F126" s="81">
        <v>5110</v>
      </c>
      <c r="G126" s="81">
        <v>1123</v>
      </c>
      <c r="H126" s="81">
        <v>3064</v>
      </c>
      <c r="I126" s="81">
        <v>6927</v>
      </c>
      <c r="J126" s="81">
        <v>4336</v>
      </c>
      <c r="K126" s="81">
        <v>14327</v>
      </c>
      <c r="L126" s="81">
        <v>18</v>
      </c>
      <c r="M126" s="81">
        <v>9991</v>
      </c>
      <c r="N126" s="81">
        <v>4354</v>
      </c>
      <c r="O126" s="81">
        <v>14345</v>
      </c>
      <c r="P126" s="94">
        <f>O126/D126</f>
        <v>2.6501016072418251</v>
      </c>
      <c r="Q126" s="94">
        <f>H126/D126</f>
        <v>0.5660447071864031</v>
      </c>
      <c r="R126" s="94">
        <f>I126/D126</f>
        <v>1.2796970256789211</v>
      </c>
      <c r="S126" s="94">
        <f>J126/D126</f>
        <v>0.80103454646222061</v>
      </c>
      <c r="T126" s="94">
        <f>K126/D126</f>
        <v>2.6467762793275447</v>
      </c>
      <c r="U126" s="94">
        <f>K126/E126</f>
        <v>5.0859069932552359</v>
      </c>
      <c r="V126" s="81">
        <v>978</v>
      </c>
      <c r="W126" s="79" t="s">
        <v>1648</v>
      </c>
      <c r="X126" s="79" t="s">
        <v>1650</v>
      </c>
      <c r="Y126" s="81">
        <v>334</v>
      </c>
      <c r="Z126" s="81">
        <v>534</v>
      </c>
      <c r="AA126" s="81">
        <v>1097</v>
      </c>
      <c r="AB126" s="79" t="s">
        <v>1648</v>
      </c>
      <c r="AC126" s="81">
        <v>226</v>
      </c>
      <c r="AD126" s="79" t="s">
        <v>1648</v>
      </c>
      <c r="AE126" s="79" t="s">
        <v>1649</v>
      </c>
      <c r="AF126" s="95">
        <v>0</v>
      </c>
    </row>
    <row r="127" spans="1:32" ht="15.75" thickBot="1" x14ac:dyDescent="0.3">
      <c r="A127" s="79" t="s">
        <v>282</v>
      </c>
      <c r="B127" s="93" t="s">
        <v>605</v>
      </c>
      <c r="C127" s="79" t="s">
        <v>17</v>
      </c>
      <c r="D127" s="81">
        <v>6847</v>
      </c>
      <c r="E127" s="81">
        <v>1191</v>
      </c>
      <c r="F127" s="81">
        <v>14793</v>
      </c>
      <c r="G127" s="81">
        <v>12049</v>
      </c>
      <c r="H127" s="81">
        <v>5868</v>
      </c>
      <c r="I127" s="81">
        <v>9756</v>
      </c>
      <c r="J127" s="81">
        <v>2788</v>
      </c>
      <c r="K127" s="81">
        <v>18412</v>
      </c>
      <c r="L127" s="81">
        <v>104</v>
      </c>
      <c r="M127" s="81">
        <v>15624</v>
      </c>
      <c r="N127" s="81">
        <v>2892</v>
      </c>
      <c r="O127" s="81">
        <v>18516</v>
      </c>
      <c r="P127" s="94">
        <f>O127/D127</f>
        <v>2.7042500365123412</v>
      </c>
      <c r="Q127" s="94">
        <f>H127/D127</f>
        <v>0.85701767197312695</v>
      </c>
      <c r="R127" s="94">
        <f>I127/D127</f>
        <v>1.4248576018694319</v>
      </c>
      <c r="S127" s="94">
        <f>J127/D127</f>
        <v>0.40718562874251496</v>
      </c>
      <c r="T127" s="94">
        <f>K127/D127</f>
        <v>2.6890609025850738</v>
      </c>
      <c r="U127" s="94">
        <f>K127/E127</f>
        <v>15.459277917716205</v>
      </c>
      <c r="V127" s="81">
        <v>1508</v>
      </c>
      <c r="W127" s="79" t="s">
        <v>1648</v>
      </c>
      <c r="X127" s="79" t="s">
        <v>1650</v>
      </c>
      <c r="Y127" s="81">
        <v>984</v>
      </c>
      <c r="Z127" s="81">
        <v>1780</v>
      </c>
      <c r="AA127" s="81">
        <v>1958</v>
      </c>
      <c r="AB127" s="79" t="s">
        <v>1648</v>
      </c>
      <c r="AC127" s="81">
        <v>1410</v>
      </c>
      <c r="AD127" s="79" t="s">
        <v>1648</v>
      </c>
      <c r="AE127" s="79" t="s">
        <v>1649</v>
      </c>
      <c r="AF127" s="95">
        <v>0</v>
      </c>
    </row>
    <row r="128" spans="1:32" ht="15.75" thickBot="1" x14ac:dyDescent="0.3">
      <c r="A128" s="79" t="s">
        <v>284</v>
      </c>
      <c r="B128" s="93" t="s">
        <v>607</v>
      </c>
      <c r="C128" s="79" t="s">
        <v>17</v>
      </c>
      <c r="D128" s="81">
        <v>6240</v>
      </c>
      <c r="E128" s="81">
        <v>1903</v>
      </c>
      <c r="F128" s="81">
        <v>11232</v>
      </c>
      <c r="G128" s="81">
        <v>2000</v>
      </c>
      <c r="H128" s="81">
        <v>9898</v>
      </c>
      <c r="I128" s="81">
        <v>11432</v>
      </c>
      <c r="J128" s="81">
        <v>2993</v>
      </c>
      <c r="K128" s="81">
        <v>24323</v>
      </c>
      <c r="L128" s="81">
        <v>0</v>
      </c>
      <c r="M128" s="81">
        <v>21330</v>
      </c>
      <c r="N128" s="81">
        <v>2993</v>
      </c>
      <c r="O128" s="81">
        <v>24323</v>
      </c>
      <c r="P128" s="94">
        <f>O128/D128</f>
        <v>3.8979166666666667</v>
      </c>
      <c r="Q128" s="94">
        <f>H128/D128</f>
        <v>1.5862179487179486</v>
      </c>
      <c r="R128" s="94">
        <f>I128/D128</f>
        <v>1.832051282051282</v>
      </c>
      <c r="S128" s="94">
        <f>J128/D128</f>
        <v>0.47964743589743591</v>
      </c>
      <c r="T128" s="94">
        <f>K128/D128</f>
        <v>3.8979166666666667</v>
      </c>
      <c r="U128" s="94">
        <f>K128/E128</f>
        <v>12.781397792958487</v>
      </c>
      <c r="V128" s="81">
        <v>884</v>
      </c>
      <c r="W128" s="79" t="s">
        <v>1648</v>
      </c>
      <c r="X128" s="79" t="s">
        <v>1613</v>
      </c>
      <c r="Y128" s="81">
        <v>1168</v>
      </c>
      <c r="Z128" s="81">
        <v>1502</v>
      </c>
      <c r="AA128" s="81">
        <v>1597</v>
      </c>
      <c r="AB128" s="79" t="s">
        <v>1648</v>
      </c>
      <c r="AC128" s="81">
        <v>994</v>
      </c>
      <c r="AD128" s="79" t="s">
        <v>1648</v>
      </c>
      <c r="AE128" s="79" t="s">
        <v>1649</v>
      </c>
      <c r="AF128" s="95">
        <v>0</v>
      </c>
    </row>
    <row r="129" spans="1:32" ht="15.75" thickBot="1" x14ac:dyDescent="0.3">
      <c r="A129" s="79" t="s">
        <v>286</v>
      </c>
      <c r="B129" s="93" t="s">
        <v>613</v>
      </c>
      <c r="C129" s="79" t="s">
        <v>17</v>
      </c>
      <c r="D129" s="81">
        <v>5376</v>
      </c>
      <c r="E129" s="81">
        <v>468</v>
      </c>
      <c r="F129" s="81">
        <v>5253</v>
      </c>
      <c r="G129" s="81">
        <v>6030</v>
      </c>
      <c r="H129" s="81">
        <v>3271</v>
      </c>
      <c r="I129" s="81">
        <v>4309</v>
      </c>
      <c r="J129" s="81">
        <v>1339</v>
      </c>
      <c r="K129" s="81">
        <v>8919</v>
      </c>
      <c r="L129" s="81">
        <v>224</v>
      </c>
      <c r="M129" s="81">
        <v>7580</v>
      </c>
      <c r="N129" s="81">
        <v>1563</v>
      </c>
      <c r="O129" s="81">
        <v>9143</v>
      </c>
      <c r="P129" s="94">
        <f>O129/D129</f>
        <v>1.7007068452380953</v>
      </c>
      <c r="Q129" s="94">
        <f>H129/D129</f>
        <v>0.60844494047619047</v>
      </c>
      <c r="R129" s="94">
        <f>I129/D129</f>
        <v>0.80152529761904767</v>
      </c>
      <c r="S129" s="94">
        <f>J129/D129</f>
        <v>0.24906994047619047</v>
      </c>
      <c r="T129" s="94">
        <f>K129/D129</f>
        <v>1.6590401785714286</v>
      </c>
      <c r="U129" s="94">
        <f>K129/E129</f>
        <v>19.057692307692307</v>
      </c>
      <c r="V129" s="81">
        <v>394</v>
      </c>
      <c r="W129" s="79" t="s">
        <v>1649</v>
      </c>
      <c r="X129" s="79" t="s">
        <v>1651</v>
      </c>
      <c r="Y129" s="81">
        <v>390</v>
      </c>
      <c r="Z129" s="81">
        <v>1567</v>
      </c>
      <c r="AA129" s="81">
        <v>2098</v>
      </c>
      <c r="AB129" s="79" t="s">
        <v>1648</v>
      </c>
      <c r="AC129" s="81">
        <v>1753</v>
      </c>
      <c r="AD129" s="79" t="s">
        <v>1648</v>
      </c>
      <c r="AE129" s="79" t="s">
        <v>1649</v>
      </c>
      <c r="AF129" s="95">
        <v>0</v>
      </c>
    </row>
    <row r="130" spans="1:32" ht="15.75" thickBot="1" x14ac:dyDescent="0.3">
      <c r="A130" s="79" t="s">
        <v>288</v>
      </c>
      <c r="B130" s="93" t="s">
        <v>619</v>
      </c>
      <c r="C130" s="79" t="s">
        <v>17</v>
      </c>
      <c r="D130" s="81">
        <v>5523</v>
      </c>
      <c r="E130" s="81">
        <v>2412</v>
      </c>
      <c r="F130" s="81">
        <v>6503</v>
      </c>
      <c r="G130" s="81">
        <v>2934</v>
      </c>
      <c r="H130" s="81">
        <v>4892</v>
      </c>
      <c r="I130" s="81">
        <v>8059</v>
      </c>
      <c r="J130" s="81">
        <v>2607</v>
      </c>
      <c r="K130" s="81">
        <v>15558</v>
      </c>
      <c r="L130" s="81">
        <v>1592</v>
      </c>
      <c r="M130" s="81">
        <v>12951</v>
      </c>
      <c r="N130" s="81">
        <v>4199</v>
      </c>
      <c r="O130" s="81">
        <v>17150</v>
      </c>
      <c r="P130" s="94">
        <f>O130/D130</f>
        <v>3.1051964512040557</v>
      </c>
      <c r="Q130" s="94">
        <f>H130/D130</f>
        <v>0.88575049791779825</v>
      </c>
      <c r="R130" s="94">
        <f>I130/D130</f>
        <v>1.4591707405395618</v>
      </c>
      <c r="S130" s="94">
        <f>J130/D130</f>
        <v>0.47202607278652908</v>
      </c>
      <c r="T130" s="94">
        <f>K130/D130</f>
        <v>2.8169473112438892</v>
      </c>
      <c r="U130" s="94">
        <f>K130/E130</f>
        <v>6.4502487562189055</v>
      </c>
      <c r="V130" s="81">
        <v>0</v>
      </c>
      <c r="W130" s="79" t="s">
        <v>1649</v>
      </c>
      <c r="X130" s="79" t="s">
        <v>1651</v>
      </c>
      <c r="Y130" s="81">
        <v>803</v>
      </c>
      <c r="Z130" s="81">
        <v>1027</v>
      </c>
      <c r="AA130" s="81">
        <v>783</v>
      </c>
      <c r="AB130" s="79" t="s">
        <v>1648</v>
      </c>
      <c r="AC130" s="81">
        <v>236</v>
      </c>
      <c r="AD130" s="79" t="s">
        <v>1648</v>
      </c>
      <c r="AE130" s="79" t="s">
        <v>1649</v>
      </c>
      <c r="AF130" s="95">
        <v>0</v>
      </c>
    </row>
    <row r="131" spans="1:32" ht="15.75" thickBot="1" x14ac:dyDescent="0.3">
      <c r="A131" s="79" t="s">
        <v>290</v>
      </c>
      <c r="B131" s="93" t="s">
        <v>631</v>
      </c>
      <c r="C131" s="79" t="s">
        <v>17</v>
      </c>
      <c r="D131" s="81">
        <v>4659</v>
      </c>
      <c r="E131" s="81">
        <v>3422</v>
      </c>
      <c r="F131" s="81">
        <v>5437</v>
      </c>
      <c r="G131" s="81">
        <v>11752</v>
      </c>
      <c r="H131" s="81">
        <v>3449</v>
      </c>
      <c r="I131" s="81">
        <v>7516</v>
      </c>
      <c r="J131" s="81">
        <v>2762</v>
      </c>
      <c r="K131" s="81">
        <v>13727</v>
      </c>
      <c r="L131" s="81">
        <v>0</v>
      </c>
      <c r="M131" s="81">
        <v>10965</v>
      </c>
      <c r="N131" s="81">
        <v>2762</v>
      </c>
      <c r="O131" s="81">
        <v>13727</v>
      </c>
      <c r="P131" s="94">
        <f>O131/D131</f>
        <v>2.9463404163983689</v>
      </c>
      <c r="Q131" s="94">
        <f>H131/D131</f>
        <v>0.74028761536810472</v>
      </c>
      <c r="R131" s="94">
        <f>I131/D131</f>
        <v>1.613221721399442</v>
      </c>
      <c r="S131" s="94">
        <f>J131/D131</f>
        <v>0.59283107963082204</v>
      </c>
      <c r="T131" s="94">
        <f>K131/D131</f>
        <v>2.9463404163983689</v>
      </c>
      <c r="U131" s="94">
        <f>K131/E131</f>
        <v>4.011396843950906</v>
      </c>
      <c r="V131" s="81">
        <v>2555</v>
      </c>
      <c r="W131" s="79" t="s">
        <v>1648</v>
      </c>
      <c r="X131" s="79" t="s">
        <v>1651</v>
      </c>
      <c r="Y131" s="81">
        <v>1352</v>
      </c>
      <c r="Z131" s="81">
        <v>1958</v>
      </c>
      <c r="AA131" s="81">
        <v>509</v>
      </c>
      <c r="AB131" s="79" t="s">
        <v>1648</v>
      </c>
      <c r="AC131" s="81">
        <v>15820</v>
      </c>
      <c r="AD131" s="79" t="s">
        <v>1649</v>
      </c>
      <c r="AE131" s="79" t="s">
        <v>1649</v>
      </c>
      <c r="AF131" s="95">
        <v>0</v>
      </c>
    </row>
    <row r="132" spans="1:32" ht="15.75" thickBot="1" x14ac:dyDescent="0.3">
      <c r="A132" s="79" t="s">
        <v>292</v>
      </c>
      <c r="B132" s="93" t="s">
        <v>643</v>
      </c>
      <c r="C132" s="79" t="s">
        <v>17</v>
      </c>
      <c r="D132" s="81">
        <v>6295</v>
      </c>
      <c r="E132" s="81">
        <v>6253</v>
      </c>
      <c r="F132" s="81">
        <v>29033</v>
      </c>
      <c r="G132" s="81">
        <v>13949</v>
      </c>
      <c r="H132" s="81">
        <v>6821</v>
      </c>
      <c r="I132" s="81">
        <v>34757</v>
      </c>
      <c r="J132" s="81">
        <v>3509</v>
      </c>
      <c r="K132" s="81">
        <v>45087</v>
      </c>
      <c r="L132" s="81">
        <v>4</v>
      </c>
      <c r="M132" s="81">
        <v>41578</v>
      </c>
      <c r="N132" s="81">
        <v>3513</v>
      </c>
      <c r="O132" s="81">
        <v>45091</v>
      </c>
      <c r="P132" s="94">
        <f>O132/D132</f>
        <v>7.1629864972200155</v>
      </c>
      <c r="Q132" s="94">
        <f>H132/D132</f>
        <v>1.0835583796664019</v>
      </c>
      <c r="R132" s="94">
        <f>I132/D132</f>
        <v>5.5213661636219218</v>
      </c>
      <c r="S132" s="94">
        <f>J132/D132</f>
        <v>0.55742652899126288</v>
      </c>
      <c r="T132" s="94">
        <f>K132/D132</f>
        <v>7.1623510722795869</v>
      </c>
      <c r="U132" s="94">
        <f>K132/E132</f>
        <v>7.2104589796897489</v>
      </c>
      <c r="V132" s="81">
        <v>2504</v>
      </c>
      <c r="W132" s="79" t="s">
        <v>1648</v>
      </c>
      <c r="X132" s="79" t="s">
        <v>1650</v>
      </c>
      <c r="Y132" s="81">
        <v>3003</v>
      </c>
      <c r="Z132" s="81">
        <v>2693</v>
      </c>
      <c r="AA132" s="81">
        <v>4347</v>
      </c>
      <c r="AB132" s="79" t="s">
        <v>1648</v>
      </c>
      <c r="AC132" s="81">
        <v>2415</v>
      </c>
      <c r="AD132" s="79" t="s">
        <v>1649</v>
      </c>
      <c r="AE132" s="79" t="s">
        <v>1649</v>
      </c>
      <c r="AF132" s="95">
        <v>0</v>
      </c>
    </row>
    <row r="133" spans="1:32" ht="15.75" thickBot="1" x14ac:dyDescent="0.3">
      <c r="A133" s="79" t="s">
        <v>294</v>
      </c>
      <c r="B133" s="93" t="s">
        <v>657</v>
      </c>
      <c r="C133" s="79" t="s">
        <v>17</v>
      </c>
      <c r="D133" s="81">
        <v>4434</v>
      </c>
      <c r="E133" s="81">
        <v>2188</v>
      </c>
      <c r="F133" s="81">
        <v>21744</v>
      </c>
      <c r="G133" s="81">
        <v>13585</v>
      </c>
      <c r="H133" s="81">
        <v>2154</v>
      </c>
      <c r="I133" s="81">
        <v>12319</v>
      </c>
      <c r="J133" s="81">
        <v>1876</v>
      </c>
      <c r="K133" s="81">
        <v>16349</v>
      </c>
      <c r="L133" s="81">
        <v>341</v>
      </c>
      <c r="M133" s="81">
        <v>14473</v>
      </c>
      <c r="N133" s="81">
        <v>2217</v>
      </c>
      <c r="O133" s="81">
        <v>16690</v>
      </c>
      <c r="P133" s="94">
        <f>O133/D133</f>
        <v>3.7640956247180877</v>
      </c>
      <c r="Q133" s="94">
        <f>H133/D133</f>
        <v>0.48579161028416779</v>
      </c>
      <c r="R133" s="94">
        <f>I133/D133</f>
        <v>2.7783040144339197</v>
      </c>
      <c r="S133" s="94">
        <f>J133/D133</f>
        <v>0.42309427153811457</v>
      </c>
      <c r="T133" s="94">
        <f>K133/D133</f>
        <v>3.6871898962562022</v>
      </c>
      <c r="U133" s="94">
        <f>K133/E133</f>
        <v>7.4721206581352835</v>
      </c>
      <c r="V133" s="81">
        <v>1300</v>
      </c>
      <c r="W133" s="79" t="s">
        <v>1648</v>
      </c>
      <c r="X133" s="79" t="s">
        <v>1651</v>
      </c>
      <c r="Y133" s="81">
        <v>1567</v>
      </c>
      <c r="Z133" s="81">
        <v>1002</v>
      </c>
      <c r="AA133" s="81">
        <v>5112</v>
      </c>
      <c r="AB133" s="79" t="s">
        <v>1648</v>
      </c>
      <c r="AC133" s="81">
        <v>1913</v>
      </c>
      <c r="AD133" s="79" t="s">
        <v>1648</v>
      </c>
      <c r="AE133" s="79" t="s">
        <v>1649</v>
      </c>
      <c r="AF133" s="95">
        <v>0</v>
      </c>
    </row>
    <row r="134" spans="1:32" ht="15.75" thickBot="1" x14ac:dyDescent="0.3">
      <c r="A134" s="79" t="s">
        <v>296</v>
      </c>
      <c r="B134" s="93" t="s">
        <v>667</v>
      </c>
      <c r="C134" s="79" t="s">
        <v>17</v>
      </c>
      <c r="D134" s="81">
        <v>4375</v>
      </c>
      <c r="E134" s="81">
        <v>7180</v>
      </c>
      <c r="F134" s="81">
        <v>25803</v>
      </c>
      <c r="G134" s="81">
        <v>95945</v>
      </c>
      <c r="H134" s="81">
        <v>16443</v>
      </c>
      <c r="I134" s="81">
        <v>51890</v>
      </c>
      <c r="J134" s="81">
        <v>3623</v>
      </c>
      <c r="K134" s="81">
        <v>71956</v>
      </c>
      <c r="L134" s="81">
        <v>45945</v>
      </c>
      <c r="M134" s="81">
        <v>68333</v>
      </c>
      <c r="N134" s="81">
        <v>49568</v>
      </c>
      <c r="O134" s="81">
        <v>117901</v>
      </c>
      <c r="P134" s="94">
        <f>O134/D134</f>
        <v>26.948799999999999</v>
      </c>
      <c r="Q134" s="94">
        <f>H134/D134</f>
        <v>3.7584</v>
      </c>
      <c r="R134" s="94">
        <f>I134/D134</f>
        <v>11.860571428571429</v>
      </c>
      <c r="S134" s="94">
        <f>J134/D134</f>
        <v>0.82811428571428569</v>
      </c>
      <c r="T134" s="94">
        <f>K134/D134</f>
        <v>16.447085714285713</v>
      </c>
      <c r="U134" s="94">
        <f>K134/E134</f>
        <v>10.021727019498607</v>
      </c>
      <c r="V134" s="81">
        <v>1086</v>
      </c>
      <c r="W134" s="79" t="s">
        <v>1648</v>
      </c>
      <c r="X134" s="79" t="s">
        <v>1650</v>
      </c>
      <c r="Y134" s="81">
        <v>611</v>
      </c>
      <c r="Z134" s="81">
        <v>676</v>
      </c>
      <c r="AA134" s="81">
        <v>2273</v>
      </c>
      <c r="AB134" s="79" t="s">
        <v>1648</v>
      </c>
      <c r="AC134" s="81">
        <v>16587</v>
      </c>
      <c r="AD134" s="79" t="s">
        <v>1648</v>
      </c>
      <c r="AE134" s="79" t="s">
        <v>1649</v>
      </c>
      <c r="AF134" s="95">
        <v>0</v>
      </c>
    </row>
    <row r="135" spans="1:32" ht="15.75" thickBot="1" x14ac:dyDescent="0.3">
      <c r="A135" s="79" t="s">
        <v>298</v>
      </c>
      <c r="B135" s="93" t="s">
        <v>671</v>
      </c>
      <c r="C135" s="79" t="s">
        <v>17</v>
      </c>
      <c r="D135" s="81">
        <v>5101</v>
      </c>
      <c r="E135" s="81">
        <v>2249</v>
      </c>
      <c r="F135" s="81">
        <v>39512</v>
      </c>
      <c r="G135" s="81">
        <v>32330</v>
      </c>
      <c r="H135" s="81">
        <v>20372</v>
      </c>
      <c r="I135" s="81">
        <v>29580</v>
      </c>
      <c r="J135" s="81">
        <v>17529</v>
      </c>
      <c r="K135" s="81">
        <v>67481</v>
      </c>
      <c r="L135" s="81">
        <v>23321</v>
      </c>
      <c r="M135" s="81">
        <v>49952</v>
      </c>
      <c r="N135" s="81">
        <v>40850</v>
      </c>
      <c r="O135" s="81">
        <v>90802</v>
      </c>
      <c r="P135" s="94">
        <f>O135/D135</f>
        <v>17.800823367967066</v>
      </c>
      <c r="Q135" s="94">
        <f>H135/D135</f>
        <v>3.993726720250931</v>
      </c>
      <c r="R135" s="94">
        <f>I135/D135</f>
        <v>5.7988629680454808</v>
      </c>
      <c r="S135" s="94">
        <f>J135/D135</f>
        <v>3.4363850225445991</v>
      </c>
      <c r="T135" s="94">
        <f>K135/D135</f>
        <v>13.228974710841012</v>
      </c>
      <c r="U135" s="94">
        <f>K135/E135</f>
        <v>30.004891062694529</v>
      </c>
      <c r="V135" s="81">
        <v>1800</v>
      </c>
      <c r="W135" s="79" t="s">
        <v>1648</v>
      </c>
      <c r="X135" s="79" t="s">
        <v>1650</v>
      </c>
      <c r="Y135" s="81">
        <v>2856</v>
      </c>
      <c r="Z135" s="81">
        <v>4061</v>
      </c>
      <c r="AA135" s="81">
        <v>6634</v>
      </c>
      <c r="AB135" s="79" t="s">
        <v>1648</v>
      </c>
      <c r="AC135" s="81">
        <v>11621</v>
      </c>
      <c r="AD135" s="79" t="s">
        <v>1648</v>
      </c>
      <c r="AE135" s="79" t="s">
        <v>1648</v>
      </c>
      <c r="AF135" s="81">
        <v>22</v>
      </c>
    </row>
    <row r="136" spans="1:32" ht="15.75" thickBot="1" x14ac:dyDescent="0.3">
      <c r="A136" s="79" t="s">
        <v>300</v>
      </c>
      <c r="B136" s="93" t="s">
        <v>677</v>
      </c>
      <c r="C136" s="79" t="s">
        <v>17</v>
      </c>
      <c r="D136" s="81">
        <v>4038</v>
      </c>
      <c r="E136" s="81">
        <v>1937</v>
      </c>
      <c r="F136" s="81">
        <v>25000</v>
      </c>
      <c r="G136" s="81">
        <v>21500</v>
      </c>
      <c r="H136" s="81">
        <v>6024</v>
      </c>
      <c r="I136" s="81">
        <v>11786</v>
      </c>
      <c r="J136" s="81">
        <v>1561</v>
      </c>
      <c r="K136" s="81">
        <v>19371</v>
      </c>
      <c r="L136" s="81">
        <v>0</v>
      </c>
      <c r="M136" s="81">
        <v>17810</v>
      </c>
      <c r="N136" s="81">
        <v>1561</v>
      </c>
      <c r="O136" s="81">
        <v>19371</v>
      </c>
      <c r="P136" s="94">
        <f>O136/D136</f>
        <v>4.7971768202080236</v>
      </c>
      <c r="Q136" s="94">
        <f>H136/D136</f>
        <v>1.4918276374442794</v>
      </c>
      <c r="R136" s="94">
        <f>I136/D136</f>
        <v>2.91877166914314</v>
      </c>
      <c r="S136" s="94">
        <f>J136/D136</f>
        <v>0.38657751362060427</v>
      </c>
      <c r="T136" s="94">
        <f>K136/D136</f>
        <v>4.7971768202080236</v>
      </c>
      <c r="U136" s="94">
        <f>K136/E136</f>
        <v>10.000516262261229</v>
      </c>
      <c r="V136" s="81">
        <v>1850</v>
      </c>
      <c r="W136" s="79" t="s">
        <v>1648</v>
      </c>
      <c r="X136" s="79" t="s">
        <v>1650</v>
      </c>
      <c r="Y136" s="81">
        <v>1445</v>
      </c>
      <c r="Z136" s="81">
        <v>3239</v>
      </c>
      <c r="AA136" s="81">
        <v>1199</v>
      </c>
      <c r="AB136" s="79" t="s">
        <v>1648</v>
      </c>
      <c r="AC136" s="81">
        <v>4380</v>
      </c>
      <c r="AD136" s="79" t="s">
        <v>1648</v>
      </c>
      <c r="AE136" s="79" t="s">
        <v>1649</v>
      </c>
      <c r="AF136" s="95">
        <v>0</v>
      </c>
    </row>
    <row r="137" spans="1:32" ht="15.75" thickBot="1" x14ac:dyDescent="0.3">
      <c r="A137" s="79" t="s">
        <v>302</v>
      </c>
      <c r="B137" s="93" t="s">
        <v>685</v>
      </c>
      <c r="C137" s="79" t="s">
        <v>17</v>
      </c>
      <c r="D137" s="81">
        <v>5635</v>
      </c>
      <c r="E137" s="81">
        <v>1735</v>
      </c>
      <c r="F137" s="81">
        <v>7397</v>
      </c>
      <c r="G137" s="81">
        <v>1650</v>
      </c>
      <c r="H137" s="81">
        <v>3435</v>
      </c>
      <c r="I137" s="81">
        <v>8234</v>
      </c>
      <c r="J137" s="81">
        <v>1775</v>
      </c>
      <c r="K137" s="81">
        <v>13444</v>
      </c>
      <c r="L137" s="81">
        <v>0</v>
      </c>
      <c r="M137" s="81">
        <v>11669</v>
      </c>
      <c r="N137" s="81">
        <v>1775</v>
      </c>
      <c r="O137" s="81">
        <v>13444</v>
      </c>
      <c r="P137" s="94">
        <f>O137/D137</f>
        <v>2.3858030168589175</v>
      </c>
      <c r="Q137" s="94">
        <f>H137/D137</f>
        <v>0.60958296362023068</v>
      </c>
      <c r="R137" s="94">
        <f>I137/D137</f>
        <v>1.4612244897959183</v>
      </c>
      <c r="S137" s="94">
        <f>J137/D137</f>
        <v>0.31499556344276841</v>
      </c>
      <c r="T137" s="94">
        <f>K137/D137</f>
        <v>2.3858030168589175</v>
      </c>
      <c r="U137" s="94">
        <f>K137/E137</f>
        <v>7.7487031700288185</v>
      </c>
      <c r="V137" s="81">
        <v>1762</v>
      </c>
      <c r="W137" s="79" t="s">
        <v>1649</v>
      </c>
      <c r="X137" s="79" t="s">
        <v>1651</v>
      </c>
      <c r="Y137" s="81">
        <v>1137</v>
      </c>
      <c r="Z137" s="81">
        <v>1966</v>
      </c>
      <c r="AA137" s="81">
        <v>1296</v>
      </c>
      <c r="AB137" s="79" t="s">
        <v>1648</v>
      </c>
      <c r="AC137" s="81">
        <v>2962</v>
      </c>
      <c r="AD137" s="79" t="s">
        <v>1649</v>
      </c>
      <c r="AE137" s="79" t="s">
        <v>1649</v>
      </c>
      <c r="AF137" s="95">
        <v>0</v>
      </c>
    </row>
    <row r="138" spans="1:32" ht="15.75" thickBot="1" x14ac:dyDescent="0.3">
      <c r="A138" s="79" t="s">
        <v>304</v>
      </c>
      <c r="B138" s="93" t="s">
        <v>707</v>
      </c>
      <c r="C138" s="79" t="s">
        <v>17</v>
      </c>
      <c r="D138" s="81">
        <v>4046</v>
      </c>
      <c r="E138" s="81">
        <v>1260</v>
      </c>
      <c r="F138" s="81">
        <v>13770</v>
      </c>
      <c r="G138" s="81">
        <v>5303</v>
      </c>
      <c r="H138" s="81">
        <v>2928</v>
      </c>
      <c r="I138" s="81">
        <v>7079</v>
      </c>
      <c r="J138" s="81">
        <v>1089</v>
      </c>
      <c r="K138" s="81">
        <v>11096</v>
      </c>
      <c r="L138" s="81">
        <v>1025</v>
      </c>
      <c r="M138" s="81">
        <v>10007</v>
      </c>
      <c r="N138" s="81">
        <v>2114</v>
      </c>
      <c r="O138" s="81">
        <v>12121</v>
      </c>
      <c r="P138" s="94">
        <f>O138/D138</f>
        <v>2.9957983193277311</v>
      </c>
      <c r="Q138" s="94">
        <f>H138/D138</f>
        <v>0.72367770637666828</v>
      </c>
      <c r="R138" s="94">
        <f>I138/D138</f>
        <v>1.7496292634700938</v>
      </c>
      <c r="S138" s="94">
        <f>J138/D138</f>
        <v>0.26915472071181412</v>
      </c>
      <c r="T138" s="94">
        <f>K138/D138</f>
        <v>2.7424616905585766</v>
      </c>
      <c r="U138" s="94">
        <f>K138/E138</f>
        <v>8.806349206349207</v>
      </c>
      <c r="V138" s="81">
        <v>1020</v>
      </c>
      <c r="W138" s="79" t="s">
        <v>1648</v>
      </c>
      <c r="X138" s="79" t="s">
        <v>1650</v>
      </c>
      <c r="Y138" s="81">
        <v>898</v>
      </c>
      <c r="Z138" s="81">
        <v>1283</v>
      </c>
      <c r="AA138" s="81">
        <v>1388</v>
      </c>
      <c r="AB138" s="79" t="s">
        <v>1648</v>
      </c>
      <c r="AC138" s="81">
        <v>2033</v>
      </c>
      <c r="AD138" s="79" t="s">
        <v>1648</v>
      </c>
      <c r="AE138" s="79" t="s">
        <v>1648</v>
      </c>
      <c r="AF138" s="81">
        <v>19</v>
      </c>
    </row>
    <row r="139" spans="1:32" ht="15.75" thickBot="1" x14ac:dyDescent="0.3">
      <c r="A139" s="96" t="s">
        <v>306</v>
      </c>
      <c r="B139" s="93" t="s">
        <v>719</v>
      </c>
      <c r="C139" s="79" t="s">
        <v>17</v>
      </c>
      <c r="D139" s="81">
        <v>5479</v>
      </c>
      <c r="E139" s="81">
        <v>2535</v>
      </c>
      <c r="F139" s="81">
        <v>17550</v>
      </c>
      <c r="G139" s="81">
        <v>12280</v>
      </c>
      <c r="H139" s="81">
        <v>5950</v>
      </c>
      <c r="I139" s="81">
        <v>14176</v>
      </c>
      <c r="J139" s="81">
        <v>6036</v>
      </c>
      <c r="K139" s="81">
        <v>26162</v>
      </c>
      <c r="L139" s="81">
        <v>0</v>
      </c>
      <c r="M139" s="81">
        <v>20126</v>
      </c>
      <c r="N139" s="81">
        <v>6036</v>
      </c>
      <c r="O139" s="81">
        <v>26162</v>
      </c>
      <c r="P139" s="94">
        <f>O139/D139</f>
        <v>4.774958934112064</v>
      </c>
      <c r="Q139" s="94">
        <f>H139/D139</f>
        <v>1.0859645920788465</v>
      </c>
      <c r="R139" s="94">
        <f>I139/D139</f>
        <v>2.5873334550100382</v>
      </c>
      <c r="S139" s="94">
        <f>J139/D139</f>
        <v>1.1016608870231794</v>
      </c>
      <c r="T139" s="94">
        <f>K139/D139</f>
        <v>4.774958934112064</v>
      </c>
      <c r="U139" s="94">
        <f>K139/E139</f>
        <v>10.320315581854043</v>
      </c>
      <c r="V139" s="81">
        <v>2808</v>
      </c>
      <c r="W139" s="79" t="s">
        <v>1648</v>
      </c>
      <c r="X139" s="79" t="s">
        <v>1650</v>
      </c>
      <c r="Y139" s="81">
        <v>275</v>
      </c>
      <c r="Z139" s="81">
        <v>1132</v>
      </c>
      <c r="AA139" s="81">
        <v>2539</v>
      </c>
      <c r="AB139" s="79" t="s">
        <v>1648</v>
      </c>
      <c r="AC139" s="81">
        <v>7562</v>
      </c>
      <c r="AD139" s="79" t="s">
        <v>1648</v>
      </c>
      <c r="AE139" s="79" t="s">
        <v>1649</v>
      </c>
      <c r="AF139" s="95">
        <v>0</v>
      </c>
    </row>
    <row r="140" spans="1:32" ht="15.75" thickBot="1" x14ac:dyDescent="0.3">
      <c r="A140" s="79" t="s">
        <v>308</v>
      </c>
      <c r="B140" s="93" t="s">
        <v>727</v>
      </c>
      <c r="C140" s="96" t="s">
        <v>17</v>
      </c>
      <c r="D140" s="97">
        <v>6680</v>
      </c>
      <c r="E140" s="97">
        <v>4697</v>
      </c>
      <c r="F140" s="97">
        <v>3413</v>
      </c>
      <c r="G140" s="97">
        <v>105</v>
      </c>
      <c r="H140" s="97">
        <v>1843</v>
      </c>
      <c r="I140" s="97">
        <v>3285</v>
      </c>
      <c r="J140" s="97">
        <v>0</v>
      </c>
      <c r="K140" s="97">
        <v>5128</v>
      </c>
      <c r="L140" s="97">
        <v>11</v>
      </c>
      <c r="M140" s="97">
        <v>5128</v>
      </c>
      <c r="N140" s="97">
        <v>11</v>
      </c>
      <c r="O140" s="97">
        <v>5139</v>
      </c>
      <c r="P140" s="98">
        <f>O140/D140</f>
        <v>0.76931137724550902</v>
      </c>
      <c r="Q140" s="98">
        <f>H140/D140</f>
        <v>0.27589820359281436</v>
      </c>
      <c r="R140" s="98">
        <f>I140/D140</f>
        <v>0.49176646706586824</v>
      </c>
      <c r="S140" s="98">
        <f>J140/D140</f>
        <v>0</v>
      </c>
      <c r="T140" s="98">
        <f>K140/D140</f>
        <v>0.7676646706586826</v>
      </c>
      <c r="U140" s="98">
        <f>K140/E140</f>
        <v>1.0917606983180754</v>
      </c>
      <c r="V140" s="97">
        <v>416</v>
      </c>
      <c r="W140" s="96" t="s">
        <v>1648</v>
      </c>
      <c r="X140" s="96" t="s">
        <v>1650</v>
      </c>
      <c r="Y140" s="97">
        <v>519</v>
      </c>
      <c r="Z140" s="97">
        <v>309</v>
      </c>
      <c r="AA140" s="97">
        <v>426</v>
      </c>
      <c r="AB140" s="96" t="s">
        <v>1648</v>
      </c>
      <c r="AC140" s="97">
        <v>120</v>
      </c>
      <c r="AD140" s="96" t="s">
        <v>1648</v>
      </c>
      <c r="AE140" s="96" t="s">
        <v>1648</v>
      </c>
      <c r="AF140" s="97">
        <v>12</v>
      </c>
    </row>
    <row r="141" spans="1:32" ht="15.75" thickBot="1" x14ac:dyDescent="0.3">
      <c r="A141" s="79" t="s">
        <v>310</v>
      </c>
      <c r="B141" s="93" t="s">
        <v>735</v>
      </c>
      <c r="C141" s="79" t="s">
        <v>17</v>
      </c>
      <c r="D141" s="81">
        <v>6033</v>
      </c>
      <c r="E141" s="81">
        <v>6505</v>
      </c>
      <c r="F141" s="81">
        <v>18504</v>
      </c>
      <c r="G141" s="81">
        <v>557</v>
      </c>
      <c r="H141" s="81">
        <v>8836</v>
      </c>
      <c r="I141" s="81">
        <v>11274</v>
      </c>
      <c r="J141" s="81">
        <v>2606</v>
      </c>
      <c r="K141" s="81">
        <v>22716</v>
      </c>
      <c r="L141" s="81">
        <v>0</v>
      </c>
      <c r="M141" s="81">
        <v>20110</v>
      </c>
      <c r="N141" s="81">
        <v>2606</v>
      </c>
      <c r="O141" s="81">
        <v>22716</v>
      </c>
      <c r="P141" s="94">
        <f>O141/D141</f>
        <v>3.7652909000497266</v>
      </c>
      <c r="Q141" s="94">
        <f>H141/D141</f>
        <v>1.4646113044919609</v>
      </c>
      <c r="R141" s="94">
        <f>I141/D141</f>
        <v>1.8687220288413724</v>
      </c>
      <c r="S141" s="94">
        <f>J141/D141</f>
        <v>0.43195756671639318</v>
      </c>
      <c r="T141" s="94">
        <f>K141/D141</f>
        <v>3.7652909000497266</v>
      </c>
      <c r="U141" s="94">
        <f>K141/E141</f>
        <v>3.4920830130668716</v>
      </c>
      <c r="V141" s="81">
        <v>382</v>
      </c>
      <c r="W141" s="79" t="s">
        <v>1648</v>
      </c>
      <c r="X141" s="79" t="s">
        <v>1651</v>
      </c>
      <c r="Y141" s="81">
        <v>1156</v>
      </c>
      <c r="Z141" s="81">
        <v>1367</v>
      </c>
      <c r="AA141" s="81">
        <v>3479</v>
      </c>
      <c r="AB141" s="79" t="s">
        <v>1648</v>
      </c>
      <c r="AC141" s="81">
        <v>946</v>
      </c>
      <c r="AD141" s="79" t="s">
        <v>1648</v>
      </c>
      <c r="AE141" s="79" t="s">
        <v>1648</v>
      </c>
      <c r="AF141" s="81">
        <v>3</v>
      </c>
    </row>
    <row r="142" spans="1:32" ht="15.75" thickBot="1" x14ac:dyDescent="0.3">
      <c r="A142" s="79" t="s">
        <v>312</v>
      </c>
      <c r="B142" s="93" t="s">
        <v>743</v>
      </c>
      <c r="C142" s="79" t="s">
        <v>17</v>
      </c>
      <c r="D142" s="81">
        <v>4576</v>
      </c>
      <c r="E142" s="81">
        <v>2647</v>
      </c>
      <c r="F142" s="81">
        <v>5681</v>
      </c>
      <c r="G142" s="81">
        <v>7417</v>
      </c>
      <c r="H142" s="81">
        <v>3915</v>
      </c>
      <c r="I142" s="81">
        <v>16054</v>
      </c>
      <c r="J142" s="81">
        <v>2745</v>
      </c>
      <c r="K142" s="81">
        <v>22714</v>
      </c>
      <c r="L142" s="81">
        <v>0</v>
      </c>
      <c r="M142" s="81">
        <v>19969</v>
      </c>
      <c r="N142" s="81">
        <v>2745</v>
      </c>
      <c r="O142" s="81">
        <v>22714</v>
      </c>
      <c r="P142" s="94">
        <f>O142/D142</f>
        <v>4.9637237762237758</v>
      </c>
      <c r="Q142" s="94">
        <f>H142/D142</f>
        <v>0.85555069930069927</v>
      </c>
      <c r="R142" s="94">
        <f>I142/D142</f>
        <v>3.5083041958041958</v>
      </c>
      <c r="S142" s="94">
        <f>J142/D142</f>
        <v>0.59986888111888115</v>
      </c>
      <c r="T142" s="94">
        <f>K142/D142</f>
        <v>4.9637237762237758</v>
      </c>
      <c r="U142" s="94">
        <f>K142/E142</f>
        <v>8.5810351341140922</v>
      </c>
      <c r="V142" s="81">
        <v>990</v>
      </c>
      <c r="W142" s="79" t="s">
        <v>1649</v>
      </c>
      <c r="X142" s="79" t="s">
        <v>1650</v>
      </c>
      <c r="Y142" s="81">
        <v>359</v>
      </c>
      <c r="Z142" s="81">
        <v>450</v>
      </c>
      <c r="AA142" s="81">
        <v>4230</v>
      </c>
      <c r="AB142" s="79" t="s">
        <v>1648</v>
      </c>
      <c r="AC142" s="81">
        <v>12755</v>
      </c>
      <c r="AD142" s="79" t="s">
        <v>1648</v>
      </c>
      <c r="AE142" s="79" t="s">
        <v>1648</v>
      </c>
      <c r="AF142" s="81">
        <v>10</v>
      </c>
    </row>
    <row r="143" spans="1:32" ht="15.75" thickBot="1" x14ac:dyDescent="0.3">
      <c r="A143" s="79" t="s">
        <v>314</v>
      </c>
      <c r="B143" s="93" t="s">
        <v>757</v>
      </c>
      <c r="C143" s="79" t="s">
        <v>17</v>
      </c>
      <c r="D143" s="81">
        <v>4757</v>
      </c>
      <c r="E143" s="81">
        <v>2998</v>
      </c>
      <c r="F143" s="81">
        <v>18349</v>
      </c>
      <c r="G143" s="81">
        <v>10838</v>
      </c>
      <c r="H143" s="81">
        <v>9468</v>
      </c>
      <c r="I143" s="81">
        <v>21814</v>
      </c>
      <c r="J143" s="81">
        <v>1845</v>
      </c>
      <c r="K143" s="81">
        <v>33127</v>
      </c>
      <c r="L143" s="81">
        <v>69</v>
      </c>
      <c r="M143" s="81">
        <v>31282</v>
      </c>
      <c r="N143" s="81">
        <v>1914</v>
      </c>
      <c r="O143" s="81">
        <v>33196</v>
      </c>
      <c r="P143" s="94">
        <f>O143/D143</f>
        <v>6.9783476981290731</v>
      </c>
      <c r="Q143" s="94">
        <f>H143/D143</f>
        <v>1.9903300399411394</v>
      </c>
      <c r="R143" s="94">
        <f>I143/D143</f>
        <v>4.5856632331301244</v>
      </c>
      <c r="S143" s="94">
        <f>J143/D143</f>
        <v>0.3878494849695186</v>
      </c>
      <c r="T143" s="94">
        <f>K143/D143</f>
        <v>6.9638427580407818</v>
      </c>
      <c r="U143" s="94">
        <f>K143/E143</f>
        <v>11.049699799866577</v>
      </c>
      <c r="V143" s="81">
        <v>7500</v>
      </c>
      <c r="W143" s="79" t="s">
        <v>1648</v>
      </c>
      <c r="X143" s="79" t="s">
        <v>1650</v>
      </c>
      <c r="Y143" s="81">
        <v>3892</v>
      </c>
      <c r="Z143" s="81">
        <v>2888</v>
      </c>
      <c r="AA143" s="81">
        <v>1185</v>
      </c>
      <c r="AB143" s="79" t="s">
        <v>1648</v>
      </c>
      <c r="AC143" s="81">
        <v>4685</v>
      </c>
      <c r="AD143" s="79" t="s">
        <v>1648</v>
      </c>
      <c r="AE143" s="79" t="s">
        <v>1648</v>
      </c>
      <c r="AF143" s="81">
        <v>13</v>
      </c>
    </row>
    <row r="144" spans="1:32" ht="15.75" thickBot="1" x14ac:dyDescent="0.3">
      <c r="A144" s="79" t="s">
        <v>316</v>
      </c>
      <c r="B144" s="93" t="s">
        <v>763</v>
      </c>
      <c r="C144" s="79" t="s">
        <v>17</v>
      </c>
      <c r="D144" s="81">
        <v>4614</v>
      </c>
      <c r="E144" s="81">
        <v>784</v>
      </c>
      <c r="F144" s="81">
        <v>2000</v>
      </c>
      <c r="G144" s="81">
        <v>2555</v>
      </c>
      <c r="H144" s="81">
        <v>1379</v>
      </c>
      <c r="I144" s="81">
        <v>3163</v>
      </c>
      <c r="J144" s="81">
        <v>2307</v>
      </c>
      <c r="K144" s="81">
        <v>6849</v>
      </c>
      <c r="L144" s="81">
        <v>2307</v>
      </c>
      <c r="M144" s="81">
        <v>4542</v>
      </c>
      <c r="N144" s="81">
        <v>4614</v>
      </c>
      <c r="O144" s="81">
        <v>9156</v>
      </c>
      <c r="P144" s="94">
        <f>O144/D144</f>
        <v>1.9843953185955787</v>
      </c>
      <c r="Q144" s="94">
        <f>H144/D144</f>
        <v>0.29887299523190292</v>
      </c>
      <c r="R144" s="94">
        <f>I144/D144</f>
        <v>0.6855223233636758</v>
      </c>
      <c r="S144" s="94">
        <f>J144/D144</f>
        <v>0.5</v>
      </c>
      <c r="T144" s="94">
        <f>K144/D144</f>
        <v>1.4843953185955787</v>
      </c>
      <c r="U144" s="94">
        <f>K144/E144</f>
        <v>8.7359693877551017</v>
      </c>
      <c r="V144" s="81">
        <v>150</v>
      </c>
      <c r="W144" s="79" t="s">
        <v>1649</v>
      </c>
      <c r="X144" s="79" t="s">
        <v>1650</v>
      </c>
      <c r="Y144" s="81">
        <v>628</v>
      </c>
      <c r="Z144" s="81">
        <v>615</v>
      </c>
      <c r="AA144" s="81">
        <v>750</v>
      </c>
      <c r="AB144" s="79" t="s">
        <v>1648</v>
      </c>
      <c r="AC144" s="81">
        <v>1200</v>
      </c>
      <c r="AD144" s="79" t="s">
        <v>1648</v>
      </c>
      <c r="AE144" s="79" t="s">
        <v>1649</v>
      </c>
      <c r="AF144" s="95">
        <v>0</v>
      </c>
    </row>
    <row r="145" spans="1:32" ht="15.75" thickBot="1" x14ac:dyDescent="0.3">
      <c r="A145" s="79" t="s">
        <v>318</v>
      </c>
      <c r="B145" s="93" t="s">
        <v>773</v>
      </c>
      <c r="C145" s="79" t="s">
        <v>17</v>
      </c>
      <c r="D145" s="81">
        <v>6999</v>
      </c>
      <c r="E145" s="81">
        <v>2521</v>
      </c>
      <c r="F145" s="81">
        <v>24583</v>
      </c>
      <c r="G145" s="81">
        <v>33801</v>
      </c>
      <c r="H145" s="81">
        <v>9484</v>
      </c>
      <c r="I145" s="81">
        <v>16930</v>
      </c>
      <c r="J145" s="81">
        <v>5527</v>
      </c>
      <c r="K145" s="81">
        <v>31941</v>
      </c>
      <c r="L145" s="81">
        <v>0</v>
      </c>
      <c r="M145" s="81">
        <v>26414</v>
      </c>
      <c r="N145" s="81">
        <v>5527</v>
      </c>
      <c r="O145" s="81">
        <v>31941</v>
      </c>
      <c r="P145" s="94">
        <f>O145/D145</f>
        <v>4.5636519502786115</v>
      </c>
      <c r="Q145" s="94">
        <f>H145/D145</f>
        <v>1.3550507215316474</v>
      </c>
      <c r="R145" s="94">
        <f>I145/D145</f>
        <v>2.418916988141163</v>
      </c>
      <c r="S145" s="94">
        <f>J145/D145</f>
        <v>0.78968424060580078</v>
      </c>
      <c r="T145" s="94">
        <f>K145/D145</f>
        <v>4.5636519502786115</v>
      </c>
      <c r="U145" s="94">
        <f>K145/E145</f>
        <v>12.669972233240777</v>
      </c>
      <c r="V145" s="81">
        <v>781</v>
      </c>
      <c r="W145" s="79" t="s">
        <v>1648</v>
      </c>
      <c r="X145" s="79" t="s">
        <v>1651</v>
      </c>
      <c r="Y145" s="81">
        <v>8677</v>
      </c>
      <c r="Z145" s="81">
        <v>6104</v>
      </c>
      <c r="AA145" s="81">
        <v>8316</v>
      </c>
      <c r="AB145" s="79" t="s">
        <v>1648</v>
      </c>
      <c r="AC145" s="81">
        <v>1646</v>
      </c>
      <c r="AD145" s="79" t="s">
        <v>1648</v>
      </c>
      <c r="AE145" s="79" t="s">
        <v>1648</v>
      </c>
      <c r="AF145" s="81">
        <v>13</v>
      </c>
    </row>
    <row r="146" spans="1:32" ht="15.75" thickBot="1" x14ac:dyDescent="0.3">
      <c r="A146" s="79" t="s">
        <v>320</v>
      </c>
      <c r="B146" s="93" t="s">
        <v>783</v>
      </c>
      <c r="C146" s="79" t="s">
        <v>17</v>
      </c>
      <c r="D146" s="81">
        <v>4837</v>
      </c>
      <c r="E146" s="81">
        <v>7507</v>
      </c>
      <c r="F146" s="81">
        <v>21597</v>
      </c>
      <c r="G146" s="81">
        <v>4565</v>
      </c>
      <c r="H146" s="81">
        <v>3675</v>
      </c>
      <c r="I146" s="81">
        <v>7894</v>
      </c>
      <c r="J146" s="81">
        <v>2562</v>
      </c>
      <c r="K146" s="81">
        <v>14131</v>
      </c>
      <c r="L146" s="81">
        <v>0</v>
      </c>
      <c r="M146" s="81">
        <v>11569</v>
      </c>
      <c r="N146" s="81">
        <v>2562</v>
      </c>
      <c r="O146" s="81">
        <v>14131</v>
      </c>
      <c r="P146" s="94">
        <f>O146/D146</f>
        <v>2.9214389084143062</v>
      </c>
      <c r="Q146" s="94">
        <f>H146/D146</f>
        <v>0.75976845151953687</v>
      </c>
      <c r="R146" s="94">
        <f>I146/D146</f>
        <v>1.6320033078354352</v>
      </c>
      <c r="S146" s="94">
        <f>J146/D146</f>
        <v>0.52966714905933432</v>
      </c>
      <c r="T146" s="94">
        <f>K146/D146</f>
        <v>2.9214389084143062</v>
      </c>
      <c r="U146" s="94">
        <f>K146/E146</f>
        <v>1.8823764486479286</v>
      </c>
      <c r="V146" s="81">
        <v>2196</v>
      </c>
      <c r="W146" s="79" t="s">
        <v>1648</v>
      </c>
      <c r="X146" s="79" t="s">
        <v>1650</v>
      </c>
      <c r="Y146" s="81">
        <v>718</v>
      </c>
      <c r="Z146" s="81">
        <v>744</v>
      </c>
      <c r="AA146" s="81">
        <v>3373</v>
      </c>
      <c r="AB146" s="79" t="s">
        <v>1648</v>
      </c>
      <c r="AC146" s="81">
        <v>937</v>
      </c>
      <c r="AD146" s="79" t="s">
        <v>1648</v>
      </c>
      <c r="AE146" s="79" t="s">
        <v>1648</v>
      </c>
      <c r="AF146" s="81">
        <v>7</v>
      </c>
    </row>
    <row r="147" spans="1:32" ht="15.75" thickBot="1" x14ac:dyDescent="0.3">
      <c r="A147" s="79" t="s">
        <v>322</v>
      </c>
      <c r="B147" s="93" t="s">
        <v>801</v>
      </c>
      <c r="C147" s="79" t="s">
        <v>17</v>
      </c>
      <c r="D147" s="81">
        <v>5240</v>
      </c>
      <c r="E147" s="81">
        <v>1375</v>
      </c>
      <c r="F147" s="81">
        <v>13818</v>
      </c>
      <c r="G147" s="81">
        <v>5596</v>
      </c>
      <c r="H147" s="81">
        <v>4697</v>
      </c>
      <c r="I147" s="81">
        <v>9522</v>
      </c>
      <c r="J147" s="81">
        <v>4681</v>
      </c>
      <c r="K147" s="81">
        <v>18900</v>
      </c>
      <c r="L147" s="81">
        <v>0</v>
      </c>
      <c r="M147" s="81">
        <v>14219</v>
      </c>
      <c r="N147" s="81">
        <v>4681</v>
      </c>
      <c r="O147" s="81">
        <v>18900</v>
      </c>
      <c r="P147" s="94">
        <f>O147/D147</f>
        <v>3.6068702290076335</v>
      </c>
      <c r="Q147" s="94">
        <f>H147/D147</f>
        <v>0.89637404580152669</v>
      </c>
      <c r="R147" s="94">
        <f>I147/D147</f>
        <v>1.8171755725190839</v>
      </c>
      <c r="S147" s="94">
        <f>J147/D147</f>
        <v>0.89332061068702295</v>
      </c>
      <c r="T147" s="94">
        <f>K147/D147</f>
        <v>3.6068702290076335</v>
      </c>
      <c r="U147" s="94">
        <f>K147/E147</f>
        <v>13.745454545454546</v>
      </c>
      <c r="V147" s="81">
        <v>1885</v>
      </c>
      <c r="W147" s="79" t="s">
        <v>1648</v>
      </c>
      <c r="X147" s="79" t="s">
        <v>1650</v>
      </c>
      <c r="Y147" s="81">
        <v>692</v>
      </c>
      <c r="Z147" s="81">
        <v>844</v>
      </c>
      <c r="AA147" s="81">
        <v>4784</v>
      </c>
      <c r="AB147" s="79" t="s">
        <v>1648</v>
      </c>
      <c r="AC147" s="81">
        <v>2617</v>
      </c>
      <c r="AD147" s="79" t="s">
        <v>1649</v>
      </c>
      <c r="AE147" s="79" t="s">
        <v>1649</v>
      </c>
      <c r="AF147" s="95">
        <v>0</v>
      </c>
    </row>
    <row r="148" spans="1:32" ht="15.75" thickBot="1" x14ac:dyDescent="0.3">
      <c r="A148" s="79" t="s">
        <v>324</v>
      </c>
      <c r="B148" s="93" t="s">
        <v>23</v>
      </c>
      <c r="C148" s="79" t="s">
        <v>25</v>
      </c>
      <c r="D148" s="81">
        <v>7410</v>
      </c>
      <c r="E148" s="81">
        <v>8584</v>
      </c>
      <c r="F148" s="81">
        <v>17440</v>
      </c>
      <c r="G148" s="81">
        <v>11134</v>
      </c>
      <c r="H148" s="81">
        <v>2602</v>
      </c>
      <c r="I148" s="81">
        <v>11497</v>
      </c>
      <c r="J148" s="81">
        <v>3898</v>
      </c>
      <c r="K148" s="81">
        <v>17997</v>
      </c>
      <c r="L148" s="81">
        <v>5050</v>
      </c>
      <c r="M148" s="81">
        <v>14099</v>
      </c>
      <c r="N148" s="81">
        <v>8948</v>
      </c>
      <c r="O148" s="81">
        <v>23047</v>
      </c>
      <c r="P148" s="94">
        <f>O148/D148</f>
        <v>3.1102564102564103</v>
      </c>
      <c r="Q148" s="94">
        <f>H148/D148</f>
        <v>0.35114709851551956</v>
      </c>
      <c r="R148" s="94">
        <f>I148/D148</f>
        <v>1.5515519568151148</v>
      </c>
      <c r="S148" s="94">
        <f>J148/D148</f>
        <v>0.5260458839406208</v>
      </c>
      <c r="T148" s="94">
        <f>K148/D148</f>
        <v>2.428744939271255</v>
      </c>
      <c r="U148" s="94">
        <f>K148/E148</f>
        <v>2.0965750232991613</v>
      </c>
      <c r="V148" s="81">
        <v>1620</v>
      </c>
      <c r="W148" s="79" t="s">
        <v>1649</v>
      </c>
      <c r="X148" s="79" t="s">
        <v>1650</v>
      </c>
      <c r="Y148" s="81">
        <v>901</v>
      </c>
      <c r="Z148" s="81">
        <v>1118</v>
      </c>
      <c r="AA148" s="81">
        <v>4395</v>
      </c>
      <c r="AB148" s="79" t="s">
        <v>1648</v>
      </c>
      <c r="AC148" s="81">
        <v>48705</v>
      </c>
      <c r="AD148" s="79" t="s">
        <v>1648</v>
      </c>
      <c r="AE148" s="79" t="s">
        <v>1649</v>
      </c>
      <c r="AF148" s="95">
        <v>0</v>
      </c>
    </row>
    <row r="149" spans="1:32" ht="15.75" thickBot="1" x14ac:dyDescent="0.3">
      <c r="A149" s="79" t="s">
        <v>326</v>
      </c>
      <c r="B149" s="93" t="s">
        <v>26</v>
      </c>
      <c r="C149" s="79" t="s">
        <v>25</v>
      </c>
      <c r="D149" s="81">
        <v>11600</v>
      </c>
      <c r="E149" s="81">
        <v>2377</v>
      </c>
      <c r="F149" s="81">
        <v>6660</v>
      </c>
      <c r="G149" s="81">
        <v>6988</v>
      </c>
      <c r="H149" s="81">
        <v>2089</v>
      </c>
      <c r="I149" s="81">
        <v>7519</v>
      </c>
      <c r="J149" s="81">
        <v>3678</v>
      </c>
      <c r="K149" s="81">
        <v>13286</v>
      </c>
      <c r="L149" s="81">
        <v>0</v>
      </c>
      <c r="M149" s="81">
        <v>9608</v>
      </c>
      <c r="N149" s="81">
        <v>3678</v>
      </c>
      <c r="O149" s="81">
        <v>13286</v>
      </c>
      <c r="P149" s="94">
        <f>O149/D149</f>
        <v>1.1453448275862068</v>
      </c>
      <c r="Q149" s="94">
        <f>H149/D149</f>
        <v>0.18008620689655172</v>
      </c>
      <c r="R149" s="94">
        <f>I149/D149</f>
        <v>0.64818965517241378</v>
      </c>
      <c r="S149" s="94">
        <f>J149/D149</f>
        <v>0.3170689655172414</v>
      </c>
      <c r="T149" s="94">
        <f>K149/D149</f>
        <v>1.1453448275862068</v>
      </c>
      <c r="U149" s="94">
        <f>K149/E149</f>
        <v>5.5893984013462346</v>
      </c>
      <c r="V149" s="81">
        <v>360</v>
      </c>
      <c r="W149" s="79" t="s">
        <v>1649</v>
      </c>
      <c r="X149" s="79" t="s">
        <v>1650</v>
      </c>
      <c r="Y149" s="81">
        <v>1687</v>
      </c>
      <c r="Z149" s="81">
        <v>2337</v>
      </c>
      <c r="AA149" s="81">
        <v>1030</v>
      </c>
      <c r="AB149" s="79" t="s">
        <v>1648</v>
      </c>
      <c r="AC149" s="81">
        <v>1664</v>
      </c>
      <c r="AD149" s="79" t="s">
        <v>1648</v>
      </c>
      <c r="AE149" s="79" t="s">
        <v>1649</v>
      </c>
      <c r="AF149" s="95">
        <v>0</v>
      </c>
    </row>
    <row r="150" spans="1:32" ht="15.75" thickBot="1" x14ac:dyDescent="0.3">
      <c r="A150" s="79" t="s">
        <v>328</v>
      </c>
      <c r="B150" s="93" t="s">
        <v>28</v>
      </c>
      <c r="C150" s="79" t="s">
        <v>25</v>
      </c>
      <c r="D150" s="81">
        <v>11569</v>
      </c>
      <c r="E150" s="81">
        <v>2545</v>
      </c>
      <c r="F150" s="81">
        <v>48322</v>
      </c>
      <c r="G150" s="81">
        <v>26532</v>
      </c>
      <c r="H150" s="81">
        <v>11586</v>
      </c>
      <c r="I150" s="81">
        <v>28466</v>
      </c>
      <c r="J150" s="81">
        <v>4606</v>
      </c>
      <c r="K150" s="81">
        <v>44658</v>
      </c>
      <c r="L150" s="81">
        <v>726</v>
      </c>
      <c r="M150" s="81">
        <v>40052</v>
      </c>
      <c r="N150" s="81">
        <v>5332</v>
      </c>
      <c r="O150" s="81">
        <v>45384</v>
      </c>
      <c r="P150" s="94">
        <f>O150/D150</f>
        <v>3.9228973982193795</v>
      </c>
      <c r="Q150" s="94">
        <f>H150/D150</f>
        <v>1.0014694442043393</v>
      </c>
      <c r="R150" s="94">
        <f>I150/D150</f>
        <v>2.4605411012187743</v>
      </c>
      <c r="S150" s="94">
        <f>J150/D150</f>
        <v>0.39813294148154549</v>
      </c>
      <c r="T150" s="94">
        <f>K150/D150</f>
        <v>3.8601434869046591</v>
      </c>
      <c r="U150" s="94">
        <f>K150/E150</f>
        <v>17.547347740667977</v>
      </c>
      <c r="V150" s="81">
        <v>5002</v>
      </c>
      <c r="W150" s="79" t="s">
        <v>1648</v>
      </c>
      <c r="X150" s="79" t="s">
        <v>1651</v>
      </c>
      <c r="Y150" s="81">
        <v>1199</v>
      </c>
      <c r="Z150" s="81">
        <v>3076</v>
      </c>
      <c r="AA150" s="81">
        <v>11568</v>
      </c>
      <c r="AB150" s="79" t="s">
        <v>1648</v>
      </c>
      <c r="AC150" s="81">
        <v>3208</v>
      </c>
      <c r="AD150" s="79" t="s">
        <v>1648</v>
      </c>
      <c r="AE150" s="79" t="s">
        <v>1648</v>
      </c>
      <c r="AF150" s="81">
        <v>9</v>
      </c>
    </row>
    <row r="151" spans="1:32" ht="15.75" thickBot="1" x14ac:dyDescent="0.3">
      <c r="A151" s="79" t="s">
        <v>330</v>
      </c>
      <c r="B151" s="93" t="s">
        <v>30</v>
      </c>
      <c r="C151" s="79" t="s">
        <v>25</v>
      </c>
      <c r="D151" s="81">
        <v>9706</v>
      </c>
      <c r="E151" s="81">
        <v>2782</v>
      </c>
      <c r="F151" s="81">
        <v>50847</v>
      </c>
      <c r="G151" s="81">
        <v>21748</v>
      </c>
      <c r="H151" s="81">
        <v>9409</v>
      </c>
      <c r="I151" s="81">
        <v>31628</v>
      </c>
      <c r="J151" s="81">
        <v>6359</v>
      </c>
      <c r="K151" s="81">
        <v>47396</v>
      </c>
      <c r="L151" s="81">
        <v>0</v>
      </c>
      <c r="M151" s="81">
        <v>41037</v>
      </c>
      <c r="N151" s="81">
        <v>6359</v>
      </c>
      <c r="O151" s="81">
        <v>47396</v>
      </c>
      <c r="P151" s="94">
        <f>O151/D151</f>
        <v>4.8831650525448174</v>
      </c>
      <c r="Q151" s="94">
        <f>H151/D151</f>
        <v>0.96940037090459508</v>
      </c>
      <c r="R151" s="94">
        <f>I151/D151</f>
        <v>3.258602926025139</v>
      </c>
      <c r="S151" s="94">
        <f>J151/D151</f>
        <v>0.6551617556150835</v>
      </c>
      <c r="T151" s="94">
        <f>K151/D151</f>
        <v>4.8831650525448174</v>
      </c>
      <c r="U151" s="94">
        <f>K151/E151</f>
        <v>17.036664270309132</v>
      </c>
      <c r="V151" s="81">
        <v>1422</v>
      </c>
      <c r="W151" s="79" t="s">
        <v>1648</v>
      </c>
      <c r="X151" s="79" t="s">
        <v>1651</v>
      </c>
      <c r="Y151" s="81">
        <v>8268</v>
      </c>
      <c r="Z151" s="81">
        <v>9101</v>
      </c>
      <c r="AA151" s="81">
        <v>1975</v>
      </c>
      <c r="AB151" s="79" t="s">
        <v>1648</v>
      </c>
      <c r="AC151" s="81">
        <v>6823</v>
      </c>
      <c r="AD151" s="79" t="s">
        <v>1648</v>
      </c>
      <c r="AE151" s="79" t="s">
        <v>1649</v>
      </c>
      <c r="AF151" s="95">
        <v>0</v>
      </c>
    </row>
    <row r="152" spans="1:32" ht="15.75" thickBot="1" x14ac:dyDescent="0.3">
      <c r="A152" s="79" t="s">
        <v>332</v>
      </c>
      <c r="B152" s="93" t="s">
        <v>42</v>
      </c>
      <c r="C152" s="79" t="s">
        <v>25</v>
      </c>
      <c r="D152" s="81">
        <v>11902</v>
      </c>
      <c r="E152" s="81">
        <v>17292</v>
      </c>
      <c r="F152" s="81">
        <v>61944</v>
      </c>
      <c r="G152" s="81">
        <v>97420</v>
      </c>
      <c r="H152" s="81">
        <v>16379</v>
      </c>
      <c r="I152" s="81">
        <v>14357</v>
      </c>
      <c r="J152" s="81">
        <v>5946</v>
      </c>
      <c r="K152" s="81">
        <v>36682</v>
      </c>
      <c r="L152" s="81">
        <v>6605</v>
      </c>
      <c r="M152" s="81">
        <v>30736</v>
      </c>
      <c r="N152" s="81">
        <v>12551</v>
      </c>
      <c r="O152" s="81">
        <v>43287</v>
      </c>
      <c r="P152" s="94">
        <f>O152/D152</f>
        <v>3.6369517728112921</v>
      </c>
      <c r="Q152" s="94">
        <f>H152/D152</f>
        <v>1.3761552680221811</v>
      </c>
      <c r="R152" s="94">
        <f>I152/D152</f>
        <v>1.206267854142161</v>
      </c>
      <c r="S152" s="94">
        <f>J152/D152</f>
        <v>0.49957990253738865</v>
      </c>
      <c r="T152" s="94">
        <f>K152/D152</f>
        <v>3.0820030247017307</v>
      </c>
      <c r="U152" s="94">
        <f>K152/E152</f>
        <v>2.1213277816331253</v>
      </c>
      <c r="V152" s="81">
        <v>12521</v>
      </c>
      <c r="W152" s="79" t="s">
        <v>1648</v>
      </c>
      <c r="X152" s="79" t="s">
        <v>1650</v>
      </c>
      <c r="Y152" s="81">
        <v>1265</v>
      </c>
      <c r="Z152" s="81">
        <v>1770</v>
      </c>
      <c r="AA152" s="81">
        <v>8440</v>
      </c>
      <c r="AB152" s="79" t="s">
        <v>1648</v>
      </c>
      <c r="AC152" s="81">
        <v>-1</v>
      </c>
      <c r="AD152" s="79" t="s">
        <v>1648</v>
      </c>
      <c r="AE152" s="79" t="s">
        <v>1648</v>
      </c>
      <c r="AF152" s="81">
        <v>73</v>
      </c>
    </row>
    <row r="153" spans="1:32" ht="15.75" thickBot="1" x14ac:dyDescent="0.3">
      <c r="A153" s="79" t="s">
        <v>334</v>
      </c>
      <c r="B153" s="93" t="s">
        <v>50</v>
      </c>
      <c r="C153" s="79" t="s">
        <v>25</v>
      </c>
      <c r="D153" s="81">
        <v>11000</v>
      </c>
      <c r="E153" s="81">
        <v>2097</v>
      </c>
      <c r="F153" s="81">
        <v>28084</v>
      </c>
      <c r="G153" s="81">
        <v>91896</v>
      </c>
      <c r="H153" s="81">
        <v>8848</v>
      </c>
      <c r="I153" s="81">
        <v>10050</v>
      </c>
      <c r="J153" s="81">
        <v>6154</v>
      </c>
      <c r="K153" s="81">
        <v>25052</v>
      </c>
      <c r="L153" s="81">
        <v>0</v>
      </c>
      <c r="M153" s="81">
        <v>18898</v>
      </c>
      <c r="N153" s="81">
        <v>6154</v>
      </c>
      <c r="O153" s="81">
        <v>25052</v>
      </c>
      <c r="P153" s="94">
        <f>O153/D153</f>
        <v>2.2774545454545456</v>
      </c>
      <c r="Q153" s="94">
        <f>H153/D153</f>
        <v>0.80436363636363639</v>
      </c>
      <c r="R153" s="94">
        <f>I153/D153</f>
        <v>0.91363636363636369</v>
      </c>
      <c r="S153" s="94">
        <f>J153/D153</f>
        <v>0.55945454545454543</v>
      </c>
      <c r="T153" s="94">
        <f>K153/D153</f>
        <v>2.2774545454545456</v>
      </c>
      <c r="U153" s="94">
        <f>K153/E153</f>
        <v>11.946590367191225</v>
      </c>
      <c r="V153" s="81">
        <v>3319</v>
      </c>
      <c r="W153" s="79" t="s">
        <v>1648</v>
      </c>
      <c r="X153" s="79" t="s">
        <v>1651</v>
      </c>
      <c r="Y153" s="81">
        <v>2569</v>
      </c>
      <c r="Z153" s="81">
        <v>2320</v>
      </c>
      <c r="AA153" s="81">
        <v>2310</v>
      </c>
      <c r="AB153" s="79" t="s">
        <v>1648</v>
      </c>
      <c r="AC153" s="81">
        <v>8729</v>
      </c>
      <c r="AD153" s="79" t="s">
        <v>1648</v>
      </c>
      <c r="AE153" s="79" t="s">
        <v>1649</v>
      </c>
      <c r="AF153" s="95">
        <v>0</v>
      </c>
    </row>
    <row r="154" spans="1:32" ht="15.75" thickBot="1" x14ac:dyDescent="0.3">
      <c r="A154" s="79" t="s">
        <v>336</v>
      </c>
      <c r="B154" s="93" t="s">
        <v>65</v>
      </c>
      <c r="C154" s="79" t="s">
        <v>25</v>
      </c>
      <c r="D154" s="81">
        <v>7172</v>
      </c>
      <c r="E154" s="81">
        <v>3561</v>
      </c>
      <c r="F154" s="81">
        <v>21320</v>
      </c>
      <c r="G154" s="79" t="s">
        <v>1613</v>
      </c>
      <c r="H154" s="81">
        <v>12276</v>
      </c>
      <c r="I154" s="81">
        <v>15252</v>
      </c>
      <c r="J154" s="81">
        <v>5546</v>
      </c>
      <c r="K154" s="81">
        <v>33074</v>
      </c>
      <c r="L154" s="81">
        <v>139</v>
      </c>
      <c r="M154" s="81">
        <v>27528</v>
      </c>
      <c r="N154" s="81">
        <v>5685</v>
      </c>
      <c r="O154" s="81">
        <v>33213</v>
      </c>
      <c r="P154" s="94">
        <f>O154/D154</f>
        <v>4.6309258226436141</v>
      </c>
      <c r="Q154" s="94">
        <f>H154/D154</f>
        <v>1.7116564417177915</v>
      </c>
      <c r="R154" s="94">
        <f>I154/D154</f>
        <v>2.1266034578918016</v>
      </c>
      <c r="S154" s="94">
        <f>J154/D154</f>
        <v>0.77328499721137756</v>
      </c>
      <c r="T154" s="94">
        <f>K154/D154</f>
        <v>4.6115448968209707</v>
      </c>
      <c r="U154" s="94">
        <f>K154/E154</f>
        <v>9.2878404942431896</v>
      </c>
      <c r="V154" s="81">
        <v>600</v>
      </c>
      <c r="W154" s="79" t="s">
        <v>1648</v>
      </c>
      <c r="X154" s="79" t="s">
        <v>1650</v>
      </c>
      <c r="Y154" s="81">
        <v>1513</v>
      </c>
      <c r="Z154" s="81">
        <v>2991</v>
      </c>
      <c r="AA154" s="81">
        <v>2200</v>
      </c>
      <c r="AB154" s="79" t="s">
        <v>1648</v>
      </c>
      <c r="AC154" s="81">
        <v>1500</v>
      </c>
      <c r="AD154" s="79" t="s">
        <v>1648</v>
      </c>
      <c r="AE154" s="79" t="s">
        <v>1649</v>
      </c>
      <c r="AF154" s="95">
        <v>0</v>
      </c>
    </row>
    <row r="155" spans="1:32" ht="15.75" thickBot="1" x14ac:dyDescent="0.3">
      <c r="A155" s="79" t="s">
        <v>338</v>
      </c>
      <c r="B155" s="93" t="s">
        <v>75</v>
      </c>
      <c r="C155" s="96" t="s">
        <v>25</v>
      </c>
      <c r="D155" s="97">
        <v>11598</v>
      </c>
      <c r="E155" s="97">
        <v>2058</v>
      </c>
      <c r="F155" s="97">
        <v>10718</v>
      </c>
      <c r="G155" s="97">
        <v>80</v>
      </c>
      <c r="H155" s="97">
        <v>9629</v>
      </c>
      <c r="I155" s="97">
        <v>7229</v>
      </c>
      <c r="J155" s="97">
        <v>0</v>
      </c>
      <c r="K155" s="97">
        <v>20390</v>
      </c>
      <c r="L155" s="97">
        <v>515</v>
      </c>
      <c r="M155" s="97">
        <v>16858</v>
      </c>
      <c r="N155" s="97">
        <v>4047</v>
      </c>
      <c r="O155" s="97">
        <v>20905</v>
      </c>
      <c r="P155" s="98">
        <f>O155/D155</f>
        <v>1.8024659424038627</v>
      </c>
      <c r="Q155" s="98">
        <f>H155/D155</f>
        <v>0.83022934988791175</v>
      </c>
      <c r="R155" s="98">
        <f>I155/D155</f>
        <v>0.62329712019313677</v>
      </c>
      <c r="S155" s="98">
        <f>J155/D155</f>
        <v>0</v>
      </c>
      <c r="T155" s="98">
        <f>K155/D155</f>
        <v>1.758061734781859</v>
      </c>
      <c r="U155" s="98">
        <f>K155/E155</f>
        <v>9.9076773566569489</v>
      </c>
      <c r="V155" s="97">
        <v>489</v>
      </c>
      <c r="W155" s="96" t="s">
        <v>1648</v>
      </c>
      <c r="X155" s="96" t="s">
        <v>1651</v>
      </c>
      <c r="Y155" s="97">
        <v>336</v>
      </c>
      <c r="Z155" s="97">
        <v>385</v>
      </c>
      <c r="AA155" s="97">
        <v>2668</v>
      </c>
      <c r="AB155" s="96" t="s">
        <v>1648</v>
      </c>
      <c r="AC155" s="97">
        <v>1200</v>
      </c>
      <c r="AD155" s="96" t="s">
        <v>1648</v>
      </c>
      <c r="AE155" s="96" t="s">
        <v>1648</v>
      </c>
      <c r="AF155" s="97">
        <v>210</v>
      </c>
    </row>
    <row r="156" spans="1:32" ht="15.75" thickBot="1" x14ac:dyDescent="0.3">
      <c r="A156" s="79" t="s">
        <v>340</v>
      </c>
      <c r="B156" s="93" t="s">
        <v>95</v>
      </c>
      <c r="C156" s="79" t="s">
        <v>25</v>
      </c>
      <c r="D156" s="81">
        <v>9197</v>
      </c>
      <c r="E156" s="81">
        <v>4309</v>
      </c>
      <c r="F156" s="81">
        <v>100347</v>
      </c>
      <c r="G156" s="81">
        <v>14532</v>
      </c>
      <c r="H156" s="81">
        <v>20824</v>
      </c>
      <c r="I156" s="81">
        <v>38026</v>
      </c>
      <c r="J156" s="81">
        <v>6614</v>
      </c>
      <c r="K156" s="81">
        <v>65464</v>
      </c>
      <c r="L156" s="81">
        <v>142</v>
      </c>
      <c r="M156" s="81">
        <v>58850</v>
      </c>
      <c r="N156" s="81">
        <v>6756</v>
      </c>
      <c r="O156" s="81">
        <v>65606</v>
      </c>
      <c r="P156" s="94">
        <f>O156/D156</f>
        <v>7.133413069479178</v>
      </c>
      <c r="Q156" s="94">
        <f>H156/D156</f>
        <v>2.2642165923670761</v>
      </c>
      <c r="R156" s="94">
        <f>I156/D156</f>
        <v>4.1346091116668475</v>
      </c>
      <c r="S156" s="94">
        <f>J156/D156</f>
        <v>0.71914754811351522</v>
      </c>
      <c r="T156" s="94">
        <f>K156/D156</f>
        <v>7.117973252147439</v>
      </c>
      <c r="U156" s="94">
        <f>K156/E156</f>
        <v>15.192388025063821</v>
      </c>
      <c r="V156" s="81">
        <v>10709</v>
      </c>
      <c r="W156" s="79" t="s">
        <v>1648</v>
      </c>
      <c r="X156" s="79" t="s">
        <v>1650</v>
      </c>
      <c r="Y156" s="81">
        <v>2472</v>
      </c>
      <c r="Z156" s="81">
        <v>4225</v>
      </c>
      <c r="AA156" s="81">
        <v>14054</v>
      </c>
      <c r="AB156" s="79" t="s">
        <v>1648</v>
      </c>
      <c r="AC156" s="81">
        <v>3197</v>
      </c>
      <c r="AD156" s="79" t="s">
        <v>1648</v>
      </c>
      <c r="AE156" s="79" t="s">
        <v>1648</v>
      </c>
      <c r="AF156" s="81">
        <v>21</v>
      </c>
    </row>
    <row r="157" spans="1:32" ht="15.75" thickBot="1" x14ac:dyDescent="0.3">
      <c r="A157" s="79" t="s">
        <v>342</v>
      </c>
      <c r="B157" s="93" t="s">
        <v>105</v>
      </c>
      <c r="C157" s="79" t="s">
        <v>25</v>
      </c>
      <c r="D157" s="81">
        <v>11825</v>
      </c>
      <c r="E157" s="81">
        <v>3989</v>
      </c>
      <c r="F157" s="81">
        <v>78440</v>
      </c>
      <c r="G157" s="81">
        <v>48450</v>
      </c>
      <c r="H157" s="81">
        <v>14626</v>
      </c>
      <c r="I157" s="81">
        <v>33126</v>
      </c>
      <c r="J157" s="81">
        <v>10106</v>
      </c>
      <c r="K157" s="81">
        <v>57858</v>
      </c>
      <c r="L157" s="81">
        <v>351</v>
      </c>
      <c r="M157" s="81">
        <v>47752</v>
      </c>
      <c r="N157" s="81">
        <v>10457</v>
      </c>
      <c r="O157" s="81">
        <v>58209</v>
      </c>
      <c r="P157" s="94">
        <f>O157/D157</f>
        <v>4.9225369978858353</v>
      </c>
      <c r="Q157" s="94">
        <f>H157/D157</f>
        <v>1.2368710359408033</v>
      </c>
      <c r="R157" s="94">
        <f>I157/D157</f>
        <v>2.8013530655391121</v>
      </c>
      <c r="S157" s="94">
        <f>J157/D157</f>
        <v>0.8546300211416491</v>
      </c>
      <c r="T157" s="94">
        <f>K157/D157</f>
        <v>4.8928541226215643</v>
      </c>
      <c r="U157" s="94">
        <f>K157/E157</f>
        <v>14.504387064427174</v>
      </c>
      <c r="V157" s="81">
        <v>12300</v>
      </c>
      <c r="W157" s="79" t="s">
        <v>1648</v>
      </c>
      <c r="X157" s="79" t="s">
        <v>1650</v>
      </c>
      <c r="Y157" s="81">
        <v>9302</v>
      </c>
      <c r="Z157" s="81">
        <v>9566</v>
      </c>
      <c r="AA157" s="81">
        <v>7617</v>
      </c>
      <c r="AB157" s="79" t="s">
        <v>1648</v>
      </c>
      <c r="AC157" s="81">
        <v>13870</v>
      </c>
      <c r="AD157" s="79" t="s">
        <v>1648</v>
      </c>
      <c r="AE157" s="79" t="s">
        <v>1649</v>
      </c>
      <c r="AF157" s="95">
        <v>0</v>
      </c>
    </row>
    <row r="158" spans="1:32" ht="15.75" thickBot="1" x14ac:dyDescent="0.3">
      <c r="A158" s="79" t="s">
        <v>344</v>
      </c>
      <c r="B158" s="93" t="s">
        <v>109</v>
      </c>
      <c r="C158" s="79" t="s">
        <v>25</v>
      </c>
      <c r="D158" s="81">
        <v>7226</v>
      </c>
      <c r="E158" s="81">
        <v>5168</v>
      </c>
      <c r="F158" s="81">
        <v>53489</v>
      </c>
      <c r="G158" s="81">
        <v>55691</v>
      </c>
      <c r="H158" s="81">
        <v>16425</v>
      </c>
      <c r="I158" s="81">
        <v>34456</v>
      </c>
      <c r="J158" s="81">
        <v>17895</v>
      </c>
      <c r="K158" s="81">
        <v>68776</v>
      </c>
      <c r="L158" s="77" t="s">
        <v>1660</v>
      </c>
      <c r="M158" s="81">
        <v>50881</v>
      </c>
      <c r="N158" s="81">
        <v>17895</v>
      </c>
      <c r="O158" s="81">
        <v>68776</v>
      </c>
      <c r="P158" s="94">
        <f>O158/D158</f>
        <v>9.5178522003874892</v>
      </c>
      <c r="Q158" s="94">
        <f>H158/D158</f>
        <v>2.273041793523388</v>
      </c>
      <c r="R158" s="94">
        <f>I158/D158</f>
        <v>4.7683365624135066</v>
      </c>
      <c r="S158" s="94">
        <f>J158/D158</f>
        <v>2.4764738444505952</v>
      </c>
      <c r="T158" s="94">
        <f>K158/D158</f>
        <v>9.5178522003874892</v>
      </c>
      <c r="U158" s="94">
        <f>K158/E158</f>
        <v>13.308049535603715</v>
      </c>
      <c r="V158" s="81">
        <v>485</v>
      </c>
      <c r="W158" s="79" t="s">
        <v>1648</v>
      </c>
      <c r="X158" s="79" t="s">
        <v>1650</v>
      </c>
      <c r="Y158" s="81">
        <v>5165</v>
      </c>
      <c r="Z158" s="81">
        <v>4356</v>
      </c>
      <c r="AA158" s="81">
        <v>6256</v>
      </c>
      <c r="AB158" s="79" t="s">
        <v>1648</v>
      </c>
      <c r="AC158" s="81">
        <v>15456</v>
      </c>
      <c r="AD158" s="79" t="s">
        <v>1648</v>
      </c>
      <c r="AE158" s="79" t="s">
        <v>1648</v>
      </c>
      <c r="AF158" s="81">
        <v>312</v>
      </c>
    </row>
    <row r="159" spans="1:32" ht="15.75" thickBot="1" x14ac:dyDescent="0.3">
      <c r="A159" s="79" t="s">
        <v>346</v>
      </c>
      <c r="B159" s="93" t="s">
        <v>127</v>
      </c>
      <c r="C159" s="79" t="s">
        <v>25</v>
      </c>
      <c r="D159" s="81">
        <v>10090</v>
      </c>
      <c r="E159" s="81">
        <v>2967</v>
      </c>
      <c r="F159" s="81">
        <v>32876</v>
      </c>
      <c r="G159" s="81">
        <v>28811</v>
      </c>
      <c r="H159" s="81">
        <v>14578</v>
      </c>
      <c r="I159" s="81">
        <v>23485</v>
      </c>
      <c r="J159" s="81">
        <v>8829</v>
      </c>
      <c r="K159" s="81">
        <v>46892</v>
      </c>
      <c r="L159" s="81">
        <v>0</v>
      </c>
      <c r="M159" s="81">
        <v>38063</v>
      </c>
      <c r="N159" s="81">
        <v>8829</v>
      </c>
      <c r="O159" s="81">
        <v>46892</v>
      </c>
      <c r="P159" s="94">
        <f>O159/D159</f>
        <v>4.6473736372646188</v>
      </c>
      <c r="Q159" s="94">
        <f>H159/D159</f>
        <v>1.4447968285431121</v>
      </c>
      <c r="R159" s="94">
        <f>I159/D159</f>
        <v>2.327552031714569</v>
      </c>
      <c r="S159" s="94">
        <f>J159/D159</f>
        <v>0.87502477700693759</v>
      </c>
      <c r="T159" s="94">
        <f>K159/D159</f>
        <v>4.6473736372646188</v>
      </c>
      <c r="U159" s="94">
        <f>K159/E159</f>
        <v>15.804516346477923</v>
      </c>
      <c r="V159" s="81">
        <v>1123</v>
      </c>
      <c r="W159" s="79" t="s">
        <v>1648</v>
      </c>
      <c r="X159" s="79" t="s">
        <v>1650</v>
      </c>
      <c r="Y159" s="81">
        <v>1145</v>
      </c>
      <c r="Z159" s="81">
        <v>1888</v>
      </c>
      <c r="AA159" s="81">
        <v>4258</v>
      </c>
      <c r="AB159" s="79" t="s">
        <v>1648</v>
      </c>
      <c r="AC159" s="81">
        <v>11340</v>
      </c>
      <c r="AD159" s="79" t="s">
        <v>1648</v>
      </c>
      <c r="AE159" s="79" t="s">
        <v>1648</v>
      </c>
      <c r="AF159" s="81">
        <v>15</v>
      </c>
    </row>
    <row r="160" spans="1:32" ht="15.75" thickBot="1" x14ac:dyDescent="0.3">
      <c r="A160" s="79" t="s">
        <v>348</v>
      </c>
      <c r="B160" s="93" t="s">
        <v>129</v>
      </c>
      <c r="C160" s="79" t="s">
        <v>25</v>
      </c>
      <c r="D160" s="81">
        <v>9705</v>
      </c>
      <c r="E160" s="81">
        <v>2165</v>
      </c>
      <c r="F160" s="81">
        <v>26319</v>
      </c>
      <c r="G160" s="81">
        <v>4581</v>
      </c>
      <c r="H160" s="81">
        <v>4714</v>
      </c>
      <c r="I160" s="81">
        <v>13984</v>
      </c>
      <c r="J160" s="81">
        <v>3837</v>
      </c>
      <c r="K160" s="81">
        <v>22535</v>
      </c>
      <c r="L160" s="77" t="s">
        <v>1660</v>
      </c>
      <c r="M160" s="81">
        <v>18698</v>
      </c>
      <c r="N160" s="81">
        <v>3837</v>
      </c>
      <c r="O160" s="81">
        <v>22535</v>
      </c>
      <c r="P160" s="94">
        <f>O160/D160</f>
        <v>2.3219989696032974</v>
      </c>
      <c r="Q160" s="94">
        <f>H160/D160</f>
        <v>0.48572900566718186</v>
      </c>
      <c r="R160" s="94">
        <f>I160/D160</f>
        <v>1.4409067490984029</v>
      </c>
      <c r="S160" s="94">
        <f>J160/D160</f>
        <v>0.39536321483771253</v>
      </c>
      <c r="T160" s="94">
        <f>K160/D160</f>
        <v>2.3219989696032974</v>
      </c>
      <c r="U160" s="94">
        <f>K160/E160</f>
        <v>10.408775981524249</v>
      </c>
      <c r="V160" s="81">
        <v>2248</v>
      </c>
      <c r="W160" s="79" t="s">
        <v>1648</v>
      </c>
      <c r="X160" s="79" t="s">
        <v>1650</v>
      </c>
      <c r="Y160" s="81">
        <v>713</v>
      </c>
      <c r="Z160" s="81">
        <v>1832</v>
      </c>
      <c r="AA160" s="81">
        <v>2650</v>
      </c>
      <c r="AB160" s="79" t="s">
        <v>1648</v>
      </c>
      <c r="AC160" s="81">
        <v>3300</v>
      </c>
      <c r="AD160" s="79" t="s">
        <v>1648</v>
      </c>
      <c r="AE160" s="79" t="s">
        <v>1649</v>
      </c>
      <c r="AF160" s="77">
        <v>0</v>
      </c>
    </row>
    <row r="161" spans="1:32" ht="15.75" thickBot="1" x14ac:dyDescent="0.3">
      <c r="A161" s="79" t="s">
        <v>350</v>
      </c>
      <c r="B161" s="93" t="s">
        <v>135</v>
      </c>
      <c r="C161" s="79" t="s">
        <v>25</v>
      </c>
      <c r="D161" s="81">
        <v>8692</v>
      </c>
      <c r="E161" s="81">
        <v>4715</v>
      </c>
      <c r="F161" s="81">
        <v>21966</v>
      </c>
      <c r="G161" s="81">
        <v>5063</v>
      </c>
      <c r="H161" s="81">
        <v>5759</v>
      </c>
      <c r="I161" s="81">
        <v>16681</v>
      </c>
      <c r="J161" s="81">
        <v>9522</v>
      </c>
      <c r="K161" s="81">
        <v>31962</v>
      </c>
      <c r="L161" s="81">
        <v>1278</v>
      </c>
      <c r="M161" s="81">
        <v>22440</v>
      </c>
      <c r="N161" s="81">
        <v>10800</v>
      </c>
      <c r="O161" s="81">
        <v>33240</v>
      </c>
      <c r="P161" s="94">
        <f>O161/D161</f>
        <v>3.8242061665899678</v>
      </c>
      <c r="Q161" s="94">
        <f>H161/D161</f>
        <v>0.66256327657616199</v>
      </c>
      <c r="R161" s="94">
        <f>I161/D161</f>
        <v>1.9191210308329498</v>
      </c>
      <c r="S161" s="94">
        <f>J161/D161</f>
        <v>1.0954901058444546</v>
      </c>
      <c r="T161" s="94">
        <f>K161/D161</f>
        <v>3.6771744132535664</v>
      </c>
      <c r="U161" s="94">
        <f>K161/E161</f>
        <v>6.7787910922587491</v>
      </c>
      <c r="V161" s="81">
        <v>2327</v>
      </c>
      <c r="W161" s="79" t="s">
        <v>1648</v>
      </c>
      <c r="X161" s="79" t="s">
        <v>1650</v>
      </c>
      <c r="Y161" s="81">
        <v>1903</v>
      </c>
      <c r="Z161" s="81">
        <v>2026</v>
      </c>
      <c r="AA161" s="81">
        <v>1774</v>
      </c>
      <c r="AB161" s="79" t="s">
        <v>1648</v>
      </c>
      <c r="AC161" s="77" t="s">
        <v>1660</v>
      </c>
      <c r="AD161" s="79" t="s">
        <v>1648</v>
      </c>
      <c r="AE161" s="79" t="s">
        <v>1649</v>
      </c>
      <c r="AF161" s="77">
        <v>0</v>
      </c>
    </row>
    <row r="162" spans="1:32" ht="15.75" thickBot="1" x14ac:dyDescent="0.3">
      <c r="A162" s="79" t="s">
        <v>352</v>
      </c>
      <c r="B162" s="93" t="s">
        <v>143</v>
      </c>
      <c r="C162" s="79" t="s">
        <v>25</v>
      </c>
      <c r="D162" s="81">
        <v>11833</v>
      </c>
      <c r="E162" s="81">
        <v>6459</v>
      </c>
      <c r="F162" s="81">
        <v>263992</v>
      </c>
      <c r="G162" s="81">
        <v>21228</v>
      </c>
      <c r="H162" s="81">
        <v>20602</v>
      </c>
      <c r="I162" s="81">
        <v>26972</v>
      </c>
      <c r="J162" s="81">
        <v>6667</v>
      </c>
      <c r="K162" s="81">
        <v>54241</v>
      </c>
      <c r="L162" s="81">
        <v>15531</v>
      </c>
      <c r="M162" s="81">
        <v>47574</v>
      </c>
      <c r="N162" s="81">
        <v>22198</v>
      </c>
      <c r="O162" s="81">
        <v>69772</v>
      </c>
      <c r="P162" s="94">
        <f>O162/D162</f>
        <v>5.8963914476464128</v>
      </c>
      <c r="Q162" s="94">
        <f>H162/D162</f>
        <v>1.741063128538832</v>
      </c>
      <c r="R162" s="94">
        <f>I162/D162</f>
        <v>2.2793881517789232</v>
      </c>
      <c r="S162" s="94">
        <f>J162/D162</f>
        <v>0.56342432181188207</v>
      </c>
      <c r="T162" s="94">
        <f>K162/D162</f>
        <v>4.5838756021296376</v>
      </c>
      <c r="U162" s="94">
        <f>K162/E162</f>
        <v>8.3977395881715431</v>
      </c>
      <c r="V162" s="81">
        <v>4309</v>
      </c>
      <c r="W162" s="79" t="s">
        <v>1648</v>
      </c>
      <c r="X162" s="79" t="s">
        <v>1650</v>
      </c>
      <c r="Y162" s="81">
        <v>5981</v>
      </c>
      <c r="Z162" s="81">
        <v>4196</v>
      </c>
      <c r="AA162" s="81">
        <v>9042</v>
      </c>
      <c r="AB162" s="79" t="s">
        <v>1648</v>
      </c>
      <c r="AC162" s="81">
        <v>11342</v>
      </c>
      <c r="AD162" s="79" t="s">
        <v>1648</v>
      </c>
      <c r="AE162" s="79" t="s">
        <v>1648</v>
      </c>
      <c r="AF162" s="81">
        <v>71</v>
      </c>
    </row>
    <row r="163" spans="1:32" ht="15.75" thickBot="1" x14ac:dyDescent="0.3">
      <c r="A163" s="79" t="s">
        <v>354</v>
      </c>
      <c r="B163" s="93" t="s">
        <v>147</v>
      </c>
      <c r="C163" s="79" t="s">
        <v>25</v>
      </c>
      <c r="D163" s="81">
        <v>10857</v>
      </c>
      <c r="E163" s="81">
        <v>1713</v>
      </c>
      <c r="F163" s="81">
        <v>30000</v>
      </c>
      <c r="G163" s="81">
        <v>17056</v>
      </c>
      <c r="H163" s="81">
        <v>6990</v>
      </c>
      <c r="I163" s="81">
        <v>14559</v>
      </c>
      <c r="J163" s="81">
        <v>4993</v>
      </c>
      <c r="K163" s="81">
        <v>26542</v>
      </c>
      <c r="L163" s="81">
        <v>1531</v>
      </c>
      <c r="M163" s="81">
        <v>21549</v>
      </c>
      <c r="N163" s="81">
        <v>6524</v>
      </c>
      <c r="O163" s="81">
        <v>28073</v>
      </c>
      <c r="P163" s="94">
        <f>O163/D163</f>
        <v>2.5857050750667772</v>
      </c>
      <c r="Q163" s="94">
        <f>H163/D163</f>
        <v>0.64382426084553745</v>
      </c>
      <c r="R163" s="94">
        <f>I163/D163</f>
        <v>1.3409781707654047</v>
      </c>
      <c r="S163" s="94">
        <f>J163/D163</f>
        <v>0.45988763010039607</v>
      </c>
      <c r="T163" s="94">
        <f>K163/D163</f>
        <v>2.4446900617113383</v>
      </c>
      <c r="U163" s="94">
        <f>K163/E163</f>
        <v>15.494454173963806</v>
      </c>
      <c r="V163" s="81">
        <v>7500</v>
      </c>
      <c r="W163" s="79" t="s">
        <v>1648</v>
      </c>
      <c r="X163" s="79" t="s">
        <v>1650</v>
      </c>
      <c r="Y163" s="81">
        <v>3473</v>
      </c>
      <c r="Z163" s="81">
        <v>3319</v>
      </c>
      <c r="AA163" s="81">
        <v>3349</v>
      </c>
      <c r="AB163" s="79" t="s">
        <v>1648</v>
      </c>
      <c r="AC163" s="81">
        <v>9422</v>
      </c>
      <c r="AD163" s="79" t="s">
        <v>1648</v>
      </c>
      <c r="AE163" s="79" t="s">
        <v>1649</v>
      </c>
      <c r="AF163" s="95">
        <v>0</v>
      </c>
    </row>
    <row r="164" spans="1:32" ht="15.75" thickBot="1" x14ac:dyDescent="0.3">
      <c r="A164" s="79" t="s">
        <v>356</v>
      </c>
      <c r="B164" s="93" t="s">
        <v>151</v>
      </c>
      <c r="C164" s="79" t="s">
        <v>25</v>
      </c>
      <c r="D164" s="81">
        <v>9483</v>
      </c>
      <c r="E164" s="81">
        <v>2771</v>
      </c>
      <c r="F164" s="81">
        <v>47918</v>
      </c>
      <c r="G164" s="81">
        <v>16852</v>
      </c>
      <c r="H164" s="81">
        <v>24426</v>
      </c>
      <c r="I164" s="81">
        <v>19887</v>
      </c>
      <c r="J164" s="81">
        <v>5450</v>
      </c>
      <c r="K164" s="81">
        <v>49763</v>
      </c>
      <c r="L164" s="81">
        <v>0</v>
      </c>
      <c r="M164" s="81">
        <v>44313</v>
      </c>
      <c r="N164" s="81">
        <v>5450</v>
      </c>
      <c r="O164" s="81">
        <v>49763</v>
      </c>
      <c r="P164" s="94">
        <f>O164/D164</f>
        <v>5.2476009701571229</v>
      </c>
      <c r="Q164" s="94">
        <f>H164/D164</f>
        <v>2.5757671622904144</v>
      </c>
      <c r="R164" s="94">
        <f>I164/D164</f>
        <v>2.0971211641885481</v>
      </c>
      <c r="S164" s="94">
        <f>J164/D164</f>
        <v>0.57471264367816088</v>
      </c>
      <c r="T164" s="94">
        <f>K164/D164</f>
        <v>5.2476009701571229</v>
      </c>
      <c r="U164" s="94">
        <f>K164/E164</f>
        <v>17.958498736918081</v>
      </c>
      <c r="V164" s="81">
        <v>5500</v>
      </c>
      <c r="W164" s="79" t="s">
        <v>1648</v>
      </c>
      <c r="X164" s="79" t="s">
        <v>1650</v>
      </c>
      <c r="Y164" s="81">
        <v>2594</v>
      </c>
      <c r="Z164" s="81">
        <v>2281</v>
      </c>
      <c r="AA164" s="81">
        <v>4800</v>
      </c>
      <c r="AB164" s="79" t="s">
        <v>1648</v>
      </c>
      <c r="AC164" s="81">
        <v>15629</v>
      </c>
      <c r="AD164" s="79" t="s">
        <v>1648</v>
      </c>
      <c r="AE164" s="79" t="s">
        <v>1649</v>
      </c>
      <c r="AF164" s="95">
        <v>0</v>
      </c>
    </row>
    <row r="165" spans="1:32" ht="15.75" thickBot="1" x14ac:dyDescent="0.3">
      <c r="A165" s="79" t="s">
        <v>358</v>
      </c>
      <c r="B165" s="93" t="s">
        <v>153</v>
      </c>
      <c r="C165" s="79" t="s">
        <v>25</v>
      </c>
      <c r="D165" s="81">
        <v>8257</v>
      </c>
      <c r="E165" s="81">
        <v>3744</v>
      </c>
      <c r="F165" s="81">
        <v>23308</v>
      </c>
      <c r="G165" s="81">
        <v>5135</v>
      </c>
      <c r="H165" s="81">
        <v>6083</v>
      </c>
      <c r="I165" s="81">
        <v>27228</v>
      </c>
      <c r="J165" s="81">
        <v>2289</v>
      </c>
      <c r="K165" s="81">
        <v>35600</v>
      </c>
      <c r="L165" s="81">
        <v>522</v>
      </c>
      <c r="M165" s="81">
        <v>33311</v>
      </c>
      <c r="N165" s="81">
        <v>2811</v>
      </c>
      <c r="O165" s="81">
        <v>36122</v>
      </c>
      <c r="P165" s="94">
        <f>O165/D165</f>
        <v>4.3747123652658351</v>
      </c>
      <c r="Q165" s="94">
        <f>H165/D165</f>
        <v>0.73670824754753539</v>
      </c>
      <c r="R165" s="94">
        <f>I165/D165</f>
        <v>3.2975657018287512</v>
      </c>
      <c r="S165" s="94">
        <f>J165/D165</f>
        <v>0.27721932905413588</v>
      </c>
      <c r="T165" s="94">
        <f>K165/D165</f>
        <v>4.3114932784304223</v>
      </c>
      <c r="U165" s="94">
        <f>K165/E165</f>
        <v>9.5085470085470085</v>
      </c>
      <c r="V165" s="81">
        <v>4056</v>
      </c>
      <c r="W165" s="79" t="s">
        <v>1648</v>
      </c>
      <c r="X165" s="79" t="s">
        <v>1650</v>
      </c>
      <c r="Y165" s="81">
        <v>5008</v>
      </c>
      <c r="Z165" s="81">
        <v>5189</v>
      </c>
      <c r="AA165" s="81">
        <v>5223</v>
      </c>
      <c r="AB165" s="79" t="s">
        <v>1648</v>
      </c>
      <c r="AC165" s="81">
        <v>5963</v>
      </c>
      <c r="AD165" s="79" t="s">
        <v>1648</v>
      </c>
      <c r="AE165" s="79" t="s">
        <v>1648</v>
      </c>
      <c r="AF165" s="81">
        <v>5</v>
      </c>
    </row>
    <row r="166" spans="1:32" ht="15.75" thickBot="1" x14ac:dyDescent="0.3">
      <c r="A166" s="79" t="s">
        <v>360</v>
      </c>
      <c r="B166" s="93" t="s">
        <v>159</v>
      </c>
      <c r="C166" s="79" t="s">
        <v>25</v>
      </c>
      <c r="D166" s="81">
        <v>9810</v>
      </c>
      <c r="E166" s="81">
        <v>6483</v>
      </c>
      <c r="F166" s="81">
        <v>73801</v>
      </c>
      <c r="G166" s="81">
        <v>120556</v>
      </c>
      <c r="H166" s="81">
        <v>22718</v>
      </c>
      <c r="I166" s="81">
        <v>60072</v>
      </c>
      <c r="J166" s="81">
        <v>17142</v>
      </c>
      <c r="K166" s="81">
        <v>99932</v>
      </c>
      <c r="L166" s="81">
        <v>3950</v>
      </c>
      <c r="M166" s="81">
        <v>82790</v>
      </c>
      <c r="N166" s="81">
        <v>21092</v>
      </c>
      <c r="O166" s="81">
        <v>103882</v>
      </c>
      <c r="P166" s="94">
        <f>O166/D166</f>
        <v>10.589398572884811</v>
      </c>
      <c r="Q166" s="94">
        <f>H166/D166</f>
        <v>2.3158002038735983</v>
      </c>
      <c r="R166" s="94">
        <f>I166/D166</f>
        <v>6.1235474006116206</v>
      </c>
      <c r="S166" s="94">
        <f>J166/D166</f>
        <v>1.7474006116207952</v>
      </c>
      <c r="T166" s="94">
        <f>K166/D166</f>
        <v>10.186748216106015</v>
      </c>
      <c r="U166" s="94">
        <f>K166/E166</f>
        <v>15.414468610211323</v>
      </c>
      <c r="V166" s="81">
        <v>5629</v>
      </c>
      <c r="W166" s="79" t="s">
        <v>1648</v>
      </c>
      <c r="X166" s="79" t="s">
        <v>1650</v>
      </c>
      <c r="Y166" s="81">
        <v>6623</v>
      </c>
      <c r="Z166" s="81">
        <v>5728</v>
      </c>
      <c r="AA166" s="81">
        <v>10374</v>
      </c>
      <c r="AB166" s="79" t="s">
        <v>1648</v>
      </c>
      <c r="AC166" s="81">
        <v>11226</v>
      </c>
      <c r="AD166" s="79" t="s">
        <v>1648</v>
      </c>
      <c r="AE166" s="79" t="s">
        <v>1648</v>
      </c>
      <c r="AF166" s="81">
        <v>10</v>
      </c>
    </row>
    <row r="167" spans="1:32" ht="15.75" thickBot="1" x14ac:dyDescent="0.3">
      <c r="A167" s="79" t="s">
        <v>362</v>
      </c>
      <c r="B167" s="93" t="s">
        <v>195</v>
      </c>
      <c r="C167" s="79" t="s">
        <v>25</v>
      </c>
      <c r="D167" s="81">
        <v>11862</v>
      </c>
      <c r="E167" s="81">
        <v>5469</v>
      </c>
      <c r="F167" s="81">
        <v>27101</v>
      </c>
      <c r="G167" s="79" t="s">
        <v>1613</v>
      </c>
      <c r="H167" s="81">
        <v>29849</v>
      </c>
      <c r="I167" s="81">
        <v>30179</v>
      </c>
      <c r="J167" s="81">
        <v>15683</v>
      </c>
      <c r="K167" s="81">
        <v>75711</v>
      </c>
      <c r="L167" s="81">
        <v>4003</v>
      </c>
      <c r="M167" s="81">
        <v>60028</v>
      </c>
      <c r="N167" s="81">
        <v>19686</v>
      </c>
      <c r="O167" s="81">
        <v>79714</v>
      </c>
      <c r="P167" s="94">
        <f>O167/D167</f>
        <v>6.7201146518293715</v>
      </c>
      <c r="Q167" s="94">
        <f>H167/D167</f>
        <v>2.5163547462485245</v>
      </c>
      <c r="R167" s="94">
        <f>I167/D167</f>
        <v>2.5441746754341596</v>
      </c>
      <c r="S167" s="94">
        <f>J167/D167</f>
        <v>1.3221210588433654</v>
      </c>
      <c r="T167" s="94">
        <f>K167/D167</f>
        <v>6.38265048052605</v>
      </c>
      <c r="U167" s="94">
        <f>K167/E167</f>
        <v>13.843664289632473</v>
      </c>
      <c r="V167" s="81">
        <v>10900</v>
      </c>
      <c r="W167" s="79" t="s">
        <v>1649</v>
      </c>
      <c r="X167" s="79" t="s">
        <v>1650</v>
      </c>
      <c r="Y167" s="81">
        <v>3858</v>
      </c>
      <c r="Z167" s="81">
        <v>4340</v>
      </c>
      <c r="AA167" s="81">
        <v>10288</v>
      </c>
      <c r="AB167" s="79" t="s">
        <v>1648</v>
      </c>
      <c r="AC167" s="81">
        <v>10288</v>
      </c>
      <c r="AD167" s="79" t="s">
        <v>1648</v>
      </c>
      <c r="AE167" s="79" t="s">
        <v>1648</v>
      </c>
      <c r="AF167" s="81">
        <v>55</v>
      </c>
    </row>
    <row r="168" spans="1:32" ht="15.75" thickBot="1" x14ac:dyDescent="0.3">
      <c r="A168" s="79" t="s">
        <v>364</v>
      </c>
      <c r="B168" s="93" t="s">
        <v>219</v>
      </c>
      <c r="C168" s="79" t="s">
        <v>25</v>
      </c>
      <c r="D168" s="81">
        <v>10021</v>
      </c>
      <c r="E168" s="81">
        <v>2601</v>
      </c>
      <c r="F168" s="81">
        <v>60000</v>
      </c>
      <c r="G168" s="81">
        <v>10000</v>
      </c>
      <c r="H168" s="81">
        <v>8773</v>
      </c>
      <c r="I168" s="81">
        <v>17546</v>
      </c>
      <c r="J168" s="81">
        <v>0</v>
      </c>
      <c r="K168" s="81">
        <v>26319</v>
      </c>
      <c r="L168" s="81">
        <v>0</v>
      </c>
      <c r="M168" s="81">
        <v>26319</v>
      </c>
      <c r="N168" s="81">
        <v>0</v>
      </c>
      <c r="O168" s="81">
        <v>26319</v>
      </c>
      <c r="P168" s="94">
        <f>O168/D168</f>
        <v>2.6263845923560525</v>
      </c>
      <c r="Q168" s="94">
        <f>H168/D168</f>
        <v>0.87546153078535072</v>
      </c>
      <c r="R168" s="94">
        <f>I168/D168</f>
        <v>1.7509230615707014</v>
      </c>
      <c r="S168" s="94">
        <f>J168/D168</f>
        <v>0</v>
      </c>
      <c r="T168" s="94">
        <f>K168/D168</f>
        <v>2.6263845923560525</v>
      </c>
      <c r="U168" s="94">
        <f>K168/E168</f>
        <v>10.118800461361015</v>
      </c>
      <c r="V168" s="81">
        <v>8000</v>
      </c>
      <c r="W168" s="79" t="s">
        <v>1649</v>
      </c>
      <c r="X168" s="79" t="s">
        <v>1650</v>
      </c>
      <c r="Y168" s="81">
        <v>3743</v>
      </c>
      <c r="Z168" s="81">
        <v>4104</v>
      </c>
      <c r="AA168" s="81">
        <v>10000</v>
      </c>
      <c r="AB168" s="79" t="s">
        <v>1648</v>
      </c>
      <c r="AC168" s="81">
        <v>14500</v>
      </c>
      <c r="AD168" s="79" t="s">
        <v>1649</v>
      </c>
      <c r="AE168" s="79" t="s">
        <v>1649</v>
      </c>
      <c r="AF168" s="95">
        <v>0</v>
      </c>
    </row>
    <row r="169" spans="1:32" ht="15.75" thickBot="1" x14ac:dyDescent="0.3">
      <c r="A169" s="79" t="s">
        <v>366</v>
      </c>
      <c r="B169" s="93" t="s">
        <v>231</v>
      </c>
      <c r="C169" s="79" t="s">
        <v>25</v>
      </c>
      <c r="D169" s="81">
        <v>7439</v>
      </c>
      <c r="E169" s="81">
        <v>3490</v>
      </c>
      <c r="F169" s="81">
        <v>30008</v>
      </c>
      <c r="G169" s="81">
        <v>23575</v>
      </c>
      <c r="H169" s="81">
        <v>17520</v>
      </c>
      <c r="I169" s="81">
        <v>29887</v>
      </c>
      <c r="J169" s="81">
        <v>8565</v>
      </c>
      <c r="K169" s="81">
        <v>55972</v>
      </c>
      <c r="L169" s="81">
        <v>2097</v>
      </c>
      <c r="M169" s="81">
        <v>47407</v>
      </c>
      <c r="N169" s="81">
        <v>10662</v>
      </c>
      <c r="O169" s="81">
        <v>58069</v>
      </c>
      <c r="P169" s="94">
        <f>O169/D169</f>
        <v>7.8060223148272616</v>
      </c>
      <c r="Q169" s="94">
        <f>H169/D169</f>
        <v>2.3551552628041406</v>
      </c>
      <c r="R169" s="94">
        <f>I169/D169</f>
        <v>4.0176098938029305</v>
      </c>
      <c r="S169" s="94">
        <f>J169/D169</f>
        <v>1.1513644307030515</v>
      </c>
      <c r="T169" s="94">
        <f>K169/D169</f>
        <v>7.5241295873101226</v>
      </c>
      <c r="U169" s="94">
        <f>K169/E169</f>
        <v>16.037822349570199</v>
      </c>
      <c r="V169" s="81">
        <v>8971</v>
      </c>
      <c r="W169" s="79" t="s">
        <v>1648</v>
      </c>
      <c r="X169" s="79" t="s">
        <v>1650</v>
      </c>
      <c r="Y169" s="81">
        <v>4166</v>
      </c>
      <c r="Z169" s="81">
        <v>3286</v>
      </c>
      <c r="AA169" s="81">
        <v>6150</v>
      </c>
      <c r="AB169" s="79" t="s">
        <v>1648</v>
      </c>
      <c r="AC169" s="81">
        <v>2976</v>
      </c>
      <c r="AD169" s="79" t="s">
        <v>1648</v>
      </c>
      <c r="AE169" s="79" t="s">
        <v>1648</v>
      </c>
      <c r="AF169" s="81">
        <v>2</v>
      </c>
    </row>
    <row r="170" spans="1:32" ht="15.75" thickBot="1" x14ac:dyDescent="0.3">
      <c r="A170" s="79" t="s">
        <v>368</v>
      </c>
      <c r="B170" s="93" t="s">
        <v>245</v>
      </c>
      <c r="C170" s="79" t="s">
        <v>25</v>
      </c>
      <c r="D170" s="81">
        <v>7392</v>
      </c>
      <c r="E170" s="81">
        <v>4368</v>
      </c>
      <c r="F170" s="81">
        <v>6948</v>
      </c>
      <c r="G170" s="81">
        <v>9196</v>
      </c>
      <c r="H170" s="81">
        <v>2536</v>
      </c>
      <c r="I170" s="81">
        <v>8543</v>
      </c>
      <c r="J170" s="81">
        <v>2975</v>
      </c>
      <c r="K170" s="81">
        <v>14054</v>
      </c>
      <c r="L170" s="81">
        <v>0</v>
      </c>
      <c r="M170" s="81">
        <v>11079</v>
      </c>
      <c r="N170" s="81">
        <v>2975</v>
      </c>
      <c r="O170" s="81">
        <v>14054</v>
      </c>
      <c r="P170" s="94">
        <f>O170/D170</f>
        <v>1.9012445887445888</v>
      </c>
      <c r="Q170" s="94">
        <f>H170/D170</f>
        <v>0.34307359307359309</v>
      </c>
      <c r="R170" s="94">
        <f>I170/D170</f>
        <v>1.1557088744588744</v>
      </c>
      <c r="S170" s="94">
        <f>J170/D170</f>
        <v>0.40246212121212122</v>
      </c>
      <c r="T170" s="94">
        <f>K170/D170</f>
        <v>1.9012445887445888</v>
      </c>
      <c r="U170" s="94">
        <f>K170/E170</f>
        <v>3.2174908424908426</v>
      </c>
      <c r="V170" s="81">
        <v>100</v>
      </c>
      <c r="W170" s="79" t="s">
        <v>1648</v>
      </c>
      <c r="X170" s="79" t="s">
        <v>1650</v>
      </c>
      <c r="Y170" s="81">
        <v>634</v>
      </c>
      <c r="Z170" s="81">
        <v>1001</v>
      </c>
      <c r="AA170" s="81">
        <v>2653</v>
      </c>
      <c r="AB170" s="79" t="s">
        <v>1648</v>
      </c>
      <c r="AC170" s="81">
        <v>5857</v>
      </c>
      <c r="AD170" s="79" t="s">
        <v>1648</v>
      </c>
      <c r="AE170" s="79" t="s">
        <v>1648</v>
      </c>
      <c r="AF170" s="81">
        <v>3</v>
      </c>
    </row>
    <row r="171" spans="1:32" ht="15.75" thickBot="1" x14ac:dyDescent="0.3">
      <c r="A171" s="79" t="s">
        <v>370</v>
      </c>
      <c r="B171" s="93" t="s">
        <v>249</v>
      </c>
      <c r="C171" s="96" t="s">
        <v>25</v>
      </c>
      <c r="D171" s="97">
        <v>9512</v>
      </c>
      <c r="E171" s="97">
        <v>1296</v>
      </c>
      <c r="F171" s="97">
        <v>3000</v>
      </c>
      <c r="G171" s="97">
        <v>4072</v>
      </c>
      <c r="H171" s="97">
        <v>1590</v>
      </c>
      <c r="I171" s="97">
        <v>4036</v>
      </c>
      <c r="J171" s="97">
        <v>0</v>
      </c>
      <c r="K171" s="97">
        <v>5626</v>
      </c>
      <c r="L171" s="97">
        <v>0</v>
      </c>
      <c r="M171" s="97">
        <v>5626</v>
      </c>
      <c r="N171" s="97">
        <v>0</v>
      </c>
      <c r="O171" s="97">
        <v>5626</v>
      </c>
      <c r="P171" s="98">
        <f>O171/D171</f>
        <v>0.59146341463414631</v>
      </c>
      <c r="Q171" s="98">
        <f>H171/D171</f>
        <v>0.16715727502102606</v>
      </c>
      <c r="R171" s="98">
        <f>I171/D171</f>
        <v>0.42430613961312025</v>
      </c>
      <c r="S171" s="98">
        <f>J171/D171</f>
        <v>0</v>
      </c>
      <c r="T171" s="98">
        <f>K171/D171</f>
        <v>0.59146341463414631</v>
      </c>
      <c r="U171" s="98">
        <f>K171/E171</f>
        <v>4.341049382716049</v>
      </c>
      <c r="V171" s="97">
        <v>2000</v>
      </c>
      <c r="W171" s="96" t="s">
        <v>1649</v>
      </c>
      <c r="X171" s="96" t="s">
        <v>1651</v>
      </c>
      <c r="Y171" s="97">
        <v>3629</v>
      </c>
      <c r="Z171" s="97">
        <v>1110</v>
      </c>
      <c r="AA171" s="97">
        <v>1163</v>
      </c>
      <c r="AB171" s="96" t="s">
        <v>1648</v>
      </c>
      <c r="AC171" s="97">
        <v>175</v>
      </c>
      <c r="AD171" s="96" t="s">
        <v>1649</v>
      </c>
      <c r="AE171" s="96" t="s">
        <v>1649</v>
      </c>
      <c r="AF171" s="99">
        <v>0</v>
      </c>
    </row>
    <row r="172" spans="1:32" ht="15.75" thickBot="1" x14ac:dyDescent="0.3">
      <c r="A172" s="79" t="s">
        <v>372</v>
      </c>
      <c r="B172" s="93" t="s">
        <v>261</v>
      </c>
      <c r="C172" s="96" t="s">
        <v>25</v>
      </c>
      <c r="D172" s="97">
        <v>7717</v>
      </c>
      <c r="E172" s="97">
        <v>3251</v>
      </c>
      <c r="F172" s="97">
        <v>10500</v>
      </c>
      <c r="G172" s="97">
        <v>0</v>
      </c>
      <c r="H172" s="97">
        <v>7067</v>
      </c>
      <c r="I172" s="97">
        <v>14134</v>
      </c>
      <c r="J172" s="97">
        <v>0</v>
      </c>
      <c r="K172" s="97">
        <v>21201</v>
      </c>
      <c r="L172" s="97">
        <v>0</v>
      </c>
      <c r="M172" s="97">
        <v>21201</v>
      </c>
      <c r="N172" s="97">
        <v>0</v>
      </c>
      <c r="O172" s="97">
        <v>21201</v>
      </c>
      <c r="P172" s="98">
        <f>O172/D172</f>
        <v>2.7473111312686278</v>
      </c>
      <c r="Q172" s="98">
        <f>H172/D172</f>
        <v>0.91577037708954256</v>
      </c>
      <c r="R172" s="98">
        <f>I172/D172</f>
        <v>1.8315407541790851</v>
      </c>
      <c r="S172" s="98">
        <f>J172/D172</f>
        <v>0</v>
      </c>
      <c r="T172" s="98">
        <f>K172/D172</f>
        <v>2.7473111312686278</v>
      </c>
      <c r="U172" s="98">
        <f>K172/E172</f>
        <v>6.5213780375269144</v>
      </c>
      <c r="V172" s="97">
        <v>6521</v>
      </c>
      <c r="W172" s="96" t="s">
        <v>1649</v>
      </c>
      <c r="X172" s="96" t="s">
        <v>1650</v>
      </c>
      <c r="Y172" s="97">
        <v>364</v>
      </c>
      <c r="Z172" s="97">
        <v>275</v>
      </c>
      <c r="AA172" s="97">
        <v>965</v>
      </c>
      <c r="AB172" s="96" t="s">
        <v>1648</v>
      </c>
      <c r="AC172" s="97">
        <v>750</v>
      </c>
      <c r="AD172" s="96" t="s">
        <v>1649</v>
      </c>
      <c r="AE172" s="96" t="s">
        <v>1649</v>
      </c>
      <c r="AF172" s="99">
        <v>0</v>
      </c>
    </row>
    <row r="173" spans="1:32" ht="15.75" thickBot="1" x14ac:dyDescent="0.3">
      <c r="A173" s="79" t="s">
        <v>374</v>
      </c>
      <c r="B173" s="93" t="s">
        <v>283</v>
      </c>
      <c r="C173" s="79" t="s">
        <v>25</v>
      </c>
      <c r="D173" s="81">
        <v>7824</v>
      </c>
      <c r="E173" s="81">
        <v>5422</v>
      </c>
      <c r="F173" s="81">
        <v>85000</v>
      </c>
      <c r="G173" s="81">
        <v>28057</v>
      </c>
      <c r="H173" s="81">
        <v>20419</v>
      </c>
      <c r="I173" s="81">
        <v>14036</v>
      </c>
      <c r="J173" s="81">
        <v>12746</v>
      </c>
      <c r="K173" s="81">
        <v>47201</v>
      </c>
      <c r="L173" s="81">
        <v>3650</v>
      </c>
      <c r="M173" s="81">
        <v>34455</v>
      </c>
      <c r="N173" s="81">
        <v>16396</v>
      </c>
      <c r="O173" s="81">
        <v>50851</v>
      </c>
      <c r="P173" s="94">
        <f>O173/D173</f>
        <v>6.4993609406952961</v>
      </c>
      <c r="Q173" s="94">
        <f>H173/D173</f>
        <v>2.6097903885480571</v>
      </c>
      <c r="R173" s="94">
        <f>I173/D173</f>
        <v>1.7939672801635991</v>
      </c>
      <c r="S173" s="94">
        <f>J173/D173</f>
        <v>1.6290899795501022</v>
      </c>
      <c r="T173" s="94">
        <f>K173/D173</f>
        <v>6.0328476482617583</v>
      </c>
      <c r="U173" s="94">
        <f>K173/E173</f>
        <v>8.705459240132793</v>
      </c>
      <c r="V173" s="81">
        <v>15000</v>
      </c>
      <c r="W173" s="79" t="s">
        <v>1648</v>
      </c>
      <c r="X173" s="79" t="s">
        <v>1650</v>
      </c>
      <c r="Y173" s="81">
        <v>1396</v>
      </c>
      <c r="Z173" s="81">
        <v>1844</v>
      </c>
      <c r="AA173" s="81">
        <v>8719</v>
      </c>
      <c r="AB173" s="79" t="s">
        <v>1648</v>
      </c>
      <c r="AC173" s="81">
        <v>3616</v>
      </c>
      <c r="AD173" s="79" t="s">
        <v>1648</v>
      </c>
      <c r="AE173" s="79" t="s">
        <v>1648</v>
      </c>
      <c r="AF173" s="81">
        <v>10</v>
      </c>
    </row>
    <row r="174" spans="1:32" ht="15.75" thickBot="1" x14ac:dyDescent="0.3">
      <c r="A174" s="79" t="s">
        <v>376</v>
      </c>
      <c r="B174" s="93" t="s">
        <v>295</v>
      </c>
      <c r="C174" s="79" t="s">
        <v>25</v>
      </c>
      <c r="D174" s="81">
        <v>9476</v>
      </c>
      <c r="E174" s="81">
        <v>639</v>
      </c>
      <c r="F174" s="81">
        <v>12117</v>
      </c>
      <c r="G174" s="81">
        <v>9077</v>
      </c>
      <c r="H174" s="81">
        <v>1093</v>
      </c>
      <c r="I174" s="81">
        <v>6846</v>
      </c>
      <c r="J174" s="81">
        <v>3101</v>
      </c>
      <c r="K174" s="81">
        <v>11040</v>
      </c>
      <c r="L174" s="81">
        <v>0</v>
      </c>
      <c r="M174" s="81">
        <v>7939</v>
      </c>
      <c r="N174" s="81">
        <v>3101</v>
      </c>
      <c r="O174" s="81">
        <v>11040</v>
      </c>
      <c r="P174" s="94">
        <f>O174/D174</f>
        <v>1.1650485436893203</v>
      </c>
      <c r="Q174" s="94">
        <f>H174/D174</f>
        <v>0.11534402701561841</v>
      </c>
      <c r="R174" s="94">
        <f>I174/D174</f>
        <v>0.72245673279864919</v>
      </c>
      <c r="S174" s="94">
        <f>J174/D174</f>
        <v>0.32724778387505277</v>
      </c>
      <c r="T174" s="94">
        <f>K174/D174</f>
        <v>1.1650485436893203</v>
      </c>
      <c r="U174" s="94">
        <f>K174/E174</f>
        <v>17.27699530516432</v>
      </c>
      <c r="V174" s="81">
        <v>1040</v>
      </c>
      <c r="W174" s="79" t="s">
        <v>1649</v>
      </c>
      <c r="X174" s="79" t="s">
        <v>1650</v>
      </c>
      <c r="Y174" s="81">
        <v>862</v>
      </c>
      <c r="Z174" s="81">
        <v>816</v>
      </c>
      <c r="AA174" s="81">
        <v>4360</v>
      </c>
      <c r="AB174" s="79" t="s">
        <v>1648</v>
      </c>
      <c r="AC174" s="81">
        <v>1776</v>
      </c>
      <c r="AD174" s="79" t="s">
        <v>1648</v>
      </c>
      <c r="AE174" s="79" t="s">
        <v>1649</v>
      </c>
      <c r="AF174" s="77">
        <v>0</v>
      </c>
    </row>
    <row r="175" spans="1:32" ht="15.75" thickBot="1" x14ac:dyDescent="0.3">
      <c r="A175" s="79" t="s">
        <v>378</v>
      </c>
      <c r="B175" s="93" t="s">
        <v>301</v>
      </c>
      <c r="C175" s="79" t="s">
        <v>25</v>
      </c>
      <c r="D175" s="81">
        <v>10983</v>
      </c>
      <c r="E175" s="81">
        <v>3405</v>
      </c>
      <c r="F175" s="81">
        <v>46734</v>
      </c>
      <c r="G175" s="81">
        <v>37733</v>
      </c>
      <c r="H175" s="81">
        <v>51051</v>
      </c>
      <c r="I175" s="81">
        <v>44577</v>
      </c>
      <c r="J175" s="81">
        <v>16754</v>
      </c>
      <c r="K175" s="81">
        <v>112382</v>
      </c>
      <c r="L175" s="81">
        <v>87</v>
      </c>
      <c r="M175" s="81">
        <v>95628</v>
      </c>
      <c r="N175" s="81">
        <v>16841</v>
      </c>
      <c r="O175" s="81">
        <v>112469</v>
      </c>
      <c r="P175" s="94">
        <f>O175/D175</f>
        <v>10.240280433397068</v>
      </c>
      <c r="Q175" s="94">
        <f>H175/D175</f>
        <v>4.6481835564053533</v>
      </c>
      <c r="R175" s="94">
        <f>I175/D175</f>
        <v>4.0587271237366842</v>
      </c>
      <c r="S175" s="94">
        <f>J175/D175</f>
        <v>1.5254484202858964</v>
      </c>
      <c r="T175" s="94">
        <f>K175/D175</f>
        <v>10.232359100427933</v>
      </c>
      <c r="U175" s="94">
        <f>K175/E175</f>
        <v>33.004992657856093</v>
      </c>
      <c r="V175" s="81">
        <v>3478</v>
      </c>
      <c r="W175" s="79" t="s">
        <v>1649</v>
      </c>
      <c r="X175" s="79" t="s">
        <v>1650</v>
      </c>
      <c r="Y175" s="81">
        <v>7033</v>
      </c>
      <c r="Z175" s="81">
        <v>5544</v>
      </c>
      <c r="AA175" s="81">
        <v>3425</v>
      </c>
      <c r="AB175" s="79" t="s">
        <v>1648</v>
      </c>
      <c r="AC175" s="81">
        <v>12672</v>
      </c>
      <c r="AD175" s="79" t="s">
        <v>1648</v>
      </c>
      <c r="AE175" s="79" t="s">
        <v>1648</v>
      </c>
      <c r="AF175" s="77" t="s">
        <v>1660</v>
      </c>
    </row>
    <row r="176" spans="1:32" ht="15.75" thickBot="1" x14ac:dyDescent="0.3">
      <c r="A176" s="79" t="s">
        <v>380</v>
      </c>
      <c r="B176" s="93" t="s">
        <v>309</v>
      </c>
      <c r="C176" s="79" t="s">
        <v>25</v>
      </c>
      <c r="D176" s="81">
        <v>11239</v>
      </c>
      <c r="E176" s="81">
        <v>3372</v>
      </c>
      <c r="F176" s="81">
        <v>58978</v>
      </c>
      <c r="G176" s="81">
        <v>7256</v>
      </c>
      <c r="H176" s="81">
        <v>31486</v>
      </c>
      <c r="I176" s="81">
        <v>9475</v>
      </c>
      <c r="J176" s="81">
        <v>7652</v>
      </c>
      <c r="K176" s="81">
        <v>48613</v>
      </c>
      <c r="L176" s="81">
        <v>0</v>
      </c>
      <c r="M176" s="81">
        <v>40961</v>
      </c>
      <c r="N176" s="81">
        <v>7652</v>
      </c>
      <c r="O176" s="81">
        <v>48613</v>
      </c>
      <c r="P176" s="94">
        <f>O176/D176</f>
        <v>4.3253848207135865</v>
      </c>
      <c r="Q176" s="94">
        <f>H176/D176</f>
        <v>2.8014947949105791</v>
      </c>
      <c r="R176" s="94">
        <f>I176/D176</f>
        <v>0.84304653438918054</v>
      </c>
      <c r="S176" s="94">
        <f>J176/D176</f>
        <v>0.68084349141382683</v>
      </c>
      <c r="T176" s="94">
        <f>K176/D176</f>
        <v>4.3253848207135865</v>
      </c>
      <c r="U176" s="94">
        <f>K176/E176</f>
        <v>14.416666666666666</v>
      </c>
      <c r="V176" s="81">
        <v>3660</v>
      </c>
      <c r="W176" s="79" t="s">
        <v>1649</v>
      </c>
      <c r="X176" s="79" t="s">
        <v>1650</v>
      </c>
      <c r="Y176" s="81">
        <v>772</v>
      </c>
      <c r="Z176" s="81">
        <v>896</v>
      </c>
      <c r="AA176" s="81">
        <v>2394</v>
      </c>
      <c r="AB176" s="79" t="s">
        <v>1648</v>
      </c>
      <c r="AC176" s="81">
        <v>4362</v>
      </c>
      <c r="AD176" s="79" t="s">
        <v>1648</v>
      </c>
      <c r="AE176" s="79" t="s">
        <v>1648</v>
      </c>
      <c r="AF176" s="81">
        <v>16</v>
      </c>
    </row>
    <row r="177" spans="1:32" ht="15.75" thickBot="1" x14ac:dyDescent="0.3">
      <c r="A177" s="79" t="s">
        <v>382</v>
      </c>
      <c r="B177" s="93" t="s">
        <v>323</v>
      </c>
      <c r="C177" s="79" t="s">
        <v>25</v>
      </c>
      <c r="D177" s="81">
        <v>8875</v>
      </c>
      <c r="E177" s="81">
        <v>3687</v>
      </c>
      <c r="F177" s="81">
        <v>31741</v>
      </c>
      <c r="G177" s="81">
        <v>11794</v>
      </c>
      <c r="H177" s="81">
        <v>11584</v>
      </c>
      <c r="I177" s="81">
        <v>11240</v>
      </c>
      <c r="J177" s="81">
        <v>6857</v>
      </c>
      <c r="K177" s="81">
        <v>29681</v>
      </c>
      <c r="L177" s="81">
        <v>3426</v>
      </c>
      <c r="M177" s="81">
        <v>22824</v>
      </c>
      <c r="N177" s="81">
        <v>10283</v>
      </c>
      <c r="O177" s="81">
        <v>33107</v>
      </c>
      <c r="P177" s="94">
        <f>O177/D177</f>
        <v>3.7303661971830988</v>
      </c>
      <c r="Q177" s="94">
        <f>H177/D177</f>
        <v>1.3052394366197184</v>
      </c>
      <c r="R177" s="94">
        <f>I177/D177</f>
        <v>1.2664788732394365</v>
      </c>
      <c r="S177" s="94">
        <f>J177/D177</f>
        <v>0.7726197183098592</v>
      </c>
      <c r="T177" s="94">
        <f>K177/D177</f>
        <v>3.3443380281690143</v>
      </c>
      <c r="U177" s="94">
        <f>K177/E177</f>
        <v>8.0501762950908606</v>
      </c>
      <c r="V177" s="81">
        <v>15587</v>
      </c>
      <c r="W177" s="79" t="s">
        <v>1649</v>
      </c>
      <c r="X177" s="79" t="s">
        <v>1650</v>
      </c>
      <c r="Y177" s="81">
        <v>3246</v>
      </c>
      <c r="Z177" s="81">
        <v>1761</v>
      </c>
      <c r="AA177" s="81">
        <v>1935</v>
      </c>
      <c r="AB177" s="79" t="s">
        <v>1648</v>
      </c>
      <c r="AC177" s="81">
        <v>5982</v>
      </c>
      <c r="AD177" s="79" t="s">
        <v>1649</v>
      </c>
      <c r="AE177" s="79" t="s">
        <v>1649</v>
      </c>
      <c r="AF177" s="95">
        <v>0</v>
      </c>
    </row>
    <row r="178" spans="1:32" ht="15.75" thickBot="1" x14ac:dyDescent="0.3">
      <c r="A178" s="79" t="s">
        <v>384</v>
      </c>
      <c r="B178" s="93" t="s">
        <v>341</v>
      </c>
      <c r="C178" s="79" t="s">
        <v>25</v>
      </c>
      <c r="D178" s="81">
        <v>8133</v>
      </c>
      <c r="E178" s="81">
        <v>5200</v>
      </c>
      <c r="F178" s="81">
        <v>62000</v>
      </c>
      <c r="G178" s="81">
        <v>7858</v>
      </c>
      <c r="H178" s="81">
        <v>25147</v>
      </c>
      <c r="I178" s="81">
        <v>58675</v>
      </c>
      <c r="J178" s="81">
        <v>6902</v>
      </c>
      <c r="K178" s="81">
        <v>90724</v>
      </c>
      <c r="L178" s="77" t="s">
        <v>1660</v>
      </c>
      <c r="M178" s="81">
        <v>83822</v>
      </c>
      <c r="N178" s="81">
        <v>6902</v>
      </c>
      <c r="O178" s="81">
        <v>90724</v>
      </c>
      <c r="P178" s="94">
        <f>O178/D178</f>
        <v>11.155047338005655</v>
      </c>
      <c r="Q178" s="94">
        <f>H178/D178</f>
        <v>3.0919709824173123</v>
      </c>
      <c r="R178" s="94">
        <f>I178/D178</f>
        <v>7.2144350178285999</v>
      </c>
      <c r="S178" s="94">
        <f>J178/D178</f>
        <v>0.84864133775974426</v>
      </c>
      <c r="T178" s="94">
        <f>K178/D178</f>
        <v>11.155047338005655</v>
      </c>
      <c r="U178" s="94">
        <f>K178/E178</f>
        <v>17.446923076923078</v>
      </c>
      <c r="V178" s="81">
        <v>1000</v>
      </c>
      <c r="W178" s="79" t="s">
        <v>1648</v>
      </c>
      <c r="X178" s="79" t="s">
        <v>1650</v>
      </c>
      <c r="Y178" s="81">
        <v>2221</v>
      </c>
      <c r="Z178" s="81">
        <v>2355</v>
      </c>
      <c r="AA178" s="81">
        <v>17434</v>
      </c>
      <c r="AB178" s="79" t="s">
        <v>1648</v>
      </c>
      <c r="AC178" s="81">
        <v>5000</v>
      </c>
      <c r="AD178" s="79" t="s">
        <v>1648</v>
      </c>
      <c r="AE178" s="79" t="s">
        <v>1648</v>
      </c>
      <c r="AF178" s="81">
        <v>6</v>
      </c>
    </row>
    <row r="179" spans="1:32" ht="15.75" thickBot="1" x14ac:dyDescent="0.3">
      <c r="A179" s="79" t="s">
        <v>386</v>
      </c>
      <c r="B179" s="93" t="s">
        <v>349</v>
      </c>
      <c r="C179" s="79" t="s">
        <v>25</v>
      </c>
      <c r="D179" s="81">
        <v>7135</v>
      </c>
      <c r="E179" s="81">
        <v>2208</v>
      </c>
      <c r="F179" s="81">
        <v>56784</v>
      </c>
      <c r="G179" s="79" t="s">
        <v>1613</v>
      </c>
      <c r="H179" s="81">
        <v>34201</v>
      </c>
      <c r="I179" s="81">
        <v>18393</v>
      </c>
      <c r="J179" s="81">
        <v>4587</v>
      </c>
      <c r="K179" s="81">
        <v>57181</v>
      </c>
      <c r="L179" s="77" t="s">
        <v>1660</v>
      </c>
      <c r="M179" s="81">
        <v>52594</v>
      </c>
      <c r="N179" s="81">
        <v>4587</v>
      </c>
      <c r="O179" s="81">
        <v>57181</v>
      </c>
      <c r="P179" s="94">
        <f>O179/D179</f>
        <v>8.0141555711282404</v>
      </c>
      <c r="Q179" s="94">
        <f>H179/D179</f>
        <v>4.7934127540294327</v>
      </c>
      <c r="R179" s="94">
        <f>I179/D179</f>
        <v>2.5778556412053257</v>
      </c>
      <c r="S179" s="94">
        <f>J179/D179</f>
        <v>0.64288717589348288</v>
      </c>
      <c r="T179" s="94">
        <f>K179/D179</f>
        <v>8.0141555711282404</v>
      </c>
      <c r="U179" s="94">
        <f>K179/E179</f>
        <v>25.897192028985508</v>
      </c>
      <c r="V179" s="81">
        <v>29432</v>
      </c>
      <c r="W179" s="79" t="s">
        <v>1648</v>
      </c>
      <c r="X179" s="79" t="s">
        <v>1650</v>
      </c>
      <c r="Y179" s="81">
        <v>2913</v>
      </c>
      <c r="Z179" s="81">
        <v>3260</v>
      </c>
      <c r="AA179" s="81">
        <v>5924</v>
      </c>
      <c r="AB179" s="79" t="s">
        <v>1648</v>
      </c>
      <c r="AC179" s="81">
        <v>15580</v>
      </c>
      <c r="AD179" s="79" t="s">
        <v>1648</v>
      </c>
      <c r="AE179" s="79" t="s">
        <v>1649</v>
      </c>
      <c r="AF179" s="77">
        <v>0</v>
      </c>
    </row>
    <row r="180" spans="1:32" ht="15.75" thickBot="1" x14ac:dyDescent="0.3">
      <c r="A180" s="79" t="s">
        <v>388</v>
      </c>
      <c r="B180" s="93" t="s">
        <v>357</v>
      </c>
      <c r="C180" s="79" t="s">
        <v>25</v>
      </c>
      <c r="D180" s="81">
        <v>11870</v>
      </c>
      <c r="E180" s="81">
        <v>13255</v>
      </c>
      <c r="F180" s="81">
        <v>30250</v>
      </c>
      <c r="G180" s="81">
        <v>16890</v>
      </c>
      <c r="H180" s="81">
        <v>15000</v>
      </c>
      <c r="I180" s="81">
        <v>37043</v>
      </c>
      <c r="J180" s="81">
        <v>9500</v>
      </c>
      <c r="K180" s="81">
        <v>61543</v>
      </c>
      <c r="L180" s="77" t="s">
        <v>1660</v>
      </c>
      <c r="M180" s="81">
        <v>52043</v>
      </c>
      <c r="N180" s="81">
        <v>9500</v>
      </c>
      <c r="O180" s="81">
        <v>61543</v>
      </c>
      <c r="P180" s="94">
        <f>O180/D180</f>
        <v>5.1847514743049707</v>
      </c>
      <c r="Q180" s="94">
        <f>H180/D180</f>
        <v>1.2636899747262005</v>
      </c>
      <c r="R180" s="94">
        <f>I180/D180</f>
        <v>3.1207245155855099</v>
      </c>
      <c r="S180" s="94">
        <f>J180/D180</f>
        <v>0.80033698399326036</v>
      </c>
      <c r="T180" s="94">
        <f>K180/D180</f>
        <v>5.1847514743049707</v>
      </c>
      <c r="U180" s="94">
        <f>K180/E180</f>
        <v>4.6430026405130143</v>
      </c>
      <c r="V180" s="81">
        <v>400</v>
      </c>
      <c r="W180" s="79" t="s">
        <v>1648</v>
      </c>
      <c r="X180" s="79" t="s">
        <v>1650</v>
      </c>
      <c r="Y180" s="81">
        <v>559</v>
      </c>
      <c r="Z180" s="81">
        <v>1798</v>
      </c>
      <c r="AA180" s="81">
        <v>7078</v>
      </c>
      <c r="AB180" s="79" t="s">
        <v>1648</v>
      </c>
      <c r="AC180" s="81">
        <v>28000</v>
      </c>
      <c r="AD180" s="79" t="s">
        <v>1649</v>
      </c>
      <c r="AE180" s="79" t="s">
        <v>1649</v>
      </c>
      <c r="AF180" s="95">
        <v>0</v>
      </c>
    </row>
    <row r="181" spans="1:32" ht="15.75" thickBot="1" x14ac:dyDescent="0.3">
      <c r="A181" s="79" t="s">
        <v>390</v>
      </c>
      <c r="B181" s="93" t="s">
        <v>377</v>
      </c>
      <c r="C181" s="79" t="s">
        <v>25</v>
      </c>
      <c r="D181" s="81">
        <v>8764</v>
      </c>
      <c r="E181" s="81">
        <v>4497</v>
      </c>
      <c r="F181" s="81">
        <v>30618</v>
      </c>
      <c r="G181" s="81">
        <v>600</v>
      </c>
      <c r="H181" s="81">
        <v>13517</v>
      </c>
      <c r="I181" s="81">
        <v>15441</v>
      </c>
      <c r="J181" s="81">
        <v>25450</v>
      </c>
      <c r="K181" s="81">
        <v>54408</v>
      </c>
      <c r="L181" s="81">
        <v>7600</v>
      </c>
      <c r="M181" s="81">
        <v>28958</v>
      </c>
      <c r="N181" s="81">
        <v>33050</v>
      </c>
      <c r="O181" s="81">
        <v>62008</v>
      </c>
      <c r="P181" s="94">
        <f>O181/D181</f>
        <v>7.0753080785029665</v>
      </c>
      <c r="Q181" s="94">
        <f>H181/D181</f>
        <v>1.5423322683706071</v>
      </c>
      <c r="R181" s="94">
        <f>I181/D181</f>
        <v>1.7618667275216795</v>
      </c>
      <c r="S181" s="94">
        <f>J181/D181</f>
        <v>2.903925148334094</v>
      </c>
      <c r="T181" s="94">
        <f>K181/D181</f>
        <v>6.2081241442263808</v>
      </c>
      <c r="U181" s="94">
        <f>K181/E181</f>
        <v>12.098732488325551</v>
      </c>
      <c r="V181" s="81">
        <v>100</v>
      </c>
      <c r="W181" s="79" t="s">
        <v>1648</v>
      </c>
      <c r="X181" s="79" t="s">
        <v>1650</v>
      </c>
      <c r="Y181" s="81">
        <v>16478</v>
      </c>
      <c r="Z181" s="81">
        <v>10036</v>
      </c>
      <c r="AA181" s="81">
        <v>1781</v>
      </c>
      <c r="AB181" s="79" t="s">
        <v>1648</v>
      </c>
      <c r="AC181" s="81">
        <v>-1</v>
      </c>
      <c r="AD181" s="79" t="s">
        <v>1648</v>
      </c>
      <c r="AE181" s="79" t="s">
        <v>1649</v>
      </c>
      <c r="AF181" s="95">
        <v>0</v>
      </c>
    </row>
    <row r="182" spans="1:32" ht="15.75" thickBot="1" x14ac:dyDescent="0.3">
      <c r="A182" s="79" t="s">
        <v>392</v>
      </c>
      <c r="B182" s="93" t="s">
        <v>409</v>
      </c>
      <c r="C182" s="79" t="s">
        <v>25</v>
      </c>
      <c r="D182" s="81">
        <v>9555</v>
      </c>
      <c r="E182" s="81">
        <v>5701</v>
      </c>
      <c r="F182" s="81">
        <v>24000</v>
      </c>
      <c r="G182" s="81">
        <v>5905</v>
      </c>
      <c r="H182" s="81">
        <v>9000</v>
      </c>
      <c r="I182" s="81">
        <v>21000</v>
      </c>
      <c r="J182" s="81">
        <v>5600</v>
      </c>
      <c r="K182" s="81">
        <v>35600</v>
      </c>
      <c r="L182" s="77" t="s">
        <v>1660</v>
      </c>
      <c r="M182" s="81">
        <v>30000</v>
      </c>
      <c r="N182" s="81">
        <v>5600</v>
      </c>
      <c r="O182" s="81">
        <v>35600</v>
      </c>
      <c r="P182" s="94">
        <f>O182/D182</f>
        <v>3.7257980115122971</v>
      </c>
      <c r="Q182" s="94">
        <f>H182/D182</f>
        <v>0.9419152276295133</v>
      </c>
      <c r="R182" s="94">
        <f>I182/D182</f>
        <v>2.197802197802198</v>
      </c>
      <c r="S182" s="94">
        <f>J182/D182</f>
        <v>0.58608058608058611</v>
      </c>
      <c r="T182" s="94">
        <f>K182/D182</f>
        <v>3.7257980115122971</v>
      </c>
      <c r="U182" s="94">
        <f>K182/E182</f>
        <v>6.2445185055253463</v>
      </c>
      <c r="V182" s="81">
        <v>900</v>
      </c>
      <c r="W182" s="79" t="s">
        <v>1648</v>
      </c>
      <c r="X182" s="79" t="s">
        <v>1650</v>
      </c>
      <c r="Y182" s="81">
        <v>1874</v>
      </c>
      <c r="Z182" s="81">
        <v>1750</v>
      </c>
      <c r="AA182" s="81">
        <v>4320</v>
      </c>
      <c r="AB182" s="79" t="s">
        <v>1648</v>
      </c>
      <c r="AC182" s="81">
        <v>1200</v>
      </c>
      <c r="AD182" s="79" t="s">
        <v>1649</v>
      </c>
      <c r="AE182" s="79" t="s">
        <v>1649</v>
      </c>
      <c r="AF182" s="95">
        <v>0</v>
      </c>
    </row>
    <row r="183" spans="1:32" ht="15.75" thickBot="1" x14ac:dyDescent="0.3">
      <c r="A183" s="79" t="s">
        <v>394</v>
      </c>
      <c r="B183" s="93" t="s">
        <v>407</v>
      </c>
      <c r="C183" s="79" t="s">
        <v>25</v>
      </c>
      <c r="D183" s="81">
        <v>9533</v>
      </c>
      <c r="E183" s="81">
        <v>1681</v>
      </c>
      <c r="F183" s="81">
        <v>2715</v>
      </c>
      <c r="G183" s="81">
        <v>1702</v>
      </c>
      <c r="H183" s="81">
        <v>1294</v>
      </c>
      <c r="I183" s="81">
        <v>2346</v>
      </c>
      <c r="J183" s="81">
        <v>639</v>
      </c>
      <c r="K183" s="81">
        <v>4279</v>
      </c>
      <c r="L183" s="81">
        <v>1895</v>
      </c>
      <c r="M183" s="81">
        <v>3640</v>
      </c>
      <c r="N183" s="81">
        <v>2534</v>
      </c>
      <c r="O183" s="81">
        <v>6174</v>
      </c>
      <c r="P183" s="94">
        <f>O183/D183</f>
        <v>0.64764502255323608</v>
      </c>
      <c r="Q183" s="94">
        <f>H183/D183</f>
        <v>0.13573901185356133</v>
      </c>
      <c r="R183" s="94">
        <f>I183/D183</f>
        <v>0.24609252071750762</v>
      </c>
      <c r="S183" s="94">
        <f>J183/D183</f>
        <v>6.7030315745305782E-2</v>
      </c>
      <c r="T183" s="94">
        <f>K183/D183</f>
        <v>0.44886184831637471</v>
      </c>
      <c r="U183" s="94">
        <f>K183/E183</f>
        <v>2.5455086258179653</v>
      </c>
      <c r="V183" s="81">
        <v>7</v>
      </c>
      <c r="W183" s="79" t="s">
        <v>1648</v>
      </c>
      <c r="X183" s="79" t="s">
        <v>1650</v>
      </c>
      <c r="Y183" s="81">
        <v>224</v>
      </c>
      <c r="Z183" s="81">
        <v>164</v>
      </c>
      <c r="AA183" s="81">
        <v>488</v>
      </c>
      <c r="AB183" s="79" t="s">
        <v>1648</v>
      </c>
      <c r="AC183" s="81">
        <v>57</v>
      </c>
      <c r="AD183" s="79" t="s">
        <v>1649</v>
      </c>
      <c r="AE183" s="79" t="s">
        <v>1649</v>
      </c>
      <c r="AF183" s="95">
        <v>0</v>
      </c>
    </row>
    <row r="184" spans="1:32" ht="15.75" thickBot="1" x14ac:dyDescent="0.3">
      <c r="A184" s="79" t="s">
        <v>396</v>
      </c>
      <c r="B184" s="93" t="s">
        <v>432</v>
      </c>
      <c r="C184" s="79" t="s">
        <v>25</v>
      </c>
      <c r="D184" s="81">
        <v>10470</v>
      </c>
      <c r="E184" s="81">
        <v>2208</v>
      </c>
      <c r="F184" s="81">
        <v>13457</v>
      </c>
      <c r="G184" s="81">
        <v>4900</v>
      </c>
      <c r="H184" s="81">
        <v>5676</v>
      </c>
      <c r="I184" s="81">
        <v>7557</v>
      </c>
      <c r="J184" s="81">
        <v>2337</v>
      </c>
      <c r="K184" s="81">
        <v>15570</v>
      </c>
      <c r="L184" s="81">
        <v>0</v>
      </c>
      <c r="M184" s="81">
        <v>13233</v>
      </c>
      <c r="N184" s="81">
        <v>2337</v>
      </c>
      <c r="O184" s="81">
        <v>15570</v>
      </c>
      <c r="P184" s="94">
        <f>O184/D184</f>
        <v>1.487106017191977</v>
      </c>
      <c r="Q184" s="94">
        <f>H184/D184</f>
        <v>0.54212034383954155</v>
      </c>
      <c r="R184" s="94">
        <f>I184/D184</f>
        <v>0.72177650429799423</v>
      </c>
      <c r="S184" s="94">
        <f>J184/D184</f>
        <v>0.22320916905444127</v>
      </c>
      <c r="T184" s="94">
        <f>K184/D184</f>
        <v>1.487106017191977</v>
      </c>
      <c r="U184" s="94">
        <f>K184/E184</f>
        <v>7.0516304347826084</v>
      </c>
      <c r="V184" s="81">
        <v>2815</v>
      </c>
      <c r="W184" s="79" t="s">
        <v>1648</v>
      </c>
      <c r="X184" s="79" t="s">
        <v>1651</v>
      </c>
      <c r="Y184" s="81">
        <v>2993</v>
      </c>
      <c r="Z184" s="81">
        <v>2242</v>
      </c>
      <c r="AA184" s="81">
        <v>2438</v>
      </c>
      <c r="AB184" s="79" t="s">
        <v>1648</v>
      </c>
      <c r="AC184" s="81">
        <v>0</v>
      </c>
      <c r="AD184" s="79" t="s">
        <v>1648</v>
      </c>
      <c r="AE184" s="79" t="s">
        <v>1649</v>
      </c>
      <c r="AF184" s="95">
        <v>0</v>
      </c>
    </row>
    <row r="185" spans="1:32" ht="15.75" thickBot="1" x14ac:dyDescent="0.3">
      <c r="A185" s="79" t="s">
        <v>398</v>
      </c>
      <c r="B185" s="93" t="s">
        <v>445</v>
      </c>
      <c r="C185" s="79" t="s">
        <v>25</v>
      </c>
      <c r="D185" s="81">
        <v>11581</v>
      </c>
      <c r="E185" s="81">
        <v>3451</v>
      </c>
      <c r="F185" s="81">
        <v>19681</v>
      </c>
      <c r="G185" s="81">
        <v>8731</v>
      </c>
      <c r="H185" s="81">
        <v>10949</v>
      </c>
      <c r="I185" s="81">
        <v>14185</v>
      </c>
      <c r="J185" s="81">
        <v>4278</v>
      </c>
      <c r="K185" s="81">
        <v>29412</v>
      </c>
      <c r="L185" s="81">
        <v>0</v>
      </c>
      <c r="M185" s="81">
        <v>25134</v>
      </c>
      <c r="N185" s="81">
        <v>4278</v>
      </c>
      <c r="O185" s="81">
        <v>29412</v>
      </c>
      <c r="P185" s="94">
        <f>O185/D185</f>
        <v>2.5396770572489422</v>
      </c>
      <c r="Q185" s="94">
        <f>H185/D185</f>
        <v>0.945427855970987</v>
      </c>
      <c r="R185" s="94">
        <f>I185/D185</f>
        <v>1.2248510491321993</v>
      </c>
      <c r="S185" s="94">
        <f>J185/D185</f>
        <v>0.369398152145756</v>
      </c>
      <c r="T185" s="94">
        <f>K185/D185</f>
        <v>2.5396770572489422</v>
      </c>
      <c r="U185" s="94">
        <f>K185/E185</f>
        <v>8.5227470298464212</v>
      </c>
      <c r="V185" s="81">
        <v>817</v>
      </c>
      <c r="W185" s="79" t="s">
        <v>1649</v>
      </c>
      <c r="X185" s="79" t="s">
        <v>1651</v>
      </c>
      <c r="Y185" s="81">
        <v>6077</v>
      </c>
      <c r="Z185" s="81">
        <v>5237</v>
      </c>
      <c r="AA185" s="81">
        <v>3935</v>
      </c>
      <c r="AB185" s="79" t="s">
        <v>1648</v>
      </c>
      <c r="AC185" s="81">
        <v>3368</v>
      </c>
      <c r="AD185" s="79" t="s">
        <v>1648</v>
      </c>
      <c r="AE185" s="79" t="s">
        <v>1649</v>
      </c>
      <c r="AF185" s="95">
        <v>0</v>
      </c>
    </row>
    <row r="186" spans="1:32" ht="15.75" thickBot="1" x14ac:dyDescent="0.3">
      <c r="A186" s="79" t="s">
        <v>400</v>
      </c>
      <c r="B186" s="93" t="s">
        <v>467</v>
      </c>
      <c r="C186" s="79" t="s">
        <v>25</v>
      </c>
      <c r="D186" s="81">
        <v>7312</v>
      </c>
      <c r="E186" s="81">
        <v>2384</v>
      </c>
      <c r="F186" s="81">
        <v>26800</v>
      </c>
      <c r="G186" s="81">
        <v>63770</v>
      </c>
      <c r="H186" s="81">
        <v>6828</v>
      </c>
      <c r="I186" s="81">
        <v>26154</v>
      </c>
      <c r="J186" s="81">
        <v>5281</v>
      </c>
      <c r="K186" s="81">
        <v>38263</v>
      </c>
      <c r="L186" s="81">
        <v>5376</v>
      </c>
      <c r="M186" s="81">
        <v>32982</v>
      </c>
      <c r="N186" s="81">
        <v>10657</v>
      </c>
      <c r="O186" s="81">
        <v>43639</v>
      </c>
      <c r="P186" s="94">
        <f>O186/D186</f>
        <v>5.968134573304158</v>
      </c>
      <c r="Q186" s="94">
        <f>H186/D186</f>
        <v>0.9338074398249453</v>
      </c>
      <c r="R186" s="94">
        <f>I186/D186</f>
        <v>3.5768599562363237</v>
      </c>
      <c r="S186" s="94">
        <f>J186/D186</f>
        <v>0.72223741794310725</v>
      </c>
      <c r="T186" s="94">
        <f>K186/D186</f>
        <v>5.2329048140043763</v>
      </c>
      <c r="U186" s="94">
        <f>K186/E186</f>
        <v>16.04991610738255</v>
      </c>
      <c r="V186" s="81">
        <v>5000</v>
      </c>
      <c r="W186" s="79" t="s">
        <v>1648</v>
      </c>
      <c r="X186" s="79" t="s">
        <v>1650</v>
      </c>
      <c r="Y186" s="81">
        <v>39552</v>
      </c>
      <c r="Z186" s="81">
        <v>47964</v>
      </c>
      <c r="AA186" s="81">
        <v>2400</v>
      </c>
      <c r="AB186" s="79" t="s">
        <v>1648</v>
      </c>
      <c r="AC186" s="81">
        <v>3774</v>
      </c>
      <c r="AD186" s="79" t="s">
        <v>1648</v>
      </c>
      <c r="AE186" s="79" t="s">
        <v>1648</v>
      </c>
      <c r="AF186" s="81">
        <v>10</v>
      </c>
    </row>
    <row r="187" spans="1:32" ht="15.75" thickBot="1" x14ac:dyDescent="0.3">
      <c r="A187" s="79" t="s">
        <v>402</v>
      </c>
      <c r="B187" s="93" t="s">
        <v>473</v>
      </c>
      <c r="C187" s="79" t="s">
        <v>25</v>
      </c>
      <c r="D187" s="81">
        <v>8344</v>
      </c>
      <c r="E187" s="81">
        <v>3230</v>
      </c>
      <c r="F187" s="81">
        <v>38524</v>
      </c>
      <c r="G187" s="81">
        <v>6251</v>
      </c>
      <c r="H187" s="81">
        <v>4717</v>
      </c>
      <c r="I187" s="81">
        <v>10328</v>
      </c>
      <c r="J187" s="81">
        <v>5334</v>
      </c>
      <c r="K187" s="81">
        <v>20379</v>
      </c>
      <c r="L187" s="77" t="s">
        <v>1660</v>
      </c>
      <c r="M187" s="81">
        <v>15045</v>
      </c>
      <c r="N187" s="81">
        <v>5334</v>
      </c>
      <c r="O187" s="81">
        <v>20379</v>
      </c>
      <c r="P187" s="94">
        <f>O187/D187</f>
        <v>2.4423537871524448</v>
      </c>
      <c r="Q187" s="94">
        <f>H187/D187</f>
        <v>0.56531639501438158</v>
      </c>
      <c r="R187" s="94">
        <f>I187/D187</f>
        <v>1.2377756471716204</v>
      </c>
      <c r="S187" s="94">
        <f>J187/D187</f>
        <v>0.63926174496644295</v>
      </c>
      <c r="T187" s="94">
        <f>K187/D187</f>
        <v>2.4423537871524448</v>
      </c>
      <c r="U187" s="94">
        <f>K187/E187</f>
        <v>6.3092879256965944</v>
      </c>
      <c r="V187" s="81">
        <v>1750</v>
      </c>
      <c r="W187" s="79" t="s">
        <v>1648</v>
      </c>
      <c r="X187" s="79" t="s">
        <v>1650</v>
      </c>
      <c r="Y187" s="81">
        <v>426</v>
      </c>
      <c r="Z187" s="81">
        <v>429</v>
      </c>
      <c r="AA187" s="81">
        <v>1726</v>
      </c>
      <c r="AB187" s="79" t="s">
        <v>1648</v>
      </c>
      <c r="AC187" s="81">
        <v>3826</v>
      </c>
      <c r="AD187" s="79" t="s">
        <v>1648</v>
      </c>
      <c r="AE187" s="79" t="s">
        <v>1649</v>
      </c>
      <c r="AF187" s="77">
        <v>0</v>
      </c>
    </row>
    <row r="188" spans="1:32" ht="15.75" thickBot="1" x14ac:dyDescent="0.3">
      <c r="A188" s="79" t="s">
        <v>404</v>
      </c>
      <c r="B188" s="93" t="s">
        <v>491</v>
      </c>
      <c r="C188" s="96" t="s">
        <v>25</v>
      </c>
      <c r="D188" s="97">
        <v>10715</v>
      </c>
      <c r="E188" s="97">
        <v>1679</v>
      </c>
      <c r="F188" s="97">
        <v>4000</v>
      </c>
      <c r="G188" s="97">
        <v>0</v>
      </c>
      <c r="H188" s="97">
        <v>3103</v>
      </c>
      <c r="I188" s="97">
        <v>4067</v>
      </c>
      <c r="J188" s="97">
        <v>0</v>
      </c>
      <c r="K188" s="97">
        <v>7170</v>
      </c>
      <c r="L188" s="97">
        <v>0</v>
      </c>
      <c r="M188" s="97">
        <v>7170</v>
      </c>
      <c r="N188" s="97">
        <v>0</v>
      </c>
      <c r="O188" s="97">
        <v>7170</v>
      </c>
      <c r="P188" s="98">
        <f>O188/D188</f>
        <v>0.66915538964069066</v>
      </c>
      <c r="Q188" s="98">
        <f>H188/D188</f>
        <v>0.28959402706486237</v>
      </c>
      <c r="R188" s="98">
        <f>I188/D188</f>
        <v>0.37956136257582829</v>
      </c>
      <c r="S188" s="98">
        <f>J188/D188</f>
        <v>0</v>
      </c>
      <c r="T188" s="98">
        <f>K188/D188</f>
        <v>0.66915538964069066</v>
      </c>
      <c r="U188" s="98">
        <f>K188/E188</f>
        <v>4.2703990470518169</v>
      </c>
      <c r="V188" s="97">
        <v>45</v>
      </c>
      <c r="W188" s="96" t="s">
        <v>1648</v>
      </c>
      <c r="X188" s="96" t="s">
        <v>1650</v>
      </c>
      <c r="Y188" s="97">
        <v>3543</v>
      </c>
      <c r="Z188" s="97">
        <v>1180</v>
      </c>
      <c r="AA188" s="97">
        <v>1767</v>
      </c>
      <c r="AB188" s="96" t="s">
        <v>1648</v>
      </c>
      <c r="AC188" s="97">
        <v>399</v>
      </c>
      <c r="AD188" s="96" t="s">
        <v>1648</v>
      </c>
      <c r="AE188" s="96" t="s">
        <v>1649</v>
      </c>
      <c r="AF188" s="99">
        <v>0</v>
      </c>
    </row>
    <row r="189" spans="1:32" ht="15.75" thickBot="1" x14ac:dyDescent="0.3">
      <c r="A189" s="79" t="s">
        <v>406</v>
      </c>
      <c r="B189" s="93" t="s">
        <v>503</v>
      </c>
      <c r="C189" s="79" t="s">
        <v>25</v>
      </c>
      <c r="D189" s="81">
        <v>7424</v>
      </c>
      <c r="E189" s="81">
        <v>3719</v>
      </c>
      <c r="F189" s="81">
        <v>34385</v>
      </c>
      <c r="G189" s="81">
        <v>72425</v>
      </c>
      <c r="H189" s="81">
        <v>4474</v>
      </c>
      <c r="I189" s="81">
        <v>17497</v>
      </c>
      <c r="J189" s="81">
        <v>3660</v>
      </c>
      <c r="K189" s="81">
        <v>25631</v>
      </c>
      <c r="L189" s="81">
        <v>0</v>
      </c>
      <c r="M189" s="81">
        <v>21971</v>
      </c>
      <c r="N189" s="81">
        <v>3660</v>
      </c>
      <c r="O189" s="81">
        <v>25631</v>
      </c>
      <c r="P189" s="94">
        <f>O189/D189</f>
        <v>3.4524515086206895</v>
      </c>
      <c r="Q189" s="94">
        <f>H189/D189</f>
        <v>0.60264008620689657</v>
      </c>
      <c r="R189" s="94">
        <f>I189/D189</f>
        <v>2.3568157327586206</v>
      </c>
      <c r="S189" s="94">
        <f>J189/D189</f>
        <v>0.49299568965517243</v>
      </c>
      <c r="T189" s="94">
        <f>K189/D189</f>
        <v>3.4524515086206895</v>
      </c>
      <c r="U189" s="94">
        <f>K189/E189</f>
        <v>6.8919064264587258</v>
      </c>
      <c r="V189" s="81">
        <v>1047</v>
      </c>
      <c r="W189" s="79" t="s">
        <v>1648</v>
      </c>
      <c r="X189" s="79" t="s">
        <v>1650</v>
      </c>
      <c r="Y189" s="81">
        <v>1538</v>
      </c>
      <c r="Z189" s="81">
        <v>2126</v>
      </c>
      <c r="AA189" s="81">
        <v>4</v>
      </c>
      <c r="AB189" s="79" t="s">
        <v>1648</v>
      </c>
      <c r="AC189" s="81">
        <v>21314</v>
      </c>
      <c r="AD189" s="79" t="s">
        <v>1649</v>
      </c>
      <c r="AE189" s="79" t="s">
        <v>1648</v>
      </c>
      <c r="AF189" s="81">
        <v>11</v>
      </c>
    </row>
    <row r="190" spans="1:32" ht="15.75" thickBot="1" x14ac:dyDescent="0.3">
      <c r="A190" s="79" t="s">
        <v>410</v>
      </c>
      <c r="B190" s="93" t="s">
        <v>509</v>
      </c>
      <c r="C190" s="79" t="s">
        <v>25</v>
      </c>
      <c r="D190" s="81">
        <v>9765</v>
      </c>
      <c r="E190" s="81">
        <v>4820</v>
      </c>
      <c r="F190" s="81">
        <v>49561</v>
      </c>
      <c r="G190" s="81">
        <v>34792</v>
      </c>
      <c r="H190" s="81">
        <v>8960</v>
      </c>
      <c r="I190" s="81">
        <v>31427</v>
      </c>
      <c r="J190" s="81">
        <v>4758</v>
      </c>
      <c r="K190" s="81">
        <v>45145</v>
      </c>
      <c r="L190" s="81">
        <v>0</v>
      </c>
      <c r="M190" s="81">
        <v>40387</v>
      </c>
      <c r="N190" s="81">
        <v>4758</v>
      </c>
      <c r="O190" s="81">
        <v>45145</v>
      </c>
      <c r="P190" s="94">
        <f>O190/D190</f>
        <v>4.6231438812083976</v>
      </c>
      <c r="Q190" s="94">
        <f>H190/D190</f>
        <v>0.91756272401433692</v>
      </c>
      <c r="R190" s="94">
        <f>I190/D190</f>
        <v>3.218330773169483</v>
      </c>
      <c r="S190" s="94">
        <f>J190/D190</f>
        <v>0.4872503840245776</v>
      </c>
      <c r="T190" s="94">
        <f>K190/D190</f>
        <v>4.6231438812083976</v>
      </c>
      <c r="U190" s="94">
        <f>K190/E190</f>
        <v>9.3661825726141075</v>
      </c>
      <c r="V190" s="81">
        <v>41265</v>
      </c>
      <c r="W190" s="79" t="s">
        <v>1648</v>
      </c>
      <c r="X190" s="79" t="s">
        <v>1650</v>
      </c>
      <c r="Y190" s="81">
        <v>6247</v>
      </c>
      <c r="Z190" s="81">
        <v>6648</v>
      </c>
      <c r="AA190" s="81">
        <v>13586</v>
      </c>
      <c r="AB190" s="79" t="s">
        <v>1648</v>
      </c>
      <c r="AC190" s="81">
        <v>13121</v>
      </c>
      <c r="AD190" s="79" t="s">
        <v>1648</v>
      </c>
      <c r="AE190" s="79" t="s">
        <v>1648</v>
      </c>
      <c r="AF190" s="81">
        <v>95</v>
      </c>
    </row>
    <row r="191" spans="1:32" ht="15.75" thickBot="1" x14ac:dyDescent="0.3">
      <c r="A191" s="79" t="s">
        <v>412</v>
      </c>
      <c r="B191" s="93" t="s">
        <v>519</v>
      </c>
      <c r="C191" s="79" t="s">
        <v>25</v>
      </c>
      <c r="D191" s="81">
        <v>9623</v>
      </c>
      <c r="E191" s="81">
        <v>3014</v>
      </c>
      <c r="F191" s="81">
        <v>20802</v>
      </c>
      <c r="G191" s="81">
        <v>4351</v>
      </c>
      <c r="H191" s="81">
        <v>4828</v>
      </c>
      <c r="I191" s="81">
        <v>16207</v>
      </c>
      <c r="J191" s="81">
        <v>5133</v>
      </c>
      <c r="K191" s="81">
        <v>26168</v>
      </c>
      <c r="L191" s="81">
        <v>7588</v>
      </c>
      <c r="M191" s="81">
        <v>21035</v>
      </c>
      <c r="N191" s="81">
        <v>12721</v>
      </c>
      <c r="O191" s="81">
        <v>33756</v>
      </c>
      <c r="P191" s="94">
        <f>O191/D191</f>
        <v>3.5078457861373793</v>
      </c>
      <c r="Q191" s="94">
        <f>H191/D191</f>
        <v>0.50171464200353322</v>
      </c>
      <c r="R191" s="94">
        <f>I191/D191</f>
        <v>1.6841941182583393</v>
      </c>
      <c r="S191" s="94">
        <f>J191/D191</f>
        <v>0.53340953964460147</v>
      </c>
      <c r="T191" s="94">
        <f>K191/D191</f>
        <v>2.7193182999064742</v>
      </c>
      <c r="U191" s="94">
        <f>K191/E191</f>
        <v>8.6821499668215001</v>
      </c>
      <c r="V191" s="81">
        <v>10284</v>
      </c>
      <c r="W191" s="79" t="s">
        <v>1648</v>
      </c>
      <c r="X191" s="79" t="s">
        <v>1650</v>
      </c>
      <c r="Y191" s="81">
        <v>2512</v>
      </c>
      <c r="Z191" s="81">
        <v>1833</v>
      </c>
      <c r="AA191" s="81">
        <v>1133</v>
      </c>
      <c r="AB191" s="79" t="s">
        <v>1648</v>
      </c>
      <c r="AC191" s="81">
        <v>1525</v>
      </c>
      <c r="AD191" s="79" t="s">
        <v>1648</v>
      </c>
      <c r="AE191" s="79" t="s">
        <v>1649</v>
      </c>
      <c r="AF191" s="95">
        <v>0</v>
      </c>
    </row>
    <row r="192" spans="1:32" ht="15.75" thickBot="1" x14ac:dyDescent="0.3">
      <c r="A192" s="79" t="s">
        <v>414</v>
      </c>
      <c r="B192" s="93" t="s">
        <v>523</v>
      </c>
      <c r="C192" s="79" t="s">
        <v>25</v>
      </c>
      <c r="D192" s="81">
        <v>7656</v>
      </c>
      <c r="E192" s="81">
        <v>2874</v>
      </c>
      <c r="F192" s="81">
        <v>11353</v>
      </c>
      <c r="G192" s="81">
        <v>4178</v>
      </c>
      <c r="H192" s="81">
        <v>2845</v>
      </c>
      <c r="I192" s="81">
        <v>6552</v>
      </c>
      <c r="J192" s="81">
        <v>4477</v>
      </c>
      <c r="K192" s="81">
        <v>13874</v>
      </c>
      <c r="L192" s="81">
        <v>17</v>
      </c>
      <c r="M192" s="81">
        <v>9397</v>
      </c>
      <c r="N192" s="81">
        <v>4494</v>
      </c>
      <c r="O192" s="81">
        <v>13891</v>
      </c>
      <c r="P192" s="94">
        <f>O192/D192</f>
        <v>1.8143939393939394</v>
      </c>
      <c r="Q192" s="94">
        <f>H192/D192</f>
        <v>0.37160397074190177</v>
      </c>
      <c r="R192" s="94">
        <f>I192/D192</f>
        <v>0.85579937304075238</v>
      </c>
      <c r="S192" s="94">
        <f>J192/D192</f>
        <v>0.58477011494252873</v>
      </c>
      <c r="T192" s="94">
        <f>K192/D192</f>
        <v>1.8121734587251828</v>
      </c>
      <c r="U192" s="94">
        <f>K192/E192</f>
        <v>4.8274182324286707</v>
      </c>
      <c r="V192" s="81">
        <v>2475</v>
      </c>
      <c r="W192" s="79" t="s">
        <v>1648</v>
      </c>
      <c r="X192" s="79" t="s">
        <v>1650</v>
      </c>
      <c r="Y192" s="81">
        <v>1285</v>
      </c>
      <c r="Z192" s="81">
        <v>1397</v>
      </c>
      <c r="AA192" s="81">
        <v>2194</v>
      </c>
      <c r="AB192" s="79" t="s">
        <v>1648</v>
      </c>
      <c r="AC192" s="81">
        <v>3134</v>
      </c>
      <c r="AD192" s="79" t="s">
        <v>1648</v>
      </c>
      <c r="AE192" s="79" t="s">
        <v>1649</v>
      </c>
      <c r="AF192" s="95">
        <v>0</v>
      </c>
    </row>
    <row r="193" spans="1:32" ht="15.75" thickBot="1" x14ac:dyDescent="0.3">
      <c r="A193" s="79" t="s">
        <v>408</v>
      </c>
      <c r="B193" s="93" t="s">
        <v>535</v>
      </c>
      <c r="C193" s="79" t="s">
        <v>25</v>
      </c>
      <c r="D193" s="81">
        <v>8354</v>
      </c>
      <c r="E193" s="81">
        <v>8112</v>
      </c>
      <c r="F193" s="81">
        <v>8220</v>
      </c>
      <c r="G193" s="81">
        <v>27560</v>
      </c>
      <c r="H193" s="81">
        <v>16556</v>
      </c>
      <c r="I193" s="81">
        <v>25476</v>
      </c>
      <c r="J193" s="81">
        <v>7660</v>
      </c>
      <c r="K193" s="81">
        <v>49692</v>
      </c>
      <c r="L193" s="81">
        <v>3286</v>
      </c>
      <c r="M193" s="81">
        <v>42032</v>
      </c>
      <c r="N193" s="81">
        <v>10946</v>
      </c>
      <c r="O193" s="81">
        <v>52978</v>
      </c>
      <c r="P193" s="94">
        <f>O193/D193</f>
        <v>6.3416327507780705</v>
      </c>
      <c r="Q193" s="94">
        <f>H193/D193</f>
        <v>1.9818051232942304</v>
      </c>
      <c r="R193" s="94">
        <f>I193/D193</f>
        <v>3.0495570983959781</v>
      </c>
      <c r="S193" s="94">
        <f>J193/D193</f>
        <v>0.91692602346181473</v>
      </c>
      <c r="T193" s="94">
        <f>K193/D193</f>
        <v>5.9482882451520229</v>
      </c>
      <c r="U193" s="94">
        <f>K193/E193</f>
        <v>6.1257396449704142</v>
      </c>
      <c r="V193" s="81">
        <v>6592</v>
      </c>
      <c r="W193" s="79" t="s">
        <v>1648</v>
      </c>
      <c r="X193" s="79" t="s">
        <v>1650</v>
      </c>
      <c r="Y193" s="81">
        <v>1778</v>
      </c>
      <c r="Z193" s="81">
        <v>2064</v>
      </c>
      <c r="AA193" s="81">
        <v>16250</v>
      </c>
      <c r="AB193" s="79" t="s">
        <v>1648</v>
      </c>
      <c r="AC193" s="81">
        <v>65500</v>
      </c>
      <c r="AD193" s="79" t="s">
        <v>1648</v>
      </c>
      <c r="AE193" s="79" t="s">
        <v>1648</v>
      </c>
      <c r="AF193" s="81">
        <v>468</v>
      </c>
    </row>
    <row r="194" spans="1:32" ht="15.75" thickBot="1" x14ac:dyDescent="0.3">
      <c r="A194" s="79" t="s">
        <v>417</v>
      </c>
      <c r="B194" s="93" t="s">
        <v>553</v>
      </c>
      <c r="C194" s="79" t="s">
        <v>25</v>
      </c>
      <c r="D194" s="81">
        <v>8640</v>
      </c>
      <c r="E194" s="81">
        <v>4430</v>
      </c>
      <c r="F194" s="81">
        <v>19889</v>
      </c>
      <c r="G194" s="81">
        <v>0</v>
      </c>
      <c r="H194" s="81">
        <v>0</v>
      </c>
      <c r="I194" s="81">
        <v>16812</v>
      </c>
      <c r="J194" s="81">
        <v>3838</v>
      </c>
      <c r="K194" s="81">
        <v>20650</v>
      </c>
      <c r="L194" s="81">
        <v>0</v>
      </c>
      <c r="M194" s="81">
        <v>16812</v>
      </c>
      <c r="N194" s="81">
        <v>3838</v>
      </c>
      <c r="O194" s="81">
        <v>20650</v>
      </c>
      <c r="P194" s="94">
        <f>O194/D194</f>
        <v>2.3900462962962963</v>
      </c>
      <c r="Q194" s="94">
        <f>H194/D194</f>
        <v>0</v>
      </c>
      <c r="R194" s="94">
        <f>I194/D194</f>
        <v>1.9458333333333333</v>
      </c>
      <c r="S194" s="94">
        <f>J194/D194</f>
        <v>0.44421296296296298</v>
      </c>
      <c r="T194" s="94">
        <f>K194/D194</f>
        <v>2.3900462962962963</v>
      </c>
      <c r="U194" s="94">
        <f>K194/E194</f>
        <v>4.6613995485327315</v>
      </c>
      <c r="V194" s="81">
        <v>1250</v>
      </c>
      <c r="W194" s="79" t="s">
        <v>1648</v>
      </c>
      <c r="X194" s="79" t="s">
        <v>1650</v>
      </c>
      <c r="Y194" s="81">
        <v>2935</v>
      </c>
      <c r="Z194" s="81">
        <v>7211</v>
      </c>
      <c r="AA194" s="81">
        <v>1854</v>
      </c>
      <c r="AB194" s="79" t="s">
        <v>1648</v>
      </c>
      <c r="AC194" s="81">
        <v>0</v>
      </c>
      <c r="AD194" s="79" t="s">
        <v>1648</v>
      </c>
      <c r="AE194" s="79" t="s">
        <v>1649</v>
      </c>
      <c r="AF194" s="95">
        <v>0</v>
      </c>
    </row>
    <row r="195" spans="1:32" ht="15.75" thickBot="1" x14ac:dyDescent="0.3">
      <c r="A195" s="96" t="s">
        <v>419</v>
      </c>
      <c r="B195" s="93" t="s">
        <v>563</v>
      </c>
      <c r="C195" s="79" t="s">
        <v>25</v>
      </c>
      <c r="D195" s="81">
        <v>9969</v>
      </c>
      <c r="E195" s="81">
        <v>3644</v>
      </c>
      <c r="F195" s="81">
        <v>50332</v>
      </c>
      <c r="G195" s="81">
        <v>14782</v>
      </c>
      <c r="H195" s="81">
        <v>9027</v>
      </c>
      <c r="I195" s="81">
        <v>25554</v>
      </c>
      <c r="J195" s="81">
        <v>10841</v>
      </c>
      <c r="K195" s="81">
        <v>45422</v>
      </c>
      <c r="L195" s="81">
        <v>0</v>
      </c>
      <c r="M195" s="81">
        <v>34581</v>
      </c>
      <c r="N195" s="81">
        <v>10841</v>
      </c>
      <c r="O195" s="81">
        <v>45422</v>
      </c>
      <c r="P195" s="94">
        <f>O195/D195</f>
        <v>4.5563246062794667</v>
      </c>
      <c r="Q195" s="94">
        <f>H195/D195</f>
        <v>0.9055070719229612</v>
      </c>
      <c r="R195" s="94">
        <f>I195/D195</f>
        <v>2.5633463737586517</v>
      </c>
      <c r="S195" s="94">
        <f>J195/D195</f>
        <v>1.0874711605978533</v>
      </c>
      <c r="T195" s="94">
        <f>K195/D195</f>
        <v>4.5563246062794667</v>
      </c>
      <c r="U195" s="94">
        <f>K195/E195</f>
        <v>12.464873765093303</v>
      </c>
      <c r="V195" s="81">
        <v>9277</v>
      </c>
      <c r="W195" s="79" t="s">
        <v>1648</v>
      </c>
      <c r="X195" s="79" t="s">
        <v>1650</v>
      </c>
      <c r="Y195" s="81">
        <v>710</v>
      </c>
      <c r="Z195" s="81">
        <v>832</v>
      </c>
      <c r="AA195" s="81">
        <v>2986</v>
      </c>
      <c r="AB195" s="79" t="s">
        <v>1648</v>
      </c>
      <c r="AC195" s="81">
        <v>17133</v>
      </c>
      <c r="AD195" s="79" t="s">
        <v>1648</v>
      </c>
      <c r="AE195" s="79" t="s">
        <v>1649</v>
      </c>
      <c r="AF195" s="95">
        <v>0</v>
      </c>
    </row>
    <row r="196" spans="1:32" ht="15.75" thickBot="1" x14ac:dyDescent="0.3">
      <c r="A196" s="79" t="s">
        <v>421</v>
      </c>
      <c r="B196" s="93" t="s">
        <v>567</v>
      </c>
      <c r="C196" s="79" t="s">
        <v>25</v>
      </c>
      <c r="D196" s="81">
        <v>7034</v>
      </c>
      <c r="E196" s="81">
        <v>4299</v>
      </c>
      <c r="F196" s="81">
        <v>25278</v>
      </c>
      <c r="G196" s="81">
        <v>7689</v>
      </c>
      <c r="H196" s="81">
        <v>51645</v>
      </c>
      <c r="I196" s="81">
        <v>21148</v>
      </c>
      <c r="J196" s="81">
        <v>9507</v>
      </c>
      <c r="K196" s="81">
        <v>82300</v>
      </c>
      <c r="L196" s="81">
        <v>9612</v>
      </c>
      <c r="M196" s="81">
        <v>72793</v>
      </c>
      <c r="N196" s="81">
        <v>19119</v>
      </c>
      <c r="O196" s="81">
        <v>91912</v>
      </c>
      <c r="P196" s="94">
        <f>O196/D196</f>
        <v>13.066818311060564</v>
      </c>
      <c r="Q196" s="94">
        <f>H196/D196</f>
        <v>7.3421950526016495</v>
      </c>
      <c r="R196" s="94">
        <f>I196/D196</f>
        <v>3.0065396644867786</v>
      </c>
      <c r="S196" s="94">
        <f>J196/D196</f>
        <v>1.3515780494739835</v>
      </c>
      <c r="T196" s="94">
        <f>K196/D196</f>
        <v>11.70031276656241</v>
      </c>
      <c r="U196" s="94">
        <f>K196/E196</f>
        <v>19.143986973714817</v>
      </c>
      <c r="V196" s="81">
        <v>4189</v>
      </c>
      <c r="W196" s="79" t="s">
        <v>1648</v>
      </c>
      <c r="X196" s="79" t="s">
        <v>1651</v>
      </c>
      <c r="Y196" s="81">
        <v>4895</v>
      </c>
      <c r="Z196" s="81">
        <v>7177</v>
      </c>
      <c r="AA196" s="81">
        <v>934</v>
      </c>
      <c r="AB196" s="79" t="s">
        <v>1648</v>
      </c>
      <c r="AC196" s="81">
        <v>5497</v>
      </c>
      <c r="AD196" s="79" t="s">
        <v>1648</v>
      </c>
      <c r="AE196" s="79" t="s">
        <v>1648</v>
      </c>
      <c r="AF196" s="81">
        <v>130</v>
      </c>
    </row>
    <row r="197" spans="1:32" ht="15.75" thickBot="1" x14ac:dyDescent="0.3">
      <c r="A197" s="79" t="s">
        <v>423</v>
      </c>
      <c r="B197" s="93" t="s">
        <v>575</v>
      </c>
      <c r="C197" s="79" t="s">
        <v>25</v>
      </c>
      <c r="D197" s="81">
        <v>8833</v>
      </c>
      <c r="E197" s="81">
        <v>5514</v>
      </c>
      <c r="F197" s="81">
        <v>48788</v>
      </c>
      <c r="G197" s="81">
        <v>48341</v>
      </c>
      <c r="H197" s="81">
        <v>11211</v>
      </c>
      <c r="I197" s="81">
        <v>37012</v>
      </c>
      <c r="J197" s="81">
        <v>9312</v>
      </c>
      <c r="K197" s="81">
        <v>57535</v>
      </c>
      <c r="L197" s="81">
        <v>0</v>
      </c>
      <c r="M197" s="81">
        <v>48223</v>
      </c>
      <c r="N197" s="81">
        <v>9312</v>
      </c>
      <c r="O197" s="81">
        <v>57535</v>
      </c>
      <c r="P197" s="94">
        <f>O197/D197</f>
        <v>6.5136420242273294</v>
      </c>
      <c r="Q197" s="94">
        <f>H197/D197</f>
        <v>1.2692177063285408</v>
      </c>
      <c r="R197" s="94">
        <f>I197/D197</f>
        <v>4.1901958564474135</v>
      </c>
      <c r="S197" s="94">
        <f>J197/D197</f>
        <v>1.0542284614513755</v>
      </c>
      <c r="T197" s="94">
        <f>K197/D197</f>
        <v>6.5136420242273294</v>
      </c>
      <c r="U197" s="94">
        <f>K197/E197</f>
        <v>10.434348929996373</v>
      </c>
      <c r="V197" s="81">
        <v>5942</v>
      </c>
      <c r="W197" s="79" t="s">
        <v>1648</v>
      </c>
      <c r="X197" s="79" t="s">
        <v>1650</v>
      </c>
      <c r="Y197" s="81">
        <v>3269</v>
      </c>
      <c r="Z197" s="81">
        <v>4954</v>
      </c>
      <c r="AA197" s="81">
        <v>6012</v>
      </c>
      <c r="AB197" s="79" t="s">
        <v>1648</v>
      </c>
      <c r="AC197" s="81">
        <v>18421</v>
      </c>
      <c r="AD197" s="79" t="s">
        <v>1648</v>
      </c>
      <c r="AE197" s="79" t="s">
        <v>1648</v>
      </c>
      <c r="AF197" s="81">
        <v>54</v>
      </c>
    </row>
    <row r="198" spans="1:32" ht="15.75" thickBot="1" x14ac:dyDescent="0.3">
      <c r="A198" s="79" t="s">
        <v>425</v>
      </c>
      <c r="B198" s="93" t="s">
        <v>583</v>
      </c>
      <c r="C198" s="79" t="s">
        <v>25</v>
      </c>
      <c r="D198" s="81">
        <v>11503</v>
      </c>
      <c r="E198" s="81">
        <v>14632</v>
      </c>
      <c r="F198" s="81">
        <v>111436</v>
      </c>
      <c r="G198" s="81">
        <v>845101</v>
      </c>
      <c r="H198" s="81">
        <v>33101</v>
      </c>
      <c r="I198" s="81">
        <v>49501</v>
      </c>
      <c r="J198" s="81">
        <v>15502</v>
      </c>
      <c r="K198" s="81">
        <v>98104</v>
      </c>
      <c r="L198" s="81">
        <v>17803</v>
      </c>
      <c r="M198" s="81">
        <v>82602</v>
      </c>
      <c r="N198" s="81">
        <v>33305</v>
      </c>
      <c r="O198" s="81">
        <v>115907</v>
      </c>
      <c r="P198" s="94">
        <f>O198/D198</f>
        <v>10.076240980613752</v>
      </c>
      <c r="Q198" s="94">
        <f>H198/D198</f>
        <v>2.8775971485699383</v>
      </c>
      <c r="R198" s="94">
        <f>I198/D198</f>
        <v>4.3033121794314528</v>
      </c>
      <c r="S198" s="94">
        <f>J198/D198</f>
        <v>1.3476484395375119</v>
      </c>
      <c r="T198" s="94">
        <f>K198/D198</f>
        <v>8.5285577675389028</v>
      </c>
      <c r="U198" s="94">
        <f>K198/E198</f>
        <v>6.704756697648989</v>
      </c>
      <c r="V198" s="81">
        <v>123801</v>
      </c>
      <c r="W198" s="79" t="s">
        <v>1648</v>
      </c>
      <c r="X198" s="79" t="s">
        <v>1650</v>
      </c>
      <c r="Y198" s="81">
        <v>2788</v>
      </c>
      <c r="Z198" s="81">
        <v>3466</v>
      </c>
      <c r="AA198" s="81">
        <v>64997</v>
      </c>
      <c r="AB198" s="79" t="s">
        <v>1648</v>
      </c>
      <c r="AC198" s="81">
        <v>0</v>
      </c>
      <c r="AD198" s="79" t="s">
        <v>1648</v>
      </c>
      <c r="AE198" s="79" t="s">
        <v>1648</v>
      </c>
      <c r="AF198" s="81">
        <v>119</v>
      </c>
    </row>
    <row r="199" spans="1:32" ht="15.75" thickBot="1" x14ac:dyDescent="0.3">
      <c r="A199" s="79" t="s">
        <v>427</v>
      </c>
      <c r="B199" s="93" t="s">
        <v>609</v>
      </c>
      <c r="C199" s="79" t="s">
        <v>25</v>
      </c>
      <c r="D199" s="81">
        <v>8891</v>
      </c>
      <c r="E199" s="81">
        <v>4466</v>
      </c>
      <c r="F199" s="81">
        <v>34736</v>
      </c>
      <c r="G199" s="81">
        <v>5960</v>
      </c>
      <c r="H199" s="81">
        <v>2462</v>
      </c>
      <c r="I199" s="81">
        <v>8092</v>
      </c>
      <c r="J199" s="81">
        <v>4301</v>
      </c>
      <c r="K199" s="81">
        <v>14855</v>
      </c>
      <c r="L199" s="81">
        <v>2700</v>
      </c>
      <c r="M199" s="81">
        <v>10554</v>
      </c>
      <c r="N199" s="81">
        <v>7001</v>
      </c>
      <c r="O199" s="81">
        <v>17555</v>
      </c>
      <c r="P199" s="94">
        <f>O199/D199</f>
        <v>1.9744685637161175</v>
      </c>
      <c r="Q199" s="94">
        <f>H199/D199</f>
        <v>0.27690923405691148</v>
      </c>
      <c r="R199" s="94">
        <f>I199/D199</f>
        <v>0.91013384321223711</v>
      </c>
      <c r="S199" s="94">
        <f>J199/D199</f>
        <v>0.4837476099426386</v>
      </c>
      <c r="T199" s="94">
        <f>K199/D199</f>
        <v>1.6707906872117873</v>
      </c>
      <c r="U199" s="94">
        <f>K199/E199</f>
        <v>3.3262427227944471</v>
      </c>
      <c r="V199" s="81">
        <v>500</v>
      </c>
      <c r="W199" s="79" t="s">
        <v>1648</v>
      </c>
      <c r="X199" s="79" t="s">
        <v>1650</v>
      </c>
      <c r="Y199" s="81">
        <v>668</v>
      </c>
      <c r="Z199" s="81">
        <v>2234</v>
      </c>
      <c r="AA199" s="81">
        <v>4766</v>
      </c>
      <c r="AB199" s="79" t="s">
        <v>1648</v>
      </c>
      <c r="AC199" s="81">
        <v>675</v>
      </c>
      <c r="AD199" s="79" t="s">
        <v>1648</v>
      </c>
      <c r="AE199" s="79" t="s">
        <v>1649</v>
      </c>
      <c r="AF199" s="95">
        <v>0</v>
      </c>
    </row>
    <row r="200" spans="1:32" ht="15.75" thickBot="1" x14ac:dyDescent="0.3">
      <c r="A200" s="79" t="s">
        <v>429</v>
      </c>
      <c r="B200" s="93" t="s">
        <v>617</v>
      </c>
      <c r="C200" s="79" t="s">
        <v>25</v>
      </c>
      <c r="D200" s="81">
        <v>8543</v>
      </c>
      <c r="E200" s="81">
        <v>3292</v>
      </c>
      <c r="F200" s="81">
        <v>19908</v>
      </c>
      <c r="G200" s="81">
        <v>-1</v>
      </c>
      <c r="H200" s="81">
        <v>8738</v>
      </c>
      <c r="I200" s="81">
        <v>13072</v>
      </c>
      <c r="J200" s="81">
        <v>3316</v>
      </c>
      <c r="K200" s="81">
        <v>25126</v>
      </c>
      <c r="L200" s="81">
        <v>2101</v>
      </c>
      <c r="M200" s="81">
        <v>21810</v>
      </c>
      <c r="N200" s="81">
        <v>5417</v>
      </c>
      <c r="O200" s="81">
        <v>27227</v>
      </c>
      <c r="P200" s="94">
        <f>O200/D200</f>
        <v>3.1870537281985252</v>
      </c>
      <c r="Q200" s="94">
        <f>H200/D200</f>
        <v>1.022825705255765</v>
      </c>
      <c r="R200" s="94">
        <f>I200/D200</f>
        <v>1.5301416364274845</v>
      </c>
      <c r="S200" s="94">
        <f>J200/D200</f>
        <v>0.38815404424675171</v>
      </c>
      <c r="T200" s="94">
        <f>K200/D200</f>
        <v>2.9411213859300012</v>
      </c>
      <c r="U200" s="94">
        <f>K200/E200</f>
        <v>7.6324422843256379</v>
      </c>
      <c r="V200" s="81">
        <v>3500</v>
      </c>
      <c r="W200" s="79" t="s">
        <v>1648</v>
      </c>
      <c r="X200" s="79" t="s">
        <v>1650</v>
      </c>
      <c r="Y200" s="81">
        <v>1781</v>
      </c>
      <c r="Z200" s="81">
        <v>3187</v>
      </c>
      <c r="AA200" s="81">
        <v>2143</v>
      </c>
      <c r="AB200" s="79" t="s">
        <v>1648</v>
      </c>
      <c r="AC200" s="81">
        <v>8101</v>
      </c>
      <c r="AD200" s="79" t="s">
        <v>1648</v>
      </c>
      <c r="AE200" s="79" t="s">
        <v>1649</v>
      </c>
      <c r="AF200" s="95">
        <v>0</v>
      </c>
    </row>
    <row r="201" spans="1:32" ht="15.75" thickBot="1" x14ac:dyDescent="0.3">
      <c r="A201" s="79" t="s">
        <v>431</v>
      </c>
      <c r="B201" s="93" t="s">
        <v>625</v>
      </c>
      <c r="C201" s="79" t="s">
        <v>25</v>
      </c>
      <c r="D201" s="81">
        <v>7580</v>
      </c>
      <c r="E201" s="81">
        <v>3503</v>
      </c>
      <c r="F201" s="81">
        <v>34016</v>
      </c>
      <c r="G201" s="81">
        <v>75798</v>
      </c>
      <c r="H201" s="81">
        <v>23080</v>
      </c>
      <c r="I201" s="81">
        <v>25761</v>
      </c>
      <c r="J201" s="81">
        <v>10417</v>
      </c>
      <c r="K201" s="81">
        <v>59258</v>
      </c>
      <c r="L201" s="81">
        <v>3857</v>
      </c>
      <c r="M201" s="81">
        <v>48841</v>
      </c>
      <c r="N201" s="81">
        <v>14274</v>
      </c>
      <c r="O201" s="81">
        <v>63115</v>
      </c>
      <c r="P201" s="94">
        <f>O201/D201</f>
        <v>8.3265171503957784</v>
      </c>
      <c r="Q201" s="94">
        <f>H201/D201</f>
        <v>3.0448548812664908</v>
      </c>
      <c r="R201" s="94">
        <f>I201/D201</f>
        <v>3.3985488126649077</v>
      </c>
      <c r="S201" s="94">
        <f>J201/D201</f>
        <v>1.3742744063324539</v>
      </c>
      <c r="T201" s="94">
        <f>K201/D201</f>
        <v>7.8176781002638522</v>
      </c>
      <c r="U201" s="94">
        <f>K201/E201</f>
        <v>16.916357407936054</v>
      </c>
      <c r="V201" s="81">
        <v>1200</v>
      </c>
      <c r="W201" s="79" t="s">
        <v>1648</v>
      </c>
      <c r="X201" s="79" t="s">
        <v>1650</v>
      </c>
      <c r="Y201" s="81">
        <v>1684</v>
      </c>
      <c r="Z201" s="81">
        <v>1846</v>
      </c>
      <c r="AA201" s="81">
        <v>938</v>
      </c>
      <c r="AB201" s="79" t="s">
        <v>1648</v>
      </c>
      <c r="AC201" s="81">
        <v>3803</v>
      </c>
      <c r="AD201" s="79" t="s">
        <v>1649</v>
      </c>
      <c r="AE201" s="79" t="s">
        <v>1649</v>
      </c>
      <c r="AF201" s="95">
        <v>0</v>
      </c>
    </row>
    <row r="202" spans="1:32" ht="15.75" thickBot="1" x14ac:dyDescent="0.3">
      <c r="A202" s="79" t="s">
        <v>433</v>
      </c>
      <c r="B202" s="93" t="s">
        <v>633</v>
      </c>
      <c r="C202" s="79" t="s">
        <v>25</v>
      </c>
      <c r="D202" s="81">
        <v>7903</v>
      </c>
      <c r="E202" s="81">
        <v>1627</v>
      </c>
      <c r="F202" s="81">
        <v>9620</v>
      </c>
      <c r="G202" s="81">
        <v>33203</v>
      </c>
      <c r="H202" s="81">
        <v>8407</v>
      </c>
      <c r="I202" s="81">
        <v>11122</v>
      </c>
      <c r="J202" s="81">
        <v>280</v>
      </c>
      <c r="K202" s="81">
        <v>19809</v>
      </c>
      <c r="L202" s="77" t="s">
        <v>1660</v>
      </c>
      <c r="M202" s="81">
        <v>19529</v>
      </c>
      <c r="N202" s="81">
        <v>280</v>
      </c>
      <c r="O202" s="81">
        <v>19809</v>
      </c>
      <c r="P202" s="94">
        <f>O202/D202</f>
        <v>2.50651651271669</v>
      </c>
      <c r="Q202" s="94">
        <f>H202/D202</f>
        <v>1.0637732506643047</v>
      </c>
      <c r="R202" s="94">
        <f>I202/D202</f>
        <v>1.4073136783499938</v>
      </c>
      <c r="S202" s="94">
        <f>J202/D202</f>
        <v>3.54295837023915E-2</v>
      </c>
      <c r="T202" s="94">
        <f>K202/D202</f>
        <v>2.50651651271669</v>
      </c>
      <c r="U202" s="94">
        <f>K202/E202</f>
        <v>12.175169022741242</v>
      </c>
      <c r="V202" s="81">
        <v>1814</v>
      </c>
      <c r="W202" s="79" t="s">
        <v>1649</v>
      </c>
      <c r="X202" s="79" t="s">
        <v>1651</v>
      </c>
      <c r="Y202" s="81">
        <v>6992</v>
      </c>
      <c r="Z202" s="81">
        <v>508</v>
      </c>
      <c r="AA202" s="81">
        <v>3417</v>
      </c>
      <c r="AB202" s="79" t="s">
        <v>1648</v>
      </c>
      <c r="AC202" s="81">
        <v>456</v>
      </c>
      <c r="AD202" s="79" t="s">
        <v>1649</v>
      </c>
      <c r="AE202" s="79" t="s">
        <v>1649</v>
      </c>
      <c r="AF202" s="77">
        <v>0</v>
      </c>
    </row>
    <row r="203" spans="1:32" ht="15.75" thickBot="1" x14ac:dyDescent="0.3">
      <c r="A203" s="79" t="s">
        <v>435</v>
      </c>
      <c r="B203" s="93" t="s">
        <v>649</v>
      </c>
      <c r="C203" s="79" t="s">
        <v>25</v>
      </c>
      <c r="D203" s="81">
        <v>11480</v>
      </c>
      <c r="E203" s="81">
        <v>5108</v>
      </c>
      <c r="F203" s="81">
        <v>40221</v>
      </c>
      <c r="G203" s="81">
        <v>15000</v>
      </c>
      <c r="H203" s="81">
        <v>17297</v>
      </c>
      <c r="I203" s="81">
        <v>23718</v>
      </c>
      <c r="J203" s="81">
        <v>6944</v>
      </c>
      <c r="K203" s="81">
        <v>47959</v>
      </c>
      <c r="L203" s="81">
        <v>0</v>
      </c>
      <c r="M203" s="81">
        <v>41015</v>
      </c>
      <c r="N203" s="81">
        <v>6944</v>
      </c>
      <c r="O203" s="81">
        <v>47959</v>
      </c>
      <c r="P203" s="94">
        <f>O203/D203</f>
        <v>4.1776132404181183</v>
      </c>
      <c r="Q203" s="94">
        <f>H203/D203</f>
        <v>1.5067073170731706</v>
      </c>
      <c r="R203" s="94">
        <f>I203/D203</f>
        <v>2.06602787456446</v>
      </c>
      <c r="S203" s="94">
        <f>J203/D203</f>
        <v>0.60487804878048779</v>
      </c>
      <c r="T203" s="94">
        <f>K203/D203</f>
        <v>4.1776132404181183</v>
      </c>
      <c r="U203" s="94">
        <f>K203/E203</f>
        <v>9.3889976507439314</v>
      </c>
      <c r="V203" s="81">
        <v>15912</v>
      </c>
      <c r="W203" s="79" t="s">
        <v>1648</v>
      </c>
      <c r="X203" s="79" t="s">
        <v>1650</v>
      </c>
      <c r="Y203" s="81">
        <v>3850</v>
      </c>
      <c r="Z203" s="81">
        <v>7954</v>
      </c>
      <c r="AA203" s="81">
        <v>6431</v>
      </c>
      <c r="AB203" s="79" t="s">
        <v>1648</v>
      </c>
      <c r="AC203" s="81">
        <v>4123</v>
      </c>
      <c r="AD203" s="79" t="s">
        <v>1648</v>
      </c>
      <c r="AE203" s="79" t="s">
        <v>1649</v>
      </c>
      <c r="AF203" s="95">
        <v>0</v>
      </c>
    </row>
    <row r="204" spans="1:32" ht="15.75" thickBot="1" x14ac:dyDescent="0.3">
      <c r="A204" s="79" t="s">
        <v>437</v>
      </c>
      <c r="B204" s="93" t="s">
        <v>651</v>
      </c>
      <c r="C204" s="79" t="s">
        <v>25</v>
      </c>
      <c r="D204" s="81">
        <v>7798</v>
      </c>
      <c r="E204" s="81">
        <v>2721</v>
      </c>
      <c r="F204" s="81">
        <v>26428</v>
      </c>
      <c r="G204" s="81">
        <v>6366</v>
      </c>
      <c r="H204" s="81">
        <v>9790</v>
      </c>
      <c r="I204" s="81">
        <v>9790</v>
      </c>
      <c r="J204" s="81">
        <v>4420</v>
      </c>
      <c r="K204" s="81">
        <v>24000</v>
      </c>
      <c r="L204" s="81">
        <v>0</v>
      </c>
      <c r="M204" s="81">
        <v>19580</v>
      </c>
      <c r="N204" s="81">
        <v>4420</v>
      </c>
      <c r="O204" s="81">
        <v>24000</v>
      </c>
      <c r="P204" s="94">
        <f>O204/D204</f>
        <v>3.0777122339061296</v>
      </c>
      <c r="Q204" s="94">
        <f>H204/D204</f>
        <v>1.2554501154142088</v>
      </c>
      <c r="R204" s="94">
        <f>I204/D204</f>
        <v>1.2554501154142088</v>
      </c>
      <c r="S204" s="94">
        <f>J204/D204</f>
        <v>0.56681200307771218</v>
      </c>
      <c r="T204" s="94">
        <f>K204/D204</f>
        <v>3.0777122339061296</v>
      </c>
      <c r="U204" s="94">
        <f>K204/E204</f>
        <v>8.8202866593164284</v>
      </c>
      <c r="V204" s="81">
        <v>3964</v>
      </c>
      <c r="W204" s="79" t="s">
        <v>1649</v>
      </c>
      <c r="X204" s="79" t="s">
        <v>1650</v>
      </c>
      <c r="Y204" s="81">
        <v>2492</v>
      </c>
      <c r="Z204" s="81">
        <v>3180</v>
      </c>
      <c r="AA204" s="81">
        <v>1438</v>
      </c>
      <c r="AB204" s="79" t="s">
        <v>1648</v>
      </c>
      <c r="AC204" s="81">
        <v>4000</v>
      </c>
      <c r="AD204" s="79" t="s">
        <v>1649</v>
      </c>
      <c r="AE204" s="79" t="s">
        <v>1649</v>
      </c>
      <c r="AF204" s="95">
        <v>0</v>
      </c>
    </row>
    <row r="205" spans="1:32" ht="15.75" thickBot="1" x14ac:dyDescent="0.3">
      <c r="A205" s="79" t="s">
        <v>439</v>
      </c>
      <c r="B205" s="93" t="s">
        <v>659</v>
      </c>
      <c r="C205" s="79" t="s">
        <v>25</v>
      </c>
      <c r="D205" s="81">
        <v>7357</v>
      </c>
      <c r="E205" s="81">
        <v>1744</v>
      </c>
      <c r="F205" s="81">
        <v>12497</v>
      </c>
      <c r="G205" s="81">
        <v>8034</v>
      </c>
      <c r="H205" s="81">
        <v>22751</v>
      </c>
      <c r="I205" s="81">
        <v>21127</v>
      </c>
      <c r="J205" s="81">
        <v>21310</v>
      </c>
      <c r="K205" s="81">
        <v>65188</v>
      </c>
      <c r="L205" s="81">
        <v>0</v>
      </c>
      <c r="M205" s="81">
        <v>43878</v>
      </c>
      <c r="N205" s="81">
        <v>21310</v>
      </c>
      <c r="O205" s="81">
        <v>65188</v>
      </c>
      <c r="P205" s="94">
        <f>O205/D205</f>
        <v>8.8606769063476953</v>
      </c>
      <c r="Q205" s="94">
        <f>H205/D205</f>
        <v>3.0924289792034796</v>
      </c>
      <c r="R205" s="94">
        <f>I205/D205</f>
        <v>2.8716868288704633</v>
      </c>
      <c r="S205" s="94">
        <f>J205/D205</f>
        <v>2.8965610982737529</v>
      </c>
      <c r="T205" s="94">
        <f>K205/D205</f>
        <v>8.8606769063476953</v>
      </c>
      <c r="U205" s="94">
        <f>K205/E205</f>
        <v>37.378440366972477</v>
      </c>
      <c r="V205" s="81">
        <v>4087</v>
      </c>
      <c r="W205" s="79" t="s">
        <v>1649</v>
      </c>
      <c r="X205" s="79" t="s">
        <v>1650</v>
      </c>
      <c r="Y205" s="81">
        <v>2940</v>
      </c>
      <c r="Z205" s="81">
        <v>3499</v>
      </c>
      <c r="AA205" s="81">
        <v>1156</v>
      </c>
      <c r="AB205" s="79" t="s">
        <v>1648</v>
      </c>
      <c r="AC205" s="81">
        <v>3912</v>
      </c>
      <c r="AD205" s="79" t="s">
        <v>1648</v>
      </c>
      <c r="AE205" s="79" t="s">
        <v>1649</v>
      </c>
      <c r="AF205" s="95">
        <v>0</v>
      </c>
    </row>
    <row r="206" spans="1:32" ht="15.75" thickBot="1" x14ac:dyDescent="0.3">
      <c r="A206" s="79" t="s">
        <v>441</v>
      </c>
      <c r="B206" s="93" t="s">
        <v>665</v>
      </c>
      <c r="C206" s="79" t="s">
        <v>25</v>
      </c>
      <c r="D206" s="81">
        <v>7103</v>
      </c>
      <c r="E206" s="81">
        <v>2672</v>
      </c>
      <c r="F206" s="81">
        <v>38000</v>
      </c>
      <c r="G206" s="81">
        <v>0</v>
      </c>
      <c r="H206" s="81">
        <v>32525</v>
      </c>
      <c r="I206" s="81">
        <v>23645</v>
      </c>
      <c r="J206" s="81">
        <v>4522</v>
      </c>
      <c r="K206" s="81">
        <v>60692</v>
      </c>
      <c r="L206" s="81">
        <v>9904</v>
      </c>
      <c r="M206" s="81">
        <v>56170</v>
      </c>
      <c r="N206" s="81">
        <v>14426</v>
      </c>
      <c r="O206" s="81">
        <v>70596</v>
      </c>
      <c r="P206" s="94">
        <f>O206/D206</f>
        <v>9.9388990567365898</v>
      </c>
      <c r="Q206" s="94">
        <f>H206/D206</f>
        <v>4.5790511051668306</v>
      </c>
      <c r="R206" s="94">
        <f>I206/D206</f>
        <v>3.3288751231873857</v>
      </c>
      <c r="S206" s="94">
        <f>J206/D206</f>
        <v>0.63663240884133465</v>
      </c>
      <c r="T206" s="94">
        <f>K206/D206</f>
        <v>8.5445586371955518</v>
      </c>
      <c r="U206" s="94">
        <f>K206/E206</f>
        <v>22.714071856287426</v>
      </c>
      <c r="V206" s="81">
        <v>6500</v>
      </c>
      <c r="W206" s="79" t="s">
        <v>1649</v>
      </c>
      <c r="X206" s="79" t="s">
        <v>1650</v>
      </c>
      <c r="Y206" s="81">
        <v>4752</v>
      </c>
      <c r="Z206" s="81">
        <v>3301</v>
      </c>
      <c r="AA206" s="81">
        <v>4385</v>
      </c>
      <c r="AB206" s="79" t="s">
        <v>1648</v>
      </c>
      <c r="AC206" s="81">
        <v>509701</v>
      </c>
      <c r="AD206" s="79" t="s">
        <v>1649</v>
      </c>
      <c r="AE206" s="79" t="s">
        <v>1649</v>
      </c>
      <c r="AF206" s="95">
        <v>0</v>
      </c>
    </row>
    <row r="207" spans="1:32" ht="15.75" thickBot="1" x14ac:dyDescent="0.3">
      <c r="A207" s="79" t="s">
        <v>443</v>
      </c>
      <c r="B207" s="93" t="s">
        <v>669</v>
      </c>
      <c r="C207" s="79" t="s">
        <v>25</v>
      </c>
      <c r="D207" s="81">
        <v>10188</v>
      </c>
      <c r="E207" s="81">
        <v>4550</v>
      </c>
      <c r="F207" s="81">
        <v>50280</v>
      </c>
      <c r="G207" s="81">
        <v>35577</v>
      </c>
      <c r="H207" s="81">
        <v>10794</v>
      </c>
      <c r="I207" s="81">
        <v>20412</v>
      </c>
      <c r="J207" s="81">
        <v>16356</v>
      </c>
      <c r="K207" s="81">
        <v>47562</v>
      </c>
      <c r="L207" s="81">
        <v>0</v>
      </c>
      <c r="M207" s="81">
        <v>31206</v>
      </c>
      <c r="N207" s="81">
        <v>16356</v>
      </c>
      <c r="O207" s="81">
        <v>47562</v>
      </c>
      <c r="P207" s="94">
        <f>O207/D207</f>
        <v>4.6684334511189638</v>
      </c>
      <c r="Q207" s="94">
        <f>H207/D207</f>
        <v>1.0594817432273262</v>
      </c>
      <c r="R207" s="94">
        <f>I207/D207</f>
        <v>2.0035335689045937</v>
      </c>
      <c r="S207" s="94">
        <f>J207/D207</f>
        <v>1.6054181389870437</v>
      </c>
      <c r="T207" s="94">
        <f>K207/D207</f>
        <v>4.6684334511189638</v>
      </c>
      <c r="U207" s="94">
        <f>K207/E207</f>
        <v>10.453186813186813</v>
      </c>
      <c r="V207" s="81">
        <v>1500</v>
      </c>
      <c r="W207" s="79" t="s">
        <v>1648</v>
      </c>
      <c r="X207" s="79" t="s">
        <v>1650</v>
      </c>
      <c r="Y207" s="81">
        <v>6432</v>
      </c>
      <c r="Z207" s="81">
        <v>4793</v>
      </c>
      <c r="AA207" s="81">
        <v>757</v>
      </c>
      <c r="AB207" s="79" t="s">
        <v>1648</v>
      </c>
      <c r="AC207" s="81">
        <v>15871</v>
      </c>
      <c r="AD207" s="79" t="s">
        <v>1648</v>
      </c>
      <c r="AE207" s="79" t="s">
        <v>1648</v>
      </c>
      <c r="AF207" s="81">
        <v>8</v>
      </c>
    </row>
    <row r="208" spans="1:32" ht="15.75" thickBot="1" x14ac:dyDescent="0.3">
      <c r="A208" s="79" t="s">
        <v>446</v>
      </c>
      <c r="B208" s="93" t="s">
        <v>675</v>
      </c>
      <c r="C208" s="79" t="s">
        <v>25</v>
      </c>
      <c r="D208" s="81">
        <v>7272</v>
      </c>
      <c r="E208" s="81">
        <v>3080</v>
      </c>
      <c r="F208" s="81">
        <v>12890</v>
      </c>
      <c r="G208" s="81">
        <v>25282</v>
      </c>
      <c r="H208" s="81">
        <v>2973</v>
      </c>
      <c r="I208" s="81">
        <v>7210</v>
      </c>
      <c r="J208" s="81">
        <v>2998</v>
      </c>
      <c r="K208" s="81">
        <v>13181</v>
      </c>
      <c r="L208" s="81">
        <v>7435</v>
      </c>
      <c r="M208" s="81">
        <v>10183</v>
      </c>
      <c r="N208" s="81">
        <v>10433</v>
      </c>
      <c r="O208" s="81">
        <v>20616</v>
      </c>
      <c r="P208" s="94">
        <f>O208/D208</f>
        <v>2.834983498349835</v>
      </c>
      <c r="Q208" s="94">
        <f>H208/D208</f>
        <v>0.40882838283828382</v>
      </c>
      <c r="R208" s="94">
        <f>I208/D208</f>
        <v>0.99147414741474149</v>
      </c>
      <c r="S208" s="94">
        <f>J208/D208</f>
        <v>0.41226622662266227</v>
      </c>
      <c r="T208" s="94">
        <f>K208/D208</f>
        <v>1.8125687568756876</v>
      </c>
      <c r="U208" s="94">
        <f>K208/E208</f>
        <v>4.2795454545454543</v>
      </c>
      <c r="V208" s="81">
        <v>1848</v>
      </c>
      <c r="W208" s="79" t="s">
        <v>1648</v>
      </c>
      <c r="X208" s="79" t="s">
        <v>1650</v>
      </c>
      <c r="Y208" s="81">
        <v>301</v>
      </c>
      <c r="Z208" s="81">
        <v>521</v>
      </c>
      <c r="AA208" s="81">
        <v>1013</v>
      </c>
      <c r="AB208" s="79" t="s">
        <v>1648</v>
      </c>
      <c r="AC208" s="81">
        <v>612</v>
      </c>
      <c r="AD208" s="79" t="s">
        <v>1648</v>
      </c>
      <c r="AE208" s="79" t="s">
        <v>1649</v>
      </c>
      <c r="AF208" s="95">
        <v>0</v>
      </c>
    </row>
    <row r="209" spans="1:32" ht="15.75" thickBot="1" x14ac:dyDescent="0.3">
      <c r="A209" s="79" t="s">
        <v>448</v>
      </c>
      <c r="B209" s="93" t="s">
        <v>681</v>
      </c>
      <c r="C209" s="79" t="s">
        <v>25</v>
      </c>
      <c r="D209" s="81">
        <v>11377</v>
      </c>
      <c r="E209" s="81">
        <v>4864</v>
      </c>
      <c r="F209" s="81">
        <v>21993</v>
      </c>
      <c r="G209" s="81">
        <v>0</v>
      </c>
      <c r="H209" s="81">
        <v>11434</v>
      </c>
      <c r="I209" s="81">
        <v>26117</v>
      </c>
      <c r="J209" s="81">
        <v>4387</v>
      </c>
      <c r="K209" s="81">
        <v>41938</v>
      </c>
      <c r="L209" s="81">
        <v>0</v>
      </c>
      <c r="M209" s="81">
        <v>37551</v>
      </c>
      <c r="N209" s="81">
        <v>4387</v>
      </c>
      <c r="O209" s="81">
        <v>41938</v>
      </c>
      <c r="P209" s="94">
        <f>O209/D209</f>
        <v>3.686209018194603</v>
      </c>
      <c r="Q209" s="94">
        <f>H209/D209</f>
        <v>1.0050101081128593</v>
      </c>
      <c r="R209" s="94">
        <f>I209/D209</f>
        <v>2.2955963786586975</v>
      </c>
      <c r="S209" s="94">
        <f>J209/D209</f>
        <v>0.38560253142304651</v>
      </c>
      <c r="T209" s="94">
        <f>K209/D209</f>
        <v>3.686209018194603</v>
      </c>
      <c r="U209" s="94">
        <f>K209/E209</f>
        <v>8.622121710526315</v>
      </c>
      <c r="V209" s="81">
        <v>0</v>
      </c>
      <c r="W209" s="79" t="s">
        <v>1648</v>
      </c>
      <c r="X209" s="79" t="s">
        <v>1650</v>
      </c>
      <c r="Y209" s="81">
        <v>1014</v>
      </c>
      <c r="Z209" s="81">
        <v>2238</v>
      </c>
      <c r="AA209" s="81">
        <v>4909</v>
      </c>
      <c r="AB209" s="79" t="s">
        <v>1648</v>
      </c>
      <c r="AC209" s="81">
        <v>0</v>
      </c>
      <c r="AD209" s="79" t="s">
        <v>1648</v>
      </c>
      <c r="AE209" s="79" t="s">
        <v>1649</v>
      </c>
      <c r="AF209" s="95">
        <v>0</v>
      </c>
    </row>
    <row r="210" spans="1:32" ht="15.75" thickBot="1" x14ac:dyDescent="0.3">
      <c r="A210" s="79" t="s">
        <v>450</v>
      </c>
      <c r="B210" s="93" t="s">
        <v>693</v>
      </c>
      <c r="C210" s="79" t="s">
        <v>25</v>
      </c>
      <c r="D210" s="81">
        <v>8386</v>
      </c>
      <c r="E210" s="81">
        <v>7391</v>
      </c>
      <c r="F210" s="81">
        <v>49684</v>
      </c>
      <c r="G210" s="81">
        <v>0</v>
      </c>
      <c r="H210" s="81">
        <v>7097</v>
      </c>
      <c r="I210" s="81">
        <v>26017</v>
      </c>
      <c r="J210" s="81">
        <v>12270</v>
      </c>
      <c r="K210" s="81">
        <v>45384</v>
      </c>
      <c r="L210" s="81">
        <v>0</v>
      </c>
      <c r="M210" s="81">
        <v>33114</v>
      </c>
      <c r="N210" s="81">
        <v>12270</v>
      </c>
      <c r="O210" s="81">
        <v>45384</v>
      </c>
      <c r="P210" s="94">
        <f>O210/D210</f>
        <v>5.4118769377533988</v>
      </c>
      <c r="Q210" s="94">
        <f>H210/D210</f>
        <v>0.84629143811113761</v>
      </c>
      <c r="R210" s="94">
        <f>I210/D210</f>
        <v>3.1024326258049131</v>
      </c>
      <c r="S210" s="94">
        <f>J210/D210</f>
        <v>1.463152873837348</v>
      </c>
      <c r="T210" s="94">
        <f>K210/D210</f>
        <v>5.4118769377533988</v>
      </c>
      <c r="U210" s="94">
        <f>K210/E210</f>
        <v>6.1404410769855229</v>
      </c>
      <c r="V210" s="81">
        <v>3798</v>
      </c>
      <c r="W210" s="79" t="s">
        <v>1648</v>
      </c>
      <c r="X210" s="79" t="s">
        <v>1650</v>
      </c>
      <c r="Y210" s="81">
        <v>2124</v>
      </c>
      <c r="Z210" s="81">
        <v>2414</v>
      </c>
      <c r="AA210" s="81">
        <v>11757</v>
      </c>
      <c r="AB210" s="79" t="s">
        <v>1648</v>
      </c>
      <c r="AC210" s="81">
        <v>8000</v>
      </c>
      <c r="AD210" s="79" t="s">
        <v>1649</v>
      </c>
      <c r="AE210" s="79" t="s">
        <v>1649</v>
      </c>
      <c r="AF210" s="95">
        <v>0</v>
      </c>
    </row>
    <row r="211" spans="1:32" ht="15.75" thickBot="1" x14ac:dyDescent="0.3">
      <c r="A211" s="79" t="s">
        <v>452</v>
      </c>
      <c r="B211" s="93" t="s">
        <v>699</v>
      </c>
      <c r="C211" s="79" t="s">
        <v>25</v>
      </c>
      <c r="D211" s="81">
        <v>9110</v>
      </c>
      <c r="E211" s="81">
        <v>2116</v>
      </c>
      <c r="F211" s="81">
        <v>22680</v>
      </c>
      <c r="G211" s="81">
        <v>35723</v>
      </c>
      <c r="H211" s="81">
        <v>22357</v>
      </c>
      <c r="I211" s="81">
        <v>21071</v>
      </c>
      <c r="J211" s="81">
        <v>2396</v>
      </c>
      <c r="K211" s="81">
        <v>45824</v>
      </c>
      <c r="L211" s="81">
        <v>11237</v>
      </c>
      <c r="M211" s="81">
        <v>43428</v>
      </c>
      <c r="N211" s="81">
        <v>13633</v>
      </c>
      <c r="O211" s="81">
        <v>57061</v>
      </c>
      <c r="P211" s="94">
        <f>O211/D211</f>
        <v>6.2635565312843031</v>
      </c>
      <c r="Q211" s="94">
        <f>H211/D211</f>
        <v>2.4541163556531282</v>
      </c>
      <c r="R211" s="94">
        <f>I211/D211</f>
        <v>2.3129527991218439</v>
      </c>
      <c r="S211" s="94">
        <f>J211/D211</f>
        <v>0.26300768386388584</v>
      </c>
      <c r="T211" s="94">
        <f>K211/D211</f>
        <v>5.0300768386388581</v>
      </c>
      <c r="U211" s="94">
        <f>K211/E211</f>
        <v>21.655954631379963</v>
      </c>
      <c r="V211" s="81">
        <v>9073</v>
      </c>
      <c r="W211" s="79" t="s">
        <v>1648</v>
      </c>
      <c r="X211" s="79" t="s">
        <v>1650</v>
      </c>
      <c r="Y211" s="81">
        <v>2938</v>
      </c>
      <c r="Z211" s="81">
        <v>2218</v>
      </c>
      <c r="AA211" s="81">
        <v>5749</v>
      </c>
      <c r="AB211" s="79" t="s">
        <v>1648</v>
      </c>
      <c r="AC211" s="81">
        <v>8400</v>
      </c>
      <c r="AD211" s="79" t="s">
        <v>1648</v>
      </c>
      <c r="AE211" s="79" t="s">
        <v>1649</v>
      </c>
      <c r="AF211" s="95">
        <v>0</v>
      </c>
    </row>
    <row r="212" spans="1:32" ht="15.75" thickBot="1" x14ac:dyDescent="0.3">
      <c r="A212" s="96" t="s">
        <v>454</v>
      </c>
      <c r="B212" s="93" t="s">
        <v>701</v>
      </c>
      <c r="C212" s="79" t="s">
        <v>25</v>
      </c>
      <c r="D212" s="81">
        <v>9645</v>
      </c>
      <c r="E212" s="81">
        <v>5335</v>
      </c>
      <c r="F212" s="81">
        <v>36739</v>
      </c>
      <c r="G212" s="81">
        <v>13062</v>
      </c>
      <c r="H212" s="81">
        <v>12823</v>
      </c>
      <c r="I212" s="81">
        <v>37374</v>
      </c>
      <c r="J212" s="81">
        <v>4487</v>
      </c>
      <c r="K212" s="81">
        <v>54684</v>
      </c>
      <c r="L212" s="81">
        <v>4328</v>
      </c>
      <c r="M212" s="81">
        <v>50197</v>
      </c>
      <c r="N212" s="81">
        <v>8815</v>
      </c>
      <c r="O212" s="81">
        <v>59012</v>
      </c>
      <c r="P212" s="94">
        <f>O212/D212</f>
        <v>6.118403317781234</v>
      </c>
      <c r="Q212" s="94">
        <f>H212/D212</f>
        <v>1.3294971487817522</v>
      </c>
      <c r="R212" s="94">
        <f>I212/D212</f>
        <v>3.8749611197511662</v>
      </c>
      <c r="S212" s="94">
        <f>J212/D212</f>
        <v>0.4652151373768792</v>
      </c>
      <c r="T212" s="94">
        <f>K212/D212</f>
        <v>5.6696734059097977</v>
      </c>
      <c r="U212" s="94">
        <f>K212/E212</f>
        <v>10.250046860356139</v>
      </c>
      <c r="V212" s="81">
        <v>2400</v>
      </c>
      <c r="W212" s="79" t="s">
        <v>1648</v>
      </c>
      <c r="X212" s="79" t="s">
        <v>1650</v>
      </c>
      <c r="Y212" s="81">
        <v>3513</v>
      </c>
      <c r="Z212" s="81">
        <v>4673</v>
      </c>
      <c r="AA212" s="81">
        <v>4691</v>
      </c>
      <c r="AB212" s="79" t="s">
        <v>1648</v>
      </c>
      <c r="AC212" s="81">
        <v>3953</v>
      </c>
      <c r="AD212" s="79" t="s">
        <v>1648</v>
      </c>
      <c r="AE212" s="79" t="s">
        <v>1649</v>
      </c>
      <c r="AF212" s="95">
        <v>0</v>
      </c>
    </row>
    <row r="213" spans="1:32" ht="15.75" thickBot="1" x14ac:dyDescent="0.3">
      <c r="A213" s="79" t="s">
        <v>456</v>
      </c>
      <c r="B213" s="93" t="s">
        <v>717</v>
      </c>
      <c r="C213" s="79" t="s">
        <v>25</v>
      </c>
      <c r="D213" s="81">
        <v>9301</v>
      </c>
      <c r="E213" s="81">
        <v>3981</v>
      </c>
      <c r="F213" s="81">
        <v>17000</v>
      </c>
      <c r="G213" s="81">
        <v>0</v>
      </c>
      <c r="H213" s="81">
        <v>936</v>
      </c>
      <c r="I213" s="81">
        <v>7551</v>
      </c>
      <c r="J213" s="81">
        <v>4184</v>
      </c>
      <c r="K213" s="81">
        <v>12671</v>
      </c>
      <c r="L213" s="77" t="s">
        <v>1660</v>
      </c>
      <c r="M213" s="81">
        <v>8487</v>
      </c>
      <c r="N213" s="81">
        <v>4184</v>
      </c>
      <c r="O213" s="81">
        <v>12671</v>
      </c>
      <c r="P213" s="94">
        <f>O213/D213</f>
        <v>1.3623266315449951</v>
      </c>
      <c r="Q213" s="94">
        <f>H213/D213</f>
        <v>0.10063434039350608</v>
      </c>
      <c r="R213" s="94">
        <f>I213/D213</f>
        <v>0.81184818836684225</v>
      </c>
      <c r="S213" s="94">
        <f>J213/D213</f>
        <v>0.44984410278464682</v>
      </c>
      <c r="T213" s="94">
        <f>K213/D213</f>
        <v>1.3623266315449951</v>
      </c>
      <c r="U213" s="94">
        <f>K213/E213</f>
        <v>3.1828686259733736</v>
      </c>
      <c r="V213" s="81">
        <v>3100</v>
      </c>
      <c r="W213" s="79" t="s">
        <v>1648</v>
      </c>
      <c r="X213" s="79" t="s">
        <v>1650</v>
      </c>
      <c r="Y213" s="81">
        <v>620</v>
      </c>
      <c r="Z213" s="81">
        <v>1372</v>
      </c>
      <c r="AA213" s="81">
        <v>14629</v>
      </c>
      <c r="AB213" s="79" t="s">
        <v>1648</v>
      </c>
      <c r="AC213" s="81">
        <v>0</v>
      </c>
      <c r="AD213" s="79" t="s">
        <v>1648</v>
      </c>
      <c r="AE213" s="79" t="s">
        <v>1648</v>
      </c>
      <c r="AF213" s="81">
        <v>15</v>
      </c>
    </row>
    <row r="214" spans="1:32" ht="15.75" thickBot="1" x14ac:dyDescent="0.3">
      <c r="A214" s="79" t="s">
        <v>458</v>
      </c>
      <c r="B214" s="93" t="s">
        <v>721</v>
      </c>
      <c r="C214" s="79" t="s">
        <v>25</v>
      </c>
      <c r="D214" s="81">
        <v>7851</v>
      </c>
      <c r="E214" s="81">
        <v>2282</v>
      </c>
      <c r="F214" s="81">
        <v>22719</v>
      </c>
      <c r="G214" s="81">
        <v>2700</v>
      </c>
      <c r="H214" s="81">
        <v>4801</v>
      </c>
      <c r="I214" s="81">
        <v>5881</v>
      </c>
      <c r="J214" s="81">
        <v>2472</v>
      </c>
      <c r="K214" s="81">
        <v>13154</v>
      </c>
      <c r="L214" s="81">
        <v>0</v>
      </c>
      <c r="M214" s="81">
        <v>10682</v>
      </c>
      <c r="N214" s="81">
        <v>2472</v>
      </c>
      <c r="O214" s="81">
        <v>13154</v>
      </c>
      <c r="P214" s="94">
        <f>O214/D214</f>
        <v>1.6754553560056045</v>
      </c>
      <c r="Q214" s="94">
        <f>H214/D214</f>
        <v>0.61151445675710103</v>
      </c>
      <c r="R214" s="94">
        <f>I214/D214</f>
        <v>0.74907655075786528</v>
      </c>
      <c r="S214" s="94">
        <f>J214/D214</f>
        <v>0.31486434849063816</v>
      </c>
      <c r="T214" s="94">
        <f>K214/D214</f>
        <v>1.6754553560056045</v>
      </c>
      <c r="U214" s="94">
        <f>K214/E214</f>
        <v>5.7642418930762487</v>
      </c>
      <c r="V214" s="81">
        <v>765</v>
      </c>
      <c r="W214" s="79" t="s">
        <v>1648</v>
      </c>
      <c r="X214" s="79" t="s">
        <v>1650</v>
      </c>
      <c r="Y214" s="81">
        <v>2963</v>
      </c>
      <c r="Z214" s="81">
        <v>1233</v>
      </c>
      <c r="AA214" s="81">
        <v>12000</v>
      </c>
      <c r="AB214" s="79" t="s">
        <v>1648</v>
      </c>
      <c r="AC214" s="81">
        <v>3000</v>
      </c>
      <c r="AD214" s="79" t="s">
        <v>1648</v>
      </c>
      <c r="AE214" s="79" t="s">
        <v>1649</v>
      </c>
      <c r="AF214" s="95">
        <v>0</v>
      </c>
    </row>
    <row r="215" spans="1:32" ht="15.75" thickBot="1" x14ac:dyDescent="0.3">
      <c r="A215" s="79" t="s">
        <v>460</v>
      </c>
      <c r="B215" s="93" t="s">
        <v>723</v>
      </c>
      <c r="C215" s="79" t="s">
        <v>25</v>
      </c>
      <c r="D215" s="81">
        <v>10250</v>
      </c>
      <c r="E215" s="81">
        <v>2519</v>
      </c>
      <c r="F215" s="81">
        <v>24585</v>
      </c>
      <c r="G215" s="79" t="s">
        <v>1613</v>
      </c>
      <c r="H215" s="81">
        <v>12187</v>
      </c>
      <c r="I215" s="81">
        <v>20558</v>
      </c>
      <c r="J215" s="81">
        <v>5942</v>
      </c>
      <c r="K215" s="81">
        <v>38687</v>
      </c>
      <c r="L215" s="77" t="s">
        <v>1660</v>
      </c>
      <c r="M215" s="81">
        <v>32745</v>
      </c>
      <c r="N215" s="81">
        <v>5942</v>
      </c>
      <c r="O215" s="81">
        <v>38687</v>
      </c>
      <c r="P215" s="94">
        <f>O215/D215</f>
        <v>3.7743414634146339</v>
      </c>
      <c r="Q215" s="94">
        <f>H215/D215</f>
        <v>1.1889756097560975</v>
      </c>
      <c r="R215" s="94">
        <f>I215/D215</f>
        <v>2.0056585365853659</v>
      </c>
      <c r="S215" s="94">
        <f>J215/D215</f>
        <v>0.57970731707317069</v>
      </c>
      <c r="T215" s="94">
        <f>K215/D215</f>
        <v>3.7743414634146339</v>
      </c>
      <c r="U215" s="94">
        <f>K215/E215</f>
        <v>15.358078602620088</v>
      </c>
      <c r="V215" s="81">
        <v>5220</v>
      </c>
      <c r="W215" s="79" t="s">
        <v>1648</v>
      </c>
      <c r="X215" s="79" t="s">
        <v>1650</v>
      </c>
      <c r="Y215" s="81">
        <v>5819</v>
      </c>
      <c r="Z215" s="81">
        <v>2477</v>
      </c>
      <c r="AA215" s="81">
        <v>1754</v>
      </c>
      <c r="AB215" s="79" t="s">
        <v>1648</v>
      </c>
      <c r="AC215" s="81">
        <v>7044</v>
      </c>
      <c r="AD215" s="79" t="s">
        <v>1649</v>
      </c>
      <c r="AE215" s="79" t="s">
        <v>1648</v>
      </c>
      <c r="AF215" s="77" t="s">
        <v>1660</v>
      </c>
    </row>
    <row r="216" spans="1:32" ht="15.75" thickBot="1" x14ac:dyDescent="0.3">
      <c r="A216" s="79" t="s">
        <v>462</v>
      </c>
      <c r="B216" s="93" t="s">
        <v>733</v>
      </c>
      <c r="C216" s="79" t="s">
        <v>25</v>
      </c>
      <c r="D216" s="81">
        <v>10662</v>
      </c>
      <c r="E216" s="81">
        <v>3308</v>
      </c>
      <c r="F216" s="81">
        <v>22528</v>
      </c>
      <c r="G216" s="79" t="s">
        <v>1613</v>
      </c>
      <c r="H216" s="81">
        <v>5034</v>
      </c>
      <c r="I216" s="81">
        <v>12221</v>
      </c>
      <c r="J216" s="81">
        <v>1304</v>
      </c>
      <c r="K216" s="81">
        <v>18559</v>
      </c>
      <c r="L216" s="81">
        <v>373</v>
      </c>
      <c r="M216" s="81">
        <v>17255</v>
      </c>
      <c r="N216" s="81">
        <v>1677</v>
      </c>
      <c r="O216" s="81">
        <v>18932</v>
      </c>
      <c r="P216" s="94">
        <f>O216/D216</f>
        <v>1.7756518476833614</v>
      </c>
      <c r="Q216" s="94">
        <f>H216/D216</f>
        <v>0.47214406302757456</v>
      </c>
      <c r="R216" s="94">
        <f>I216/D216</f>
        <v>1.1462202213468393</v>
      </c>
      <c r="S216" s="94">
        <f>J216/D216</f>
        <v>0.12230350778465579</v>
      </c>
      <c r="T216" s="94">
        <f>K216/D216</f>
        <v>1.7406677921590696</v>
      </c>
      <c r="U216" s="94">
        <f>K216/E216</f>
        <v>5.6103385731559854</v>
      </c>
      <c r="V216" s="81">
        <v>2450</v>
      </c>
      <c r="W216" s="79" t="s">
        <v>1648</v>
      </c>
      <c r="X216" s="79" t="s">
        <v>1651</v>
      </c>
      <c r="Y216" s="81">
        <v>742</v>
      </c>
      <c r="Z216" s="81">
        <v>1354</v>
      </c>
      <c r="AA216" s="81">
        <v>2861</v>
      </c>
      <c r="AB216" s="79" t="s">
        <v>1648</v>
      </c>
      <c r="AC216" s="81">
        <v>10874</v>
      </c>
      <c r="AD216" s="79" t="s">
        <v>1648</v>
      </c>
      <c r="AE216" s="79" t="s">
        <v>1649</v>
      </c>
      <c r="AF216" s="95">
        <v>0</v>
      </c>
    </row>
    <row r="217" spans="1:32" ht="15.75" thickBot="1" x14ac:dyDescent="0.3">
      <c r="A217" s="79" t="s">
        <v>464</v>
      </c>
      <c r="B217" s="93" t="s">
        <v>737</v>
      </c>
      <c r="C217" s="79" t="s">
        <v>25</v>
      </c>
      <c r="D217" s="81">
        <v>11985</v>
      </c>
      <c r="E217" s="81">
        <v>10574</v>
      </c>
      <c r="F217" s="81">
        <v>30576</v>
      </c>
      <c r="G217" s="81">
        <v>5110</v>
      </c>
      <c r="H217" s="81">
        <v>18517</v>
      </c>
      <c r="I217" s="81">
        <v>24550</v>
      </c>
      <c r="J217" s="81">
        <v>3462</v>
      </c>
      <c r="K217" s="81">
        <v>46529</v>
      </c>
      <c r="L217" s="81">
        <v>26</v>
      </c>
      <c r="M217" s="81">
        <v>43067</v>
      </c>
      <c r="N217" s="81">
        <v>3488</v>
      </c>
      <c r="O217" s="81">
        <v>46555</v>
      </c>
      <c r="P217" s="94">
        <f>O217/D217</f>
        <v>3.8844388819357532</v>
      </c>
      <c r="Q217" s="94">
        <f>H217/D217</f>
        <v>1.545014601585315</v>
      </c>
      <c r="R217" s="94">
        <f>I217/D217</f>
        <v>2.0483938256153524</v>
      </c>
      <c r="S217" s="94">
        <f>J217/D217</f>
        <v>0.28886107634543179</v>
      </c>
      <c r="T217" s="94">
        <f>K217/D217</f>
        <v>3.8822695035460995</v>
      </c>
      <c r="U217" s="94">
        <f>K217/E217</f>
        <v>4.40032154340836</v>
      </c>
      <c r="V217" s="81">
        <v>6864</v>
      </c>
      <c r="W217" s="79" t="s">
        <v>1648</v>
      </c>
      <c r="X217" s="79" t="s">
        <v>1650</v>
      </c>
      <c r="Y217" s="81">
        <v>785</v>
      </c>
      <c r="Z217" s="81">
        <v>984</v>
      </c>
      <c r="AA217" s="81">
        <v>3619</v>
      </c>
      <c r="AB217" s="79" t="s">
        <v>1648</v>
      </c>
      <c r="AC217" s="81">
        <v>270</v>
      </c>
      <c r="AD217" s="79" t="s">
        <v>1648</v>
      </c>
      <c r="AE217" s="79" t="s">
        <v>1649</v>
      </c>
      <c r="AF217" s="95">
        <v>0</v>
      </c>
    </row>
    <row r="218" spans="1:32" ht="15.75" thickBot="1" x14ac:dyDescent="0.3">
      <c r="A218" s="79" t="s">
        <v>466</v>
      </c>
      <c r="B218" s="93" t="s">
        <v>739</v>
      </c>
      <c r="C218" s="79" t="s">
        <v>25</v>
      </c>
      <c r="D218" s="81">
        <v>8147</v>
      </c>
      <c r="E218" s="81">
        <v>6472</v>
      </c>
      <c r="F218" s="81">
        <v>21000</v>
      </c>
      <c r="G218" s="81">
        <v>4000</v>
      </c>
      <c r="H218" s="81">
        <v>6912</v>
      </c>
      <c r="I218" s="81">
        <v>9233</v>
      </c>
      <c r="J218" s="81">
        <v>6207</v>
      </c>
      <c r="K218" s="81">
        <v>22352</v>
      </c>
      <c r="L218" s="81">
        <v>0</v>
      </c>
      <c r="M218" s="81">
        <v>16145</v>
      </c>
      <c r="N218" s="81">
        <v>6207</v>
      </c>
      <c r="O218" s="81">
        <v>22352</v>
      </c>
      <c r="P218" s="94">
        <f>O218/D218</f>
        <v>2.7435865962931141</v>
      </c>
      <c r="Q218" s="94">
        <f>H218/D218</f>
        <v>0.84841045783724067</v>
      </c>
      <c r="R218" s="94">
        <f>I218/D218</f>
        <v>1.133300601448386</v>
      </c>
      <c r="S218" s="94">
        <f>J218/D218</f>
        <v>0.76187553700748745</v>
      </c>
      <c r="T218" s="94">
        <f>K218/D218</f>
        <v>2.7435865962931141</v>
      </c>
      <c r="U218" s="94">
        <f>K218/E218</f>
        <v>3.4536464771322621</v>
      </c>
      <c r="V218" s="81">
        <v>450</v>
      </c>
      <c r="W218" s="79" t="s">
        <v>1649</v>
      </c>
      <c r="X218" s="79" t="s">
        <v>1651</v>
      </c>
      <c r="Y218" s="81">
        <v>1360</v>
      </c>
      <c r="Z218" s="81">
        <v>1558</v>
      </c>
      <c r="AA218" s="81">
        <v>1591</v>
      </c>
      <c r="AB218" s="79" t="s">
        <v>1648</v>
      </c>
      <c r="AC218" s="81">
        <v>1800</v>
      </c>
      <c r="AD218" s="79" t="s">
        <v>1648</v>
      </c>
      <c r="AE218" s="79" t="s">
        <v>1649</v>
      </c>
      <c r="AF218" s="95">
        <v>0</v>
      </c>
    </row>
    <row r="219" spans="1:32" ht="15.75" thickBot="1" x14ac:dyDescent="0.3">
      <c r="A219" s="79" t="s">
        <v>468</v>
      </c>
      <c r="B219" s="93" t="s">
        <v>747</v>
      </c>
      <c r="C219" s="79" t="s">
        <v>25</v>
      </c>
      <c r="D219" s="81">
        <v>9714</v>
      </c>
      <c r="E219" s="81">
        <v>3769</v>
      </c>
      <c r="F219" s="81">
        <v>35779</v>
      </c>
      <c r="G219" s="81">
        <v>23203</v>
      </c>
      <c r="H219" s="81">
        <v>23599</v>
      </c>
      <c r="I219" s="81">
        <v>26229</v>
      </c>
      <c r="J219" s="81">
        <v>2542</v>
      </c>
      <c r="K219" s="81">
        <v>52370</v>
      </c>
      <c r="L219" s="77" t="s">
        <v>1660</v>
      </c>
      <c r="M219" s="81">
        <v>49828</v>
      </c>
      <c r="N219" s="81">
        <v>2542</v>
      </c>
      <c r="O219" s="81">
        <v>52370</v>
      </c>
      <c r="P219" s="94">
        <f>O219/D219</f>
        <v>5.391187976116945</v>
      </c>
      <c r="Q219" s="94">
        <f>H219/D219</f>
        <v>2.4293802758904675</v>
      </c>
      <c r="R219" s="94">
        <f>I219/D219</f>
        <v>2.7001235330450895</v>
      </c>
      <c r="S219" s="94">
        <f>J219/D219</f>
        <v>0.26168416718138771</v>
      </c>
      <c r="T219" s="94">
        <f>K219/D219</f>
        <v>5.391187976116945</v>
      </c>
      <c r="U219" s="94">
        <f>K219/E219</f>
        <v>13.894932342796498</v>
      </c>
      <c r="V219" s="81">
        <v>2800</v>
      </c>
      <c r="W219" s="79" t="s">
        <v>1648</v>
      </c>
      <c r="X219" s="79" t="s">
        <v>1650</v>
      </c>
      <c r="Y219" s="81">
        <v>3604</v>
      </c>
      <c r="Z219" s="81">
        <v>4499</v>
      </c>
      <c r="AA219" s="81">
        <v>5640</v>
      </c>
      <c r="AB219" s="79" t="s">
        <v>1648</v>
      </c>
      <c r="AC219" s="81">
        <v>19748</v>
      </c>
      <c r="AD219" s="79" t="s">
        <v>1649</v>
      </c>
      <c r="AE219" s="79" t="s">
        <v>1648</v>
      </c>
      <c r="AF219" s="81">
        <v>13</v>
      </c>
    </row>
    <row r="220" spans="1:32" ht="15.75" thickBot="1" x14ac:dyDescent="0.3">
      <c r="A220" s="79" t="s">
        <v>472</v>
      </c>
      <c r="B220" s="93" t="s">
        <v>775</v>
      </c>
      <c r="C220" s="79" t="s">
        <v>25</v>
      </c>
      <c r="D220" s="81">
        <v>9514</v>
      </c>
      <c r="E220" s="81">
        <v>11400</v>
      </c>
      <c r="F220" s="81">
        <v>7976</v>
      </c>
      <c r="G220" s="81">
        <v>6653</v>
      </c>
      <c r="H220" s="81">
        <v>4104</v>
      </c>
      <c r="I220" s="81">
        <v>6456</v>
      </c>
      <c r="J220" s="81">
        <v>751</v>
      </c>
      <c r="K220" s="81">
        <v>11311</v>
      </c>
      <c r="L220" s="81">
        <v>6209</v>
      </c>
      <c r="M220" s="81">
        <v>10560</v>
      </c>
      <c r="N220" s="81">
        <v>6960</v>
      </c>
      <c r="O220" s="81">
        <v>17520</v>
      </c>
      <c r="P220" s="94">
        <f>O220/D220</f>
        <v>1.8414967416438932</v>
      </c>
      <c r="Q220" s="94">
        <f>H220/D220</f>
        <v>0.4313643052343914</v>
      </c>
      <c r="R220" s="94">
        <f>I220/D220</f>
        <v>0.67857893630439348</v>
      </c>
      <c r="S220" s="94">
        <f>J220/D220</f>
        <v>7.8936304393525336E-2</v>
      </c>
      <c r="T220" s="94">
        <f>K220/D220</f>
        <v>1.1888795459323103</v>
      </c>
      <c r="U220" s="94">
        <f>K220/E220</f>
        <v>0.9921929824561404</v>
      </c>
      <c r="V220" s="81">
        <v>4500</v>
      </c>
      <c r="W220" s="79" t="s">
        <v>1648</v>
      </c>
      <c r="X220" s="79" t="s">
        <v>1650</v>
      </c>
      <c r="Y220" s="81">
        <v>1</v>
      </c>
      <c r="Z220" s="81">
        <v>66</v>
      </c>
      <c r="AA220" s="81">
        <v>3500</v>
      </c>
      <c r="AB220" s="79" t="s">
        <v>1648</v>
      </c>
      <c r="AC220" s="81">
        <v>750</v>
      </c>
      <c r="AD220" s="79" t="s">
        <v>1648</v>
      </c>
      <c r="AE220" s="79" t="s">
        <v>1648</v>
      </c>
      <c r="AF220" s="81">
        <v>7</v>
      </c>
    </row>
    <row r="221" spans="1:32" ht="15.75" thickBot="1" x14ac:dyDescent="0.3">
      <c r="A221" s="79" t="s">
        <v>474</v>
      </c>
      <c r="B221" s="93" t="s">
        <v>789</v>
      </c>
      <c r="C221" s="79" t="s">
        <v>25</v>
      </c>
      <c r="D221" s="81">
        <v>9138</v>
      </c>
      <c r="E221" s="81">
        <v>3950</v>
      </c>
      <c r="F221" s="81">
        <v>44404</v>
      </c>
      <c r="G221" s="81">
        <v>13430</v>
      </c>
      <c r="H221" s="81">
        <v>9048</v>
      </c>
      <c r="I221" s="81">
        <v>33192</v>
      </c>
      <c r="J221" s="81">
        <v>16614</v>
      </c>
      <c r="K221" s="81">
        <v>58854</v>
      </c>
      <c r="L221" s="81">
        <v>0</v>
      </c>
      <c r="M221" s="81">
        <v>42240</v>
      </c>
      <c r="N221" s="81">
        <v>16614</v>
      </c>
      <c r="O221" s="81">
        <v>58854</v>
      </c>
      <c r="P221" s="94">
        <f>O221/D221</f>
        <v>6.4405778069599471</v>
      </c>
      <c r="Q221" s="94">
        <f>H221/D221</f>
        <v>0.99015101772816805</v>
      </c>
      <c r="R221" s="94">
        <f>I221/D221</f>
        <v>3.6323046618516086</v>
      </c>
      <c r="S221" s="94">
        <f>J221/D221</f>
        <v>1.8181221273801706</v>
      </c>
      <c r="T221" s="94">
        <f>K221/D221</f>
        <v>6.4405778069599471</v>
      </c>
      <c r="U221" s="94">
        <f>K221/E221</f>
        <v>14.899746835443038</v>
      </c>
      <c r="V221" s="81">
        <v>4176</v>
      </c>
      <c r="W221" s="79" t="s">
        <v>1649</v>
      </c>
      <c r="X221" s="79" t="s">
        <v>1650</v>
      </c>
      <c r="Y221" s="81">
        <v>3294</v>
      </c>
      <c r="Z221" s="81">
        <v>2673</v>
      </c>
      <c r="AA221" s="81">
        <v>14712</v>
      </c>
      <c r="AB221" s="79" t="s">
        <v>1648</v>
      </c>
      <c r="AC221" s="81">
        <v>3192</v>
      </c>
      <c r="AD221" s="79" t="s">
        <v>1649</v>
      </c>
      <c r="AE221" s="79" t="s">
        <v>1649</v>
      </c>
      <c r="AF221" s="95">
        <v>0</v>
      </c>
    </row>
    <row r="222" spans="1:32" ht="15.75" thickBot="1" x14ac:dyDescent="0.3">
      <c r="A222" s="96" t="s">
        <v>476</v>
      </c>
      <c r="B222" s="93" t="s">
        <v>791</v>
      </c>
      <c r="C222" s="79" t="s">
        <v>25</v>
      </c>
      <c r="D222" s="81">
        <v>7370</v>
      </c>
      <c r="E222" s="81">
        <v>5677</v>
      </c>
      <c r="F222" s="81">
        <v>37080</v>
      </c>
      <c r="G222" s="81">
        <v>3922</v>
      </c>
      <c r="H222" s="81">
        <v>12337</v>
      </c>
      <c r="I222" s="81">
        <v>29982</v>
      </c>
      <c r="J222" s="81">
        <v>3049</v>
      </c>
      <c r="K222" s="81">
        <v>45368</v>
      </c>
      <c r="L222" s="81">
        <v>281</v>
      </c>
      <c r="M222" s="81">
        <v>42319</v>
      </c>
      <c r="N222" s="81">
        <v>3330</v>
      </c>
      <c r="O222" s="81">
        <v>45649</v>
      </c>
      <c r="P222" s="94">
        <f>O222/D222</f>
        <v>6.1938941655359567</v>
      </c>
      <c r="Q222" s="94">
        <f>H222/D222</f>
        <v>1.6739484396200814</v>
      </c>
      <c r="R222" s="94">
        <f>I222/D222</f>
        <v>4.0681139755766624</v>
      </c>
      <c r="S222" s="94">
        <f>J222/D222</f>
        <v>0.41370420624151966</v>
      </c>
      <c r="T222" s="94">
        <f>K222/D222</f>
        <v>6.1557666214382634</v>
      </c>
      <c r="U222" s="94">
        <f>K222/E222</f>
        <v>7.9915448300158536</v>
      </c>
      <c r="V222" s="81">
        <v>13566</v>
      </c>
      <c r="W222" s="79" t="s">
        <v>1648</v>
      </c>
      <c r="X222" s="79" t="s">
        <v>1651</v>
      </c>
      <c r="Y222" s="81">
        <v>4007</v>
      </c>
      <c r="Z222" s="81">
        <v>2613</v>
      </c>
      <c r="AA222" s="81">
        <v>4032</v>
      </c>
      <c r="AB222" s="79" t="s">
        <v>1648</v>
      </c>
      <c r="AC222" s="81">
        <v>3186</v>
      </c>
      <c r="AD222" s="79" t="s">
        <v>1648</v>
      </c>
      <c r="AE222" s="79" t="s">
        <v>1649</v>
      </c>
      <c r="AF222" s="95">
        <v>0</v>
      </c>
    </row>
    <row r="223" spans="1:32" ht="15.75" thickBot="1" x14ac:dyDescent="0.3">
      <c r="A223" s="79" t="s">
        <v>478</v>
      </c>
      <c r="B223" s="93" t="s">
        <v>795</v>
      </c>
      <c r="C223" s="79" t="s">
        <v>25</v>
      </c>
      <c r="D223" s="81">
        <v>8533</v>
      </c>
      <c r="E223" s="81">
        <v>3469</v>
      </c>
      <c r="F223" s="81">
        <v>27438</v>
      </c>
      <c r="G223" s="81">
        <v>19024</v>
      </c>
      <c r="H223" s="81">
        <v>11173</v>
      </c>
      <c r="I223" s="81">
        <v>55250</v>
      </c>
      <c r="J223" s="81">
        <v>370</v>
      </c>
      <c r="K223" s="81">
        <v>66793</v>
      </c>
      <c r="L223" s="81">
        <v>0</v>
      </c>
      <c r="M223" s="81">
        <v>66423</v>
      </c>
      <c r="N223" s="81">
        <v>370</v>
      </c>
      <c r="O223" s="81">
        <v>66793</v>
      </c>
      <c r="P223" s="94">
        <f>O223/D223</f>
        <v>7.8276104535333415</v>
      </c>
      <c r="Q223" s="94">
        <f>H223/D223</f>
        <v>1.3093870854330247</v>
      </c>
      <c r="R223" s="94">
        <f>I223/D223</f>
        <v>6.4748622993085672</v>
      </c>
      <c r="S223" s="94">
        <f>J223/D223</f>
        <v>4.3361068791749675E-2</v>
      </c>
      <c r="T223" s="94">
        <f>K223/D223</f>
        <v>7.8276104535333415</v>
      </c>
      <c r="U223" s="94">
        <f>K223/E223</f>
        <v>19.254251945805709</v>
      </c>
      <c r="V223" s="81">
        <v>1025</v>
      </c>
      <c r="W223" s="79" t="s">
        <v>1648</v>
      </c>
      <c r="X223" s="79" t="s">
        <v>1650</v>
      </c>
      <c r="Y223" s="81">
        <v>5867</v>
      </c>
      <c r="Z223" s="81">
        <v>2471</v>
      </c>
      <c r="AA223" s="81">
        <v>2438</v>
      </c>
      <c r="AB223" s="79" t="s">
        <v>1648</v>
      </c>
      <c r="AC223" s="77" t="s">
        <v>1660</v>
      </c>
      <c r="AD223" s="79" t="s">
        <v>1648</v>
      </c>
      <c r="AE223" s="79" t="s">
        <v>1649</v>
      </c>
      <c r="AF223" s="95">
        <v>0</v>
      </c>
    </row>
    <row r="224" spans="1:32" ht="15.75" thickBot="1" x14ac:dyDescent="0.3">
      <c r="A224" s="79" t="s">
        <v>480</v>
      </c>
      <c r="B224" s="93" t="s">
        <v>797</v>
      </c>
      <c r="C224" s="79" t="s">
        <v>25</v>
      </c>
      <c r="D224" s="81">
        <v>11811</v>
      </c>
      <c r="E224" s="81">
        <v>3193</v>
      </c>
      <c r="F224" s="81">
        <v>67803</v>
      </c>
      <c r="G224" s="81">
        <v>52947</v>
      </c>
      <c r="H224" s="81">
        <v>24249</v>
      </c>
      <c r="I224" s="81">
        <v>48073</v>
      </c>
      <c r="J224" s="81">
        <v>8315</v>
      </c>
      <c r="K224" s="81">
        <v>80637</v>
      </c>
      <c r="L224" s="81">
        <v>4234</v>
      </c>
      <c r="M224" s="81">
        <v>72322</v>
      </c>
      <c r="N224" s="81">
        <v>12549</v>
      </c>
      <c r="O224" s="81">
        <v>84871</v>
      </c>
      <c r="P224" s="94">
        <f>O224/D224</f>
        <v>7.1857590381847434</v>
      </c>
      <c r="Q224" s="94">
        <f>H224/D224</f>
        <v>2.0530861061722123</v>
      </c>
      <c r="R224" s="94">
        <f>I224/D224</f>
        <v>4.0701888070442811</v>
      </c>
      <c r="S224" s="94">
        <f>J224/D224</f>
        <v>0.70400474134281599</v>
      </c>
      <c r="T224" s="94">
        <f>K224/D224</f>
        <v>6.8272796545593089</v>
      </c>
      <c r="U224" s="94">
        <f>K224/E224</f>
        <v>25.254306295020356</v>
      </c>
      <c r="V224" s="81">
        <v>4200</v>
      </c>
      <c r="W224" s="79" t="s">
        <v>1648</v>
      </c>
      <c r="X224" s="79" t="s">
        <v>1650</v>
      </c>
      <c r="Y224" s="81">
        <v>6008</v>
      </c>
      <c r="Z224" s="81">
        <v>6434</v>
      </c>
      <c r="AA224" s="81">
        <v>5465</v>
      </c>
      <c r="AB224" s="79" t="s">
        <v>1648</v>
      </c>
      <c r="AC224" s="81">
        <v>12972</v>
      </c>
      <c r="AD224" s="79" t="s">
        <v>1648</v>
      </c>
      <c r="AE224" s="79" t="s">
        <v>1649</v>
      </c>
      <c r="AF224" s="77">
        <v>0</v>
      </c>
    </row>
    <row r="225" spans="1:32" ht="15.75" thickBot="1" x14ac:dyDescent="0.3">
      <c r="A225" s="79" t="s">
        <v>482</v>
      </c>
      <c r="B225" s="93" t="s">
        <v>803</v>
      </c>
      <c r="C225" s="79" t="s">
        <v>25</v>
      </c>
      <c r="D225" s="81">
        <v>10014</v>
      </c>
      <c r="E225" s="81">
        <v>5591</v>
      </c>
      <c r="F225" s="81">
        <v>13034</v>
      </c>
      <c r="G225" s="81">
        <v>5434</v>
      </c>
      <c r="H225" s="81">
        <v>6278</v>
      </c>
      <c r="I225" s="81">
        <v>14168</v>
      </c>
      <c r="J225" s="81">
        <v>5191</v>
      </c>
      <c r="K225" s="81">
        <v>25637</v>
      </c>
      <c r="L225" s="81">
        <v>72</v>
      </c>
      <c r="M225" s="81">
        <v>20446</v>
      </c>
      <c r="N225" s="81">
        <v>5263</v>
      </c>
      <c r="O225" s="81">
        <v>25709</v>
      </c>
      <c r="P225" s="94">
        <f>O225/D225</f>
        <v>2.5673057719193131</v>
      </c>
      <c r="Q225" s="94">
        <f>H225/D225</f>
        <v>0.62692230876772514</v>
      </c>
      <c r="R225" s="94">
        <f>I225/D225</f>
        <v>1.414819253045736</v>
      </c>
      <c r="S225" s="94">
        <f>J225/D225</f>
        <v>0.51837427601358099</v>
      </c>
      <c r="T225" s="94">
        <f>K225/D225</f>
        <v>2.5601158378270421</v>
      </c>
      <c r="U225" s="94">
        <f>K225/E225</f>
        <v>4.5854051153639777</v>
      </c>
      <c r="V225" s="81">
        <v>564</v>
      </c>
      <c r="W225" s="79" t="s">
        <v>1648</v>
      </c>
      <c r="X225" s="79" t="s">
        <v>1650</v>
      </c>
      <c r="Y225" s="81">
        <v>1289</v>
      </c>
      <c r="Z225" s="81">
        <v>926</v>
      </c>
      <c r="AA225" s="81">
        <v>1332</v>
      </c>
      <c r="AB225" s="79" t="s">
        <v>1648</v>
      </c>
      <c r="AC225" s="81">
        <v>273</v>
      </c>
      <c r="AD225" s="79" t="s">
        <v>1648</v>
      </c>
      <c r="AE225" s="79" t="s">
        <v>1649</v>
      </c>
      <c r="AF225" s="95">
        <v>0</v>
      </c>
    </row>
    <row r="226" spans="1:32" ht="15.75" thickBot="1" x14ac:dyDescent="0.3">
      <c r="A226" s="79" t="s">
        <v>484</v>
      </c>
      <c r="B226" s="93" t="s">
        <v>18</v>
      </c>
      <c r="C226" s="79" t="s">
        <v>22</v>
      </c>
      <c r="D226" s="81">
        <v>21133</v>
      </c>
      <c r="E226" s="81">
        <v>6833</v>
      </c>
      <c r="F226" s="81">
        <v>89023</v>
      </c>
      <c r="G226" s="81">
        <v>13965</v>
      </c>
      <c r="H226" s="81">
        <v>20353</v>
      </c>
      <c r="I226" s="81">
        <v>36014</v>
      </c>
      <c r="J226" s="81">
        <v>10028</v>
      </c>
      <c r="K226" s="81">
        <v>66395</v>
      </c>
      <c r="L226" s="81">
        <v>1804</v>
      </c>
      <c r="M226" s="81">
        <v>56367</v>
      </c>
      <c r="N226" s="81">
        <v>11832</v>
      </c>
      <c r="O226" s="81">
        <v>68199</v>
      </c>
      <c r="P226" s="94">
        <f>O226/D226</f>
        <v>3.2271329200776036</v>
      </c>
      <c r="Q226" s="94">
        <f>H226/D226</f>
        <v>0.96309090048738943</v>
      </c>
      <c r="R226" s="94">
        <f>I226/D226</f>
        <v>1.7041593715989212</v>
      </c>
      <c r="S226" s="94">
        <f>J226/D226</f>
        <v>0.47451852552879381</v>
      </c>
      <c r="T226" s="94">
        <f>K226/D226</f>
        <v>3.1417687976151045</v>
      </c>
      <c r="U226" s="94">
        <f>K226/E226</f>
        <v>9.7168154544124103</v>
      </c>
      <c r="V226" s="81">
        <v>4733</v>
      </c>
      <c r="W226" s="79" t="s">
        <v>1648</v>
      </c>
      <c r="X226" s="79" t="s">
        <v>1651</v>
      </c>
      <c r="Y226" s="81">
        <v>3247</v>
      </c>
      <c r="Z226" s="81">
        <v>3990</v>
      </c>
      <c r="AA226" s="81">
        <v>12615</v>
      </c>
      <c r="AB226" s="79" t="s">
        <v>1648</v>
      </c>
      <c r="AC226" s="81">
        <v>17420</v>
      </c>
      <c r="AD226" s="79" t="s">
        <v>1648</v>
      </c>
      <c r="AE226" s="79" t="s">
        <v>1648</v>
      </c>
      <c r="AF226" s="81">
        <v>159</v>
      </c>
    </row>
    <row r="227" spans="1:32" ht="15.75" thickBot="1" x14ac:dyDescent="0.3">
      <c r="A227" s="79" t="s">
        <v>486</v>
      </c>
      <c r="B227" s="93" t="s">
        <v>35</v>
      </c>
      <c r="C227" s="79" t="s">
        <v>22</v>
      </c>
      <c r="D227" s="81">
        <v>17401</v>
      </c>
      <c r="E227" s="81">
        <v>8863</v>
      </c>
      <c r="F227" s="81">
        <v>42681</v>
      </c>
      <c r="G227" s="81">
        <v>19471</v>
      </c>
      <c r="H227" s="81">
        <v>16119</v>
      </c>
      <c r="I227" s="81">
        <v>32706</v>
      </c>
      <c r="J227" s="81">
        <v>16554</v>
      </c>
      <c r="K227" s="81">
        <v>65379</v>
      </c>
      <c r="L227" s="81">
        <v>74</v>
      </c>
      <c r="M227" s="81">
        <v>48825</v>
      </c>
      <c r="N227" s="81">
        <v>16628</v>
      </c>
      <c r="O227" s="81">
        <v>65453</v>
      </c>
      <c r="P227" s="94">
        <f>O227/D227</f>
        <v>3.7614504913510718</v>
      </c>
      <c r="Q227" s="94">
        <f>H227/D227</f>
        <v>0.92632607321418314</v>
      </c>
      <c r="R227" s="94">
        <f>I227/D227</f>
        <v>1.8795471524625023</v>
      </c>
      <c r="S227" s="94">
        <f>J227/D227</f>
        <v>0.95132463651514276</v>
      </c>
      <c r="T227" s="94">
        <f>K227/D227</f>
        <v>3.7571978621918283</v>
      </c>
      <c r="U227" s="94">
        <f>K227/E227</f>
        <v>7.3766219113167102</v>
      </c>
      <c r="V227" s="81">
        <v>841</v>
      </c>
      <c r="W227" s="79" t="s">
        <v>1648</v>
      </c>
      <c r="X227" s="79" t="s">
        <v>1650</v>
      </c>
      <c r="Y227" s="81">
        <v>2465</v>
      </c>
      <c r="Z227" s="81">
        <v>4091</v>
      </c>
      <c r="AA227" s="81">
        <v>10334</v>
      </c>
      <c r="AB227" s="79" t="s">
        <v>1648</v>
      </c>
      <c r="AC227" s="81">
        <v>8294</v>
      </c>
      <c r="AD227" s="79" t="s">
        <v>1648</v>
      </c>
      <c r="AE227" s="79" t="s">
        <v>1648</v>
      </c>
      <c r="AF227" s="81">
        <v>232</v>
      </c>
    </row>
    <row r="228" spans="1:32" ht="15.75" thickBot="1" x14ac:dyDescent="0.3">
      <c r="A228" s="79" t="s">
        <v>488</v>
      </c>
      <c r="B228" s="93" t="s">
        <v>63</v>
      </c>
      <c r="C228" s="79" t="s">
        <v>22</v>
      </c>
      <c r="D228" s="81">
        <v>21412</v>
      </c>
      <c r="E228" s="81">
        <v>8816</v>
      </c>
      <c r="F228" s="81">
        <v>115660</v>
      </c>
      <c r="G228" s="81">
        <v>54520</v>
      </c>
      <c r="H228" s="81">
        <v>38639</v>
      </c>
      <c r="I228" s="81">
        <v>66047</v>
      </c>
      <c r="J228" s="81">
        <v>17402</v>
      </c>
      <c r="K228" s="81">
        <v>122088</v>
      </c>
      <c r="L228" s="81">
        <v>13526</v>
      </c>
      <c r="M228" s="81">
        <v>104686</v>
      </c>
      <c r="N228" s="81">
        <v>30928</v>
      </c>
      <c r="O228" s="81">
        <v>135614</v>
      </c>
      <c r="P228" s="94">
        <f>O228/D228</f>
        <v>6.3335512796562679</v>
      </c>
      <c r="Q228" s="94">
        <f>H228/D228</f>
        <v>1.8045488511115262</v>
      </c>
      <c r="R228" s="94">
        <f>I228/D228</f>
        <v>3.0845787408929572</v>
      </c>
      <c r="S228" s="94">
        <f>J228/D228</f>
        <v>0.81272183822155797</v>
      </c>
      <c r="T228" s="94">
        <f>K228/D228</f>
        <v>5.7018494302260416</v>
      </c>
      <c r="U228" s="94">
        <f>K228/E228</f>
        <v>13.848457350272232</v>
      </c>
      <c r="V228" s="81">
        <v>14245</v>
      </c>
      <c r="W228" s="79" t="s">
        <v>1648</v>
      </c>
      <c r="X228" s="79" t="s">
        <v>1651</v>
      </c>
      <c r="Y228" s="81">
        <v>23699</v>
      </c>
      <c r="Z228" s="81">
        <v>38621</v>
      </c>
      <c r="AA228" s="81">
        <v>17335</v>
      </c>
      <c r="AB228" s="79" t="s">
        <v>1648</v>
      </c>
      <c r="AC228" s="81">
        <v>9996</v>
      </c>
      <c r="AD228" s="79" t="s">
        <v>1649</v>
      </c>
      <c r="AE228" s="79" t="s">
        <v>1649</v>
      </c>
      <c r="AF228" s="95">
        <v>0</v>
      </c>
    </row>
    <row r="229" spans="1:32" ht="15.75" thickBot="1" x14ac:dyDescent="0.3">
      <c r="A229" s="79" t="s">
        <v>490</v>
      </c>
      <c r="B229" s="93" t="s">
        <v>67</v>
      </c>
      <c r="C229" s="79" t="s">
        <v>22</v>
      </c>
      <c r="D229" s="81">
        <v>25883</v>
      </c>
      <c r="E229" s="81">
        <v>7523</v>
      </c>
      <c r="F229" s="81">
        <v>91571</v>
      </c>
      <c r="G229" s="81">
        <v>26177</v>
      </c>
      <c r="H229" s="81">
        <v>22102</v>
      </c>
      <c r="I229" s="81">
        <v>51976</v>
      </c>
      <c r="J229" s="81">
        <v>15959</v>
      </c>
      <c r="K229" s="81">
        <v>90037</v>
      </c>
      <c r="L229" s="81">
        <v>7736</v>
      </c>
      <c r="M229" s="81">
        <v>74078</v>
      </c>
      <c r="N229" s="81">
        <v>23695</v>
      </c>
      <c r="O229" s="81">
        <v>97773</v>
      </c>
      <c r="P229" s="94">
        <f>O229/D229</f>
        <v>3.7774987443495731</v>
      </c>
      <c r="Q229" s="94">
        <f>H229/D229</f>
        <v>0.8539195611018815</v>
      </c>
      <c r="R229" s="94">
        <f>I229/D229</f>
        <v>2.0081134335277984</v>
      </c>
      <c r="S229" s="94">
        <f>J229/D229</f>
        <v>0.61658231271490938</v>
      </c>
      <c r="T229" s="94">
        <f>K229/D229</f>
        <v>3.4786153073445889</v>
      </c>
      <c r="U229" s="94">
        <f>K229/E229</f>
        <v>11.968230759005715</v>
      </c>
      <c r="V229" s="81">
        <v>5117</v>
      </c>
      <c r="W229" s="79" t="s">
        <v>1648</v>
      </c>
      <c r="X229" s="79" t="s">
        <v>1651</v>
      </c>
      <c r="Y229" s="81">
        <v>12021</v>
      </c>
      <c r="Z229" s="81">
        <v>10670</v>
      </c>
      <c r="AA229" s="81">
        <v>14294</v>
      </c>
      <c r="AB229" s="79" t="s">
        <v>1648</v>
      </c>
      <c r="AC229" s="81">
        <v>7450</v>
      </c>
      <c r="AD229" s="79" t="s">
        <v>1648</v>
      </c>
      <c r="AE229" s="79" t="s">
        <v>1648</v>
      </c>
      <c r="AF229" s="81">
        <v>89</v>
      </c>
    </row>
    <row r="230" spans="1:32" ht="15.75" thickBot="1" x14ac:dyDescent="0.3">
      <c r="A230" s="96" t="s">
        <v>492</v>
      </c>
      <c r="B230" s="93" t="s">
        <v>87</v>
      </c>
      <c r="C230" s="79" t="s">
        <v>22</v>
      </c>
      <c r="D230" s="81">
        <v>24787</v>
      </c>
      <c r="E230" s="81">
        <v>6093</v>
      </c>
      <c r="F230" s="81">
        <v>48328</v>
      </c>
      <c r="G230" s="79" t="s">
        <v>1613</v>
      </c>
      <c r="H230" s="81">
        <v>17868</v>
      </c>
      <c r="I230" s="81">
        <v>12261</v>
      </c>
      <c r="J230" s="81">
        <v>2448</v>
      </c>
      <c r="K230" s="81">
        <v>32577</v>
      </c>
      <c r="L230" s="77" t="s">
        <v>1660</v>
      </c>
      <c r="M230" s="81">
        <v>30129</v>
      </c>
      <c r="N230" s="81">
        <v>2448</v>
      </c>
      <c r="O230" s="81">
        <v>32577</v>
      </c>
      <c r="P230" s="94">
        <f>O230/D230</f>
        <v>1.3142776455400007</v>
      </c>
      <c r="Q230" s="94">
        <f>H230/D230</f>
        <v>0.72086174204219955</v>
      </c>
      <c r="R230" s="94">
        <f>I230/D230</f>
        <v>0.49465445596482027</v>
      </c>
      <c r="S230" s="94">
        <f>J230/D230</f>
        <v>9.8761447532980995E-2</v>
      </c>
      <c r="T230" s="94">
        <f>K230/D230</f>
        <v>1.3142776455400007</v>
      </c>
      <c r="U230" s="94">
        <f>K230/E230</f>
        <v>5.3466272772033481</v>
      </c>
      <c r="V230" s="81">
        <v>26913</v>
      </c>
      <c r="W230" s="79" t="s">
        <v>1648</v>
      </c>
      <c r="X230" s="79" t="s">
        <v>1650</v>
      </c>
      <c r="Y230" s="81">
        <v>0</v>
      </c>
      <c r="Z230" s="81">
        <v>23</v>
      </c>
      <c r="AA230" s="81">
        <v>8929</v>
      </c>
      <c r="AB230" s="79" t="s">
        <v>1648</v>
      </c>
      <c r="AC230" s="81">
        <v>13735</v>
      </c>
      <c r="AD230" s="79" t="s">
        <v>1648</v>
      </c>
      <c r="AE230" s="79" t="s">
        <v>1649</v>
      </c>
      <c r="AF230" s="95">
        <v>0</v>
      </c>
    </row>
    <row r="231" spans="1:32" ht="15.75" thickBot="1" x14ac:dyDescent="0.3">
      <c r="A231" s="96" t="s">
        <v>494</v>
      </c>
      <c r="B231" s="93" t="s">
        <v>93</v>
      </c>
      <c r="C231" s="79" t="s">
        <v>22</v>
      </c>
      <c r="D231" s="81">
        <v>14970</v>
      </c>
      <c r="E231" s="81">
        <v>6475</v>
      </c>
      <c r="F231" s="81">
        <v>75323</v>
      </c>
      <c r="G231" s="81">
        <v>108430</v>
      </c>
      <c r="H231" s="81">
        <v>33148</v>
      </c>
      <c r="I231" s="81">
        <v>60463</v>
      </c>
      <c r="J231" s="81">
        <v>27191</v>
      </c>
      <c r="K231" s="81">
        <v>120802</v>
      </c>
      <c r="L231" s="81">
        <v>0</v>
      </c>
      <c r="M231" s="81">
        <v>93611</v>
      </c>
      <c r="N231" s="81">
        <v>27191</v>
      </c>
      <c r="O231" s="81">
        <v>120802</v>
      </c>
      <c r="P231" s="94">
        <f>O231/D231</f>
        <v>8.0696058784235145</v>
      </c>
      <c r="Q231" s="94">
        <f>H231/D231</f>
        <v>2.2142952571810288</v>
      </c>
      <c r="R231" s="94">
        <f>I231/D231</f>
        <v>4.0389445557782233</v>
      </c>
      <c r="S231" s="94">
        <f>J231/D231</f>
        <v>1.8163660654642619</v>
      </c>
      <c r="T231" s="94">
        <f>K231/D231</f>
        <v>8.0696058784235145</v>
      </c>
      <c r="U231" s="94">
        <f>K231/E231</f>
        <v>18.656679536679537</v>
      </c>
      <c r="V231" s="81">
        <v>8174</v>
      </c>
      <c r="W231" s="79" t="s">
        <v>1648</v>
      </c>
      <c r="X231" s="79" t="s">
        <v>1651</v>
      </c>
      <c r="Y231" s="81">
        <v>12587</v>
      </c>
      <c r="Z231" s="81">
        <v>13678</v>
      </c>
      <c r="AA231" s="81">
        <v>11573</v>
      </c>
      <c r="AB231" s="79" t="s">
        <v>1648</v>
      </c>
      <c r="AC231" s="81">
        <v>17000</v>
      </c>
      <c r="AD231" s="79" t="s">
        <v>1648</v>
      </c>
      <c r="AE231" s="79" t="s">
        <v>1649</v>
      </c>
      <c r="AF231" s="95">
        <v>0</v>
      </c>
    </row>
    <row r="232" spans="1:32" ht="15.75" thickBot="1" x14ac:dyDescent="0.3">
      <c r="A232" s="79" t="s">
        <v>496</v>
      </c>
      <c r="B232" s="93" t="s">
        <v>103</v>
      </c>
      <c r="C232" s="79" t="s">
        <v>22</v>
      </c>
      <c r="D232" s="81">
        <v>20025</v>
      </c>
      <c r="E232" s="81">
        <v>5985</v>
      </c>
      <c r="F232" s="81">
        <v>26219</v>
      </c>
      <c r="G232" s="81">
        <v>8521</v>
      </c>
      <c r="H232" s="81">
        <v>27756</v>
      </c>
      <c r="I232" s="81">
        <v>52971</v>
      </c>
      <c r="J232" s="81">
        <v>8666</v>
      </c>
      <c r="K232" s="81">
        <v>89393</v>
      </c>
      <c r="L232" s="77" t="s">
        <v>1660</v>
      </c>
      <c r="M232" s="81">
        <v>80727</v>
      </c>
      <c r="N232" s="81">
        <v>8666</v>
      </c>
      <c r="O232" s="81">
        <v>89393</v>
      </c>
      <c r="P232" s="94">
        <f>O232/D232</f>
        <v>4.4640699126092382</v>
      </c>
      <c r="Q232" s="94">
        <f>H232/D232</f>
        <v>1.386067415730337</v>
      </c>
      <c r="R232" s="94">
        <f>I232/D232</f>
        <v>2.6452434456928837</v>
      </c>
      <c r="S232" s="94">
        <f>J232/D232</f>
        <v>0.43275905118601748</v>
      </c>
      <c r="T232" s="94">
        <f>K232/D232</f>
        <v>4.4640699126092382</v>
      </c>
      <c r="U232" s="94">
        <f>K232/E232</f>
        <v>14.936173767752715</v>
      </c>
      <c r="V232" s="81">
        <v>5289</v>
      </c>
      <c r="W232" s="79" t="s">
        <v>1648</v>
      </c>
      <c r="X232" s="79" t="s">
        <v>1651</v>
      </c>
      <c r="Y232" s="81">
        <v>2767</v>
      </c>
      <c r="Z232" s="81">
        <v>2740</v>
      </c>
      <c r="AA232" s="81">
        <v>4254</v>
      </c>
      <c r="AB232" s="79" t="s">
        <v>1648</v>
      </c>
      <c r="AC232" s="81">
        <v>5691</v>
      </c>
      <c r="AD232" s="79" t="s">
        <v>1648</v>
      </c>
      <c r="AE232" s="79" t="s">
        <v>1649</v>
      </c>
      <c r="AF232" s="77">
        <v>0</v>
      </c>
    </row>
    <row r="233" spans="1:32" ht="15.75" thickBot="1" x14ac:dyDescent="0.3">
      <c r="A233" s="96" t="s">
        <v>498</v>
      </c>
      <c r="B233" s="93" t="s">
        <v>115</v>
      </c>
      <c r="C233" s="79" t="s">
        <v>22</v>
      </c>
      <c r="D233" s="81">
        <v>15175</v>
      </c>
      <c r="E233" s="81">
        <v>6821</v>
      </c>
      <c r="F233" s="81">
        <v>64454</v>
      </c>
      <c r="G233" s="81">
        <v>67441</v>
      </c>
      <c r="H233" s="81">
        <v>51220</v>
      </c>
      <c r="I233" s="81">
        <v>52569</v>
      </c>
      <c r="J233" s="81">
        <v>18442</v>
      </c>
      <c r="K233" s="81">
        <v>122231</v>
      </c>
      <c r="L233" s="81">
        <v>5804</v>
      </c>
      <c r="M233" s="81">
        <v>103789</v>
      </c>
      <c r="N233" s="81">
        <v>24246</v>
      </c>
      <c r="O233" s="81">
        <v>128035</v>
      </c>
      <c r="P233" s="94">
        <f>O233/D233</f>
        <v>8.4372322899505772</v>
      </c>
      <c r="Q233" s="94">
        <f>H233/D233</f>
        <v>3.3752883031301484</v>
      </c>
      <c r="R233" s="94">
        <f>I233/D233</f>
        <v>3.464184514003295</v>
      </c>
      <c r="S233" s="94">
        <f>J233/D233</f>
        <v>1.2152883031301482</v>
      </c>
      <c r="T233" s="94">
        <f>K233/D233</f>
        <v>8.054761120263592</v>
      </c>
      <c r="U233" s="94">
        <f>K233/E233</f>
        <v>17.919806479988271</v>
      </c>
      <c r="V233" s="81">
        <v>16331</v>
      </c>
      <c r="W233" s="79" t="s">
        <v>1648</v>
      </c>
      <c r="X233" s="79" t="s">
        <v>1651</v>
      </c>
      <c r="Y233" s="81">
        <v>2472</v>
      </c>
      <c r="Z233" s="81">
        <v>4596</v>
      </c>
      <c r="AA233" s="81">
        <v>7825</v>
      </c>
      <c r="AB233" s="79" t="s">
        <v>1648</v>
      </c>
      <c r="AC233" s="81">
        <v>3486</v>
      </c>
      <c r="AD233" s="79" t="s">
        <v>1649</v>
      </c>
      <c r="AE233" s="79" t="s">
        <v>1649</v>
      </c>
      <c r="AF233" s="77">
        <v>0</v>
      </c>
    </row>
    <row r="234" spans="1:32" ht="15.75" thickBot="1" x14ac:dyDescent="0.3">
      <c r="A234" s="79" t="s">
        <v>500</v>
      </c>
      <c r="B234" s="93" t="s">
        <v>117</v>
      </c>
      <c r="C234" s="79" t="s">
        <v>22</v>
      </c>
      <c r="D234" s="81">
        <v>12667</v>
      </c>
      <c r="E234" s="81">
        <v>6321</v>
      </c>
      <c r="F234" s="81">
        <v>41950</v>
      </c>
      <c r="G234" s="81">
        <v>10407</v>
      </c>
      <c r="H234" s="81">
        <v>4500</v>
      </c>
      <c r="I234" s="81">
        <v>4000</v>
      </c>
      <c r="J234" s="81">
        <v>1946</v>
      </c>
      <c r="K234" s="81">
        <v>10446</v>
      </c>
      <c r="L234" s="81">
        <v>324</v>
      </c>
      <c r="M234" s="81">
        <v>8500</v>
      </c>
      <c r="N234" s="81">
        <v>2270</v>
      </c>
      <c r="O234" s="81">
        <v>10770</v>
      </c>
      <c r="P234" s="94">
        <f>O234/D234</f>
        <v>0.8502407831372859</v>
      </c>
      <c r="Q234" s="94">
        <f>H234/D234</f>
        <v>0.35525380911028659</v>
      </c>
      <c r="R234" s="94">
        <f>I234/D234</f>
        <v>0.31578116365358805</v>
      </c>
      <c r="S234" s="94">
        <f>J234/D234</f>
        <v>0.1536275361174706</v>
      </c>
      <c r="T234" s="94">
        <f>K234/D234</f>
        <v>0.82466250888134518</v>
      </c>
      <c r="U234" s="94">
        <f>K234/E234</f>
        <v>1.6525866160417655</v>
      </c>
      <c r="V234" s="81">
        <v>8541</v>
      </c>
      <c r="W234" s="79" t="s">
        <v>1648</v>
      </c>
      <c r="X234" s="79" t="s">
        <v>1650</v>
      </c>
      <c r="Y234" s="81">
        <v>2652</v>
      </c>
      <c r="Z234" s="81">
        <v>1954</v>
      </c>
      <c r="AA234" s="81">
        <v>19524</v>
      </c>
      <c r="AB234" s="79" t="s">
        <v>1648</v>
      </c>
      <c r="AC234" s="81">
        <v>6400</v>
      </c>
      <c r="AD234" s="79" t="s">
        <v>1648</v>
      </c>
      <c r="AE234" s="79" t="s">
        <v>1649</v>
      </c>
      <c r="AF234" s="95">
        <v>0</v>
      </c>
    </row>
    <row r="235" spans="1:32" ht="15.75" thickBot="1" x14ac:dyDescent="0.3">
      <c r="A235" s="79" t="s">
        <v>502</v>
      </c>
      <c r="B235" s="93" t="s">
        <v>121</v>
      </c>
      <c r="C235" s="79" t="s">
        <v>22</v>
      </c>
      <c r="D235" s="81">
        <v>19336</v>
      </c>
      <c r="E235" s="81">
        <v>6969</v>
      </c>
      <c r="F235" s="81">
        <v>63462</v>
      </c>
      <c r="G235" s="81">
        <v>32418</v>
      </c>
      <c r="H235" s="81">
        <v>28732</v>
      </c>
      <c r="I235" s="81">
        <v>23926</v>
      </c>
      <c r="J235" s="81">
        <v>10352</v>
      </c>
      <c r="K235" s="81">
        <v>63010</v>
      </c>
      <c r="L235" s="81">
        <v>1402</v>
      </c>
      <c r="M235" s="81">
        <v>52658</v>
      </c>
      <c r="N235" s="81">
        <v>11754</v>
      </c>
      <c r="O235" s="81">
        <v>64412</v>
      </c>
      <c r="P235" s="94">
        <f>O235/D235</f>
        <v>3.3311956971452212</v>
      </c>
      <c r="Q235" s="94">
        <f>H235/D235</f>
        <v>1.4859329747621017</v>
      </c>
      <c r="R235" s="94">
        <f>I235/D235</f>
        <v>1.2373810508895324</v>
      </c>
      <c r="S235" s="94">
        <f>J235/D235</f>
        <v>0.53537443111294991</v>
      </c>
      <c r="T235" s="94">
        <f>K235/D235</f>
        <v>3.2586884567645842</v>
      </c>
      <c r="U235" s="94">
        <f>K235/E235</f>
        <v>9.0414693643277371</v>
      </c>
      <c r="V235" s="81">
        <v>4382</v>
      </c>
      <c r="W235" s="79" t="s">
        <v>1648</v>
      </c>
      <c r="X235" s="79" t="s">
        <v>1651</v>
      </c>
      <c r="Y235" s="81">
        <v>3044</v>
      </c>
      <c r="Z235" s="81">
        <v>2971</v>
      </c>
      <c r="AA235" s="81">
        <v>2721</v>
      </c>
      <c r="AB235" s="79" t="s">
        <v>1648</v>
      </c>
      <c r="AC235" s="81">
        <v>6807</v>
      </c>
      <c r="AD235" s="79" t="s">
        <v>1648</v>
      </c>
      <c r="AE235" s="79" t="s">
        <v>1648</v>
      </c>
      <c r="AF235" s="81">
        <v>15</v>
      </c>
    </row>
    <row r="236" spans="1:32" ht="15.75" thickBot="1" x14ac:dyDescent="0.3">
      <c r="A236" s="79" t="s">
        <v>504</v>
      </c>
      <c r="B236" s="93" t="s">
        <v>157</v>
      </c>
      <c r="C236" s="79" t="s">
        <v>22</v>
      </c>
      <c r="D236" s="81">
        <v>15068</v>
      </c>
      <c r="E236" s="81">
        <v>9883</v>
      </c>
      <c r="F236" s="81">
        <v>47429</v>
      </c>
      <c r="G236" s="81">
        <v>20081</v>
      </c>
      <c r="H236" s="81">
        <v>62703</v>
      </c>
      <c r="I236" s="81">
        <v>49903</v>
      </c>
      <c r="J236" s="81">
        <v>17115</v>
      </c>
      <c r="K236" s="81">
        <v>129721</v>
      </c>
      <c r="L236" s="81">
        <v>3014</v>
      </c>
      <c r="M236" s="81">
        <v>112606</v>
      </c>
      <c r="N236" s="81">
        <v>20129</v>
      </c>
      <c r="O236" s="81">
        <v>132735</v>
      </c>
      <c r="P236" s="94">
        <f>O236/D236</f>
        <v>8.8090655694186353</v>
      </c>
      <c r="Q236" s="94">
        <f>H236/D236</f>
        <v>4.1613352800637111</v>
      </c>
      <c r="R236" s="94">
        <f>I236/D236</f>
        <v>3.3118529333687285</v>
      </c>
      <c r="S236" s="94">
        <f>J236/D236</f>
        <v>1.1358508096628617</v>
      </c>
      <c r="T236" s="94">
        <f>K236/D236</f>
        <v>8.6090390230953009</v>
      </c>
      <c r="U236" s="94">
        <f>K236/E236</f>
        <v>13.125670343013255</v>
      </c>
      <c r="V236" s="81">
        <v>3500</v>
      </c>
      <c r="W236" s="79" t="s">
        <v>1648</v>
      </c>
      <c r="X236" s="79" t="s">
        <v>1650</v>
      </c>
      <c r="Y236" s="81">
        <v>1332</v>
      </c>
      <c r="Z236" s="81">
        <v>4111</v>
      </c>
      <c r="AA236" s="81">
        <v>7102</v>
      </c>
      <c r="AB236" s="79" t="s">
        <v>1648</v>
      </c>
      <c r="AC236" s="81">
        <v>5500</v>
      </c>
      <c r="AD236" s="79" t="s">
        <v>1648</v>
      </c>
      <c r="AE236" s="79" t="s">
        <v>1649</v>
      </c>
      <c r="AF236" s="77">
        <v>0</v>
      </c>
    </row>
    <row r="237" spans="1:32" ht="15.75" thickBot="1" x14ac:dyDescent="0.3">
      <c r="A237" s="79" t="s">
        <v>506</v>
      </c>
      <c r="B237" s="93" t="s">
        <v>161</v>
      </c>
      <c r="C237" s="79" t="s">
        <v>22</v>
      </c>
      <c r="D237" s="81">
        <v>24370</v>
      </c>
      <c r="E237" s="81">
        <v>8107</v>
      </c>
      <c r="F237" s="81">
        <v>59795</v>
      </c>
      <c r="G237" s="81">
        <v>34136</v>
      </c>
      <c r="H237" s="81">
        <v>18343</v>
      </c>
      <c r="I237" s="81">
        <v>24418</v>
      </c>
      <c r="J237" s="81">
        <v>14287</v>
      </c>
      <c r="K237" s="81">
        <v>57048</v>
      </c>
      <c r="L237" s="77" t="s">
        <v>1660</v>
      </c>
      <c r="M237" s="81">
        <v>42761</v>
      </c>
      <c r="N237" s="81">
        <v>14287</v>
      </c>
      <c r="O237" s="81">
        <v>57048</v>
      </c>
      <c r="P237" s="94">
        <f>O237/D237</f>
        <v>2.3409109560935577</v>
      </c>
      <c r="Q237" s="94">
        <f>H237/D237</f>
        <v>0.7526877308165778</v>
      </c>
      <c r="R237" s="94">
        <f>I237/D237</f>
        <v>1.0019696347968814</v>
      </c>
      <c r="S237" s="94">
        <f>J237/D237</f>
        <v>0.58625359048009851</v>
      </c>
      <c r="T237" s="94">
        <f>K237/D237</f>
        <v>2.3409109560935577</v>
      </c>
      <c r="U237" s="94">
        <f>K237/E237</f>
        <v>7.0368817071666463</v>
      </c>
      <c r="V237" s="81">
        <v>5523</v>
      </c>
      <c r="W237" s="79" t="s">
        <v>1648</v>
      </c>
      <c r="X237" s="79" t="s">
        <v>1650</v>
      </c>
      <c r="Y237" s="81">
        <v>1064</v>
      </c>
      <c r="Z237" s="81">
        <v>1399</v>
      </c>
      <c r="AA237" s="81">
        <v>10342</v>
      </c>
      <c r="AB237" s="79" t="s">
        <v>1648</v>
      </c>
      <c r="AC237" s="81">
        <v>9372</v>
      </c>
      <c r="AD237" s="79" t="s">
        <v>1648</v>
      </c>
      <c r="AE237" s="79" t="s">
        <v>1649</v>
      </c>
      <c r="AF237" s="77">
        <v>0</v>
      </c>
    </row>
    <row r="238" spans="1:32" ht="15.75" thickBot="1" x14ac:dyDescent="0.3">
      <c r="A238" s="79" t="s">
        <v>508</v>
      </c>
      <c r="B238" s="93" t="s">
        <v>165</v>
      </c>
      <c r="C238" s="79" t="s">
        <v>22</v>
      </c>
      <c r="D238" s="81">
        <v>13894</v>
      </c>
      <c r="E238" s="81">
        <v>4104</v>
      </c>
      <c r="F238" s="81">
        <v>74000</v>
      </c>
      <c r="G238" s="81">
        <v>39750</v>
      </c>
      <c r="H238" s="81">
        <v>33169</v>
      </c>
      <c r="I238" s="81">
        <v>70045</v>
      </c>
      <c r="J238" s="81">
        <v>12459</v>
      </c>
      <c r="K238" s="81">
        <v>115673</v>
      </c>
      <c r="L238" s="81">
        <v>0</v>
      </c>
      <c r="M238" s="81">
        <v>103214</v>
      </c>
      <c r="N238" s="81">
        <v>12459</v>
      </c>
      <c r="O238" s="81">
        <v>115673</v>
      </c>
      <c r="P238" s="94">
        <f>O238/D238</f>
        <v>8.3253922556499216</v>
      </c>
      <c r="Q238" s="94">
        <f>H238/D238</f>
        <v>2.3872894774722901</v>
      </c>
      <c r="R238" s="94">
        <f>I238/D238</f>
        <v>5.0413847704044912</v>
      </c>
      <c r="S238" s="94">
        <f>J238/D238</f>
        <v>0.89671800777313948</v>
      </c>
      <c r="T238" s="94">
        <f>K238/D238</f>
        <v>8.3253922556499216</v>
      </c>
      <c r="U238" s="94">
        <f>K238/E238</f>
        <v>28.185428849902536</v>
      </c>
      <c r="V238" s="81">
        <v>0</v>
      </c>
      <c r="W238" s="79" t="s">
        <v>1649</v>
      </c>
      <c r="X238" s="79" t="s">
        <v>1650</v>
      </c>
      <c r="Y238" s="81">
        <v>5570</v>
      </c>
      <c r="Z238" s="81">
        <v>5810</v>
      </c>
      <c r="AA238" s="81">
        <v>0</v>
      </c>
      <c r="AB238" s="79" t="s">
        <v>1648</v>
      </c>
      <c r="AC238" s="77" t="s">
        <v>1660</v>
      </c>
      <c r="AD238" s="79" t="s">
        <v>1649</v>
      </c>
      <c r="AE238" s="79" t="s">
        <v>1649</v>
      </c>
      <c r="AF238" s="95">
        <v>0</v>
      </c>
    </row>
    <row r="239" spans="1:32" ht="15.75" thickBot="1" x14ac:dyDescent="0.3">
      <c r="A239" s="79" t="s">
        <v>510</v>
      </c>
      <c r="B239" s="93" t="s">
        <v>167</v>
      </c>
      <c r="C239" s="79" t="s">
        <v>22</v>
      </c>
      <c r="D239" s="81">
        <v>15010</v>
      </c>
      <c r="E239" s="81">
        <v>6923</v>
      </c>
      <c r="F239" s="81">
        <v>147355</v>
      </c>
      <c r="G239" s="81">
        <v>67437</v>
      </c>
      <c r="H239" s="81">
        <v>108282</v>
      </c>
      <c r="I239" s="81">
        <v>137813</v>
      </c>
      <c r="J239" s="81">
        <v>34935</v>
      </c>
      <c r="K239" s="81">
        <v>281030</v>
      </c>
      <c r="L239" s="81">
        <v>2468</v>
      </c>
      <c r="M239" s="81">
        <v>246095</v>
      </c>
      <c r="N239" s="81">
        <v>37403</v>
      </c>
      <c r="O239" s="81">
        <v>283498</v>
      </c>
      <c r="P239" s="94">
        <f>O239/D239</f>
        <v>18.887275149900066</v>
      </c>
      <c r="Q239" s="94">
        <f>H239/D239</f>
        <v>7.2139906728847434</v>
      </c>
      <c r="R239" s="94">
        <f>I239/D239</f>
        <v>9.1814123917388404</v>
      </c>
      <c r="S239" s="94">
        <f>J239/D239</f>
        <v>2.3274483677548301</v>
      </c>
      <c r="T239" s="94">
        <f>K239/D239</f>
        <v>18.722851432378416</v>
      </c>
      <c r="U239" s="94">
        <f>K239/E239</f>
        <v>40.593673263036258</v>
      </c>
      <c r="V239" s="81">
        <v>28847</v>
      </c>
      <c r="W239" s="79" t="s">
        <v>1648</v>
      </c>
      <c r="X239" s="79" t="s">
        <v>1651</v>
      </c>
      <c r="Y239" s="81">
        <v>13525</v>
      </c>
      <c r="Z239" s="81">
        <v>68982</v>
      </c>
      <c r="AA239" s="81">
        <v>15827</v>
      </c>
      <c r="AB239" s="79" t="s">
        <v>1648</v>
      </c>
      <c r="AC239" s="81">
        <v>69612</v>
      </c>
      <c r="AD239" s="79" t="s">
        <v>1648</v>
      </c>
      <c r="AE239" s="79" t="s">
        <v>1648</v>
      </c>
      <c r="AF239" s="81">
        <v>197</v>
      </c>
    </row>
    <row r="240" spans="1:32" ht="15.75" thickBot="1" x14ac:dyDescent="0.3">
      <c r="A240" s="79" t="s">
        <v>512</v>
      </c>
      <c r="B240" s="93" t="s">
        <v>181</v>
      </c>
      <c r="C240" s="79" t="s">
        <v>22</v>
      </c>
      <c r="D240" s="81">
        <v>12982</v>
      </c>
      <c r="E240" s="81">
        <v>8164</v>
      </c>
      <c r="F240" s="81">
        <v>35913</v>
      </c>
      <c r="G240" s="81">
        <v>31220</v>
      </c>
      <c r="H240" s="81">
        <v>12513</v>
      </c>
      <c r="I240" s="81">
        <v>36934</v>
      </c>
      <c r="J240" s="81">
        <v>7612</v>
      </c>
      <c r="K240" s="81">
        <v>57059</v>
      </c>
      <c r="L240" s="81">
        <v>4725</v>
      </c>
      <c r="M240" s="81">
        <v>49447</v>
      </c>
      <c r="N240" s="81">
        <v>12337</v>
      </c>
      <c r="O240" s="81">
        <v>61784</v>
      </c>
      <c r="P240" s="94">
        <f>O240/D240</f>
        <v>4.7592050531505157</v>
      </c>
      <c r="Q240" s="94">
        <f>H240/D240</f>
        <v>0.96387305499922971</v>
      </c>
      <c r="R240" s="94">
        <f>I240/D240</f>
        <v>2.8450161762440302</v>
      </c>
      <c r="S240" s="94">
        <f>J240/D240</f>
        <v>0.58635033122785396</v>
      </c>
      <c r="T240" s="94">
        <f>K240/D240</f>
        <v>4.3952395624711142</v>
      </c>
      <c r="U240" s="94">
        <f>K240/E240</f>
        <v>6.9890984811366978</v>
      </c>
      <c r="V240" s="81">
        <v>6163</v>
      </c>
      <c r="W240" s="79" t="s">
        <v>1648</v>
      </c>
      <c r="X240" s="79" t="s">
        <v>1651</v>
      </c>
      <c r="Y240" s="81">
        <v>778</v>
      </c>
      <c r="Z240" s="81">
        <v>1624</v>
      </c>
      <c r="AA240" s="81">
        <v>6212</v>
      </c>
      <c r="AB240" s="79" t="s">
        <v>1648</v>
      </c>
      <c r="AC240" s="81">
        <v>3924</v>
      </c>
      <c r="AD240" s="79" t="s">
        <v>1648</v>
      </c>
      <c r="AE240" s="79" t="s">
        <v>1649</v>
      </c>
      <c r="AF240" s="95">
        <v>0</v>
      </c>
    </row>
    <row r="241" spans="1:32" ht="15.75" thickBot="1" x14ac:dyDescent="0.3">
      <c r="A241" s="79" t="s">
        <v>514</v>
      </c>
      <c r="B241" s="93" t="s">
        <v>191</v>
      </c>
      <c r="C241" s="79" t="s">
        <v>22</v>
      </c>
      <c r="D241" s="81">
        <v>14854</v>
      </c>
      <c r="E241" s="81">
        <v>2180</v>
      </c>
      <c r="F241" s="81">
        <v>55821</v>
      </c>
      <c r="G241" s="81">
        <v>42092</v>
      </c>
      <c r="H241" s="81">
        <v>44920</v>
      </c>
      <c r="I241" s="81">
        <v>36155</v>
      </c>
      <c r="J241" s="81">
        <v>8936</v>
      </c>
      <c r="K241" s="81">
        <v>90011</v>
      </c>
      <c r="L241" s="81">
        <v>1172</v>
      </c>
      <c r="M241" s="81">
        <v>81075</v>
      </c>
      <c r="N241" s="81">
        <v>10108</v>
      </c>
      <c r="O241" s="81">
        <v>91183</v>
      </c>
      <c r="P241" s="94">
        <f>O241/D241</f>
        <v>6.138615861047529</v>
      </c>
      <c r="Q241" s="94">
        <f>H241/D241</f>
        <v>3.0241012521879629</v>
      </c>
      <c r="R241" s="94">
        <f>I241/D241</f>
        <v>2.434024505183789</v>
      </c>
      <c r="S241" s="94">
        <f>J241/D241</f>
        <v>0.60158879763026796</v>
      </c>
      <c r="T241" s="94">
        <f>K241/D241</f>
        <v>6.0597145550020199</v>
      </c>
      <c r="U241" s="94">
        <f>K241/E241</f>
        <v>41.289449541284405</v>
      </c>
      <c r="V241" s="81">
        <v>15291</v>
      </c>
      <c r="W241" s="79" t="s">
        <v>1648</v>
      </c>
      <c r="X241" s="79" t="s">
        <v>1651</v>
      </c>
      <c r="Y241" s="81">
        <v>989</v>
      </c>
      <c r="Z241" s="81">
        <v>1481</v>
      </c>
      <c r="AA241" s="81">
        <v>6481</v>
      </c>
      <c r="AB241" s="79" t="s">
        <v>1648</v>
      </c>
      <c r="AC241" s="81">
        <v>2431</v>
      </c>
      <c r="AD241" s="79" t="s">
        <v>1648</v>
      </c>
      <c r="AE241" s="79" t="s">
        <v>1648</v>
      </c>
      <c r="AF241" s="81">
        <v>30</v>
      </c>
    </row>
    <row r="242" spans="1:32" ht="15.75" thickBot="1" x14ac:dyDescent="0.3">
      <c r="A242" s="79" t="s">
        <v>516</v>
      </c>
      <c r="B242" s="93" t="s">
        <v>197</v>
      </c>
      <c r="C242" s="79" t="s">
        <v>22</v>
      </c>
      <c r="D242" s="81">
        <v>14074</v>
      </c>
      <c r="E242" s="81">
        <v>6558</v>
      </c>
      <c r="F242" s="81">
        <v>24569</v>
      </c>
      <c r="G242" s="81">
        <v>21330</v>
      </c>
      <c r="H242" s="81">
        <v>2721</v>
      </c>
      <c r="I242" s="81">
        <v>13157</v>
      </c>
      <c r="J242" s="81">
        <v>4544</v>
      </c>
      <c r="K242" s="81">
        <v>20422</v>
      </c>
      <c r="L242" s="81">
        <v>4544</v>
      </c>
      <c r="M242" s="81">
        <v>15878</v>
      </c>
      <c r="N242" s="81">
        <v>9088</v>
      </c>
      <c r="O242" s="81">
        <v>24966</v>
      </c>
      <c r="P242" s="94">
        <f>O242/D242</f>
        <v>1.7739093363649283</v>
      </c>
      <c r="Q242" s="94">
        <f>H242/D242</f>
        <v>0.1933352280801478</v>
      </c>
      <c r="R242" s="94">
        <f>I242/D242</f>
        <v>0.93484439391786267</v>
      </c>
      <c r="S242" s="94">
        <f>J242/D242</f>
        <v>0.32286485718345886</v>
      </c>
      <c r="T242" s="94">
        <f>K242/D242</f>
        <v>1.4510444791814694</v>
      </c>
      <c r="U242" s="94">
        <f>K242/E242</f>
        <v>3.114059164379384</v>
      </c>
      <c r="V242" s="81">
        <v>1689</v>
      </c>
      <c r="W242" s="79" t="s">
        <v>1649</v>
      </c>
      <c r="X242" s="79" t="s">
        <v>1651</v>
      </c>
      <c r="Y242" s="81">
        <v>596</v>
      </c>
      <c r="Z242" s="81">
        <v>710</v>
      </c>
      <c r="AA242" s="81">
        <v>3460</v>
      </c>
      <c r="AB242" s="79" t="s">
        <v>1648</v>
      </c>
      <c r="AC242" s="81">
        <v>4918</v>
      </c>
      <c r="AD242" s="79" t="s">
        <v>1648</v>
      </c>
      <c r="AE242" s="79" t="s">
        <v>1649</v>
      </c>
      <c r="AF242" s="95">
        <v>0</v>
      </c>
    </row>
    <row r="243" spans="1:32" ht="15.75" thickBot="1" x14ac:dyDescent="0.3">
      <c r="A243" s="96" t="s">
        <v>518</v>
      </c>
      <c r="B243" s="93" t="s">
        <v>223</v>
      </c>
      <c r="C243" s="79" t="s">
        <v>22</v>
      </c>
      <c r="D243" s="81">
        <v>20542</v>
      </c>
      <c r="E243" s="81">
        <v>12438</v>
      </c>
      <c r="F243" s="81">
        <v>60310</v>
      </c>
      <c r="G243" s="81">
        <v>40743</v>
      </c>
      <c r="H243" s="81">
        <v>51378</v>
      </c>
      <c r="I243" s="81">
        <v>47648</v>
      </c>
      <c r="J243" s="81">
        <v>29739</v>
      </c>
      <c r="K243" s="81">
        <v>128765</v>
      </c>
      <c r="L243" s="81">
        <v>1276</v>
      </c>
      <c r="M243" s="81">
        <v>99026</v>
      </c>
      <c r="N243" s="81">
        <v>31015</v>
      </c>
      <c r="O243" s="81">
        <v>130041</v>
      </c>
      <c r="P243" s="94">
        <f>O243/D243</f>
        <v>6.3304936228215363</v>
      </c>
      <c r="Q243" s="94">
        <f>H243/D243</f>
        <v>2.5011196572875085</v>
      </c>
      <c r="R243" s="94">
        <f>I243/D243</f>
        <v>2.3195404537046054</v>
      </c>
      <c r="S243" s="94">
        <f>J243/D243</f>
        <v>1.4477168727485152</v>
      </c>
      <c r="T243" s="94">
        <f>K243/D243</f>
        <v>6.2683769837406293</v>
      </c>
      <c r="U243" s="94">
        <f>K243/E243</f>
        <v>10.352548641260652</v>
      </c>
      <c r="V243" s="81">
        <v>7432</v>
      </c>
      <c r="W243" s="79" t="s">
        <v>1648</v>
      </c>
      <c r="X243" s="79" t="s">
        <v>1651</v>
      </c>
      <c r="Y243" s="81">
        <v>1995</v>
      </c>
      <c r="Z243" s="81">
        <v>3801</v>
      </c>
      <c r="AA243" s="81">
        <v>3950</v>
      </c>
      <c r="AB243" s="79" t="s">
        <v>1648</v>
      </c>
      <c r="AC243" s="81">
        <v>6874</v>
      </c>
      <c r="AD243" s="79" t="s">
        <v>1648</v>
      </c>
      <c r="AE243" s="79" t="s">
        <v>1648</v>
      </c>
      <c r="AF243" s="81">
        <v>645</v>
      </c>
    </row>
    <row r="244" spans="1:32" ht="15.75" thickBot="1" x14ac:dyDescent="0.3">
      <c r="A244" s="79" t="s">
        <v>520</v>
      </c>
      <c r="B244" s="93" t="s">
        <v>225</v>
      </c>
      <c r="C244" s="79" t="s">
        <v>22</v>
      </c>
      <c r="D244" s="81">
        <v>19591</v>
      </c>
      <c r="E244" s="81">
        <v>11179</v>
      </c>
      <c r="F244" s="81">
        <v>75280</v>
      </c>
      <c r="G244" s="81">
        <v>102976</v>
      </c>
      <c r="H244" s="81">
        <v>80777</v>
      </c>
      <c r="I244" s="81">
        <v>52264</v>
      </c>
      <c r="J244" s="81">
        <v>64016</v>
      </c>
      <c r="K244" s="81">
        <v>197057</v>
      </c>
      <c r="L244" s="81">
        <v>28318</v>
      </c>
      <c r="M244" s="81">
        <v>133041</v>
      </c>
      <c r="N244" s="81">
        <v>92334</v>
      </c>
      <c r="O244" s="81">
        <v>225375</v>
      </c>
      <c r="P244" s="94">
        <f>O244/D244</f>
        <v>11.504006941963146</v>
      </c>
      <c r="Q244" s="94">
        <f>H244/D244</f>
        <v>4.1231688020009187</v>
      </c>
      <c r="R244" s="94">
        <f>I244/D244</f>
        <v>2.6677556020621713</v>
      </c>
      <c r="S244" s="94">
        <f>J244/D244</f>
        <v>3.2676228880608442</v>
      </c>
      <c r="T244" s="94">
        <f>K244/D244</f>
        <v>10.058547292123935</v>
      </c>
      <c r="U244" s="94">
        <f>K244/E244</f>
        <v>17.627426424546023</v>
      </c>
      <c r="V244" s="81">
        <v>14140</v>
      </c>
      <c r="W244" s="79" t="s">
        <v>1648</v>
      </c>
      <c r="X244" s="79" t="s">
        <v>1651</v>
      </c>
      <c r="Y244" s="81">
        <v>26288</v>
      </c>
      <c r="Z244" s="81">
        <v>31218</v>
      </c>
      <c r="AA244" s="81">
        <v>17927</v>
      </c>
      <c r="AB244" s="79" t="s">
        <v>1648</v>
      </c>
      <c r="AC244" s="81">
        <v>6593</v>
      </c>
      <c r="AD244" s="79" t="s">
        <v>1648</v>
      </c>
      <c r="AE244" s="79" t="s">
        <v>1648</v>
      </c>
      <c r="AF244" s="81">
        <v>819</v>
      </c>
    </row>
    <row r="245" spans="1:32" ht="15.75" thickBot="1" x14ac:dyDescent="0.3">
      <c r="A245" s="79" t="s">
        <v>522</v>
      </c>
      <c r="B245" s="93" t="s">
        <v>233</v>
      </c>
      <c r="C245" s="79" t="s">
        <v>22</v>
      </c>
      <c r="D245" s="81">
        <v>13306</v>
      </c>
      <c r="E245" s="81">
        <v>8801</v>
      </c>
      <c r="F245" s="81">
        <v>25056</v>
      </c>
      <c r="G245" s="81">
        <v>11431</v>
      </c>
      <c r="H245" s="81">
        <v>20998</v>
      </c>
      <c r="I245" s="81">
        <v>58518</v>
      </c>
      <c r="J245" s="81">
        <v>5098</v>
      </c>
      <c r="K245" s="81">
        <v>84614</v>
      </c>
      <c r="L245" s="81">
        <v>0</v>
      </c>
      <c r="M245" s="81">
        <v>79516</v>
      </c>
      <c r="N245" s="81">
        <v>5098</v>
      </c>
      <c r="O245" s="81">
        <v>84614</v>
      </c>
      <c r="P245" s="94">
        <f>O245/D245</f>
        <v>6.3590861265594469</v>
      </c>
      <c r="Q245" s="94">
        <f>H245/D245</f>
        <v>1.5780850744025252</v>
      </c>
      <c r="R245" s="94">
        <f>I245/D245</f>
        <v>4.3978656245302874</v>
      </c>
      <c r="S245" s="94">
        <f>J245/D245</f>
        <v>0.38313542762663461</v>
      </c>
      <c r="T245" s="94">
        <f>K245/D245</f>
        <v>6.3590861265594469</v>
      </c>
      <c r="U245" s="94">
        <f>K245/E245</f>
        <v>9.6141347574139306</v>
      </c>
      <c r="V245" s="81">
        <v>1848</v>
      </c>
      <c r="W245" s="79" t="s">
        <v>1648</v>
      </c>
      <c r="X245" s="79" t="s">
        <v>1651</v>
      </c>
      <c r="Y245" s="81">
        <v>1339</v>
      </c>
      <c r="Z245" s="81">
        <v>1383</v>
      </c>
      <c r="AA245" s="81">
        <v>1754</v>
      </c>
      <c r="AB245" s="79" t="s">
        <v>1648</v>
      </c>
      <c r="AC245" s="81">
        <v>1987</v>
      </c>
      <c r="AD245" s="79" t="s">
        <v>1648</v>
      </c>
      <c r="AE245" s="79" t="s">
        <v>1649</v>
      </c>
      <c r="AF245" s="95">
        <v>0</v>
      </c>
    </row>
    <row r="246" spans="1:32" ht="15.75" thickBot="1" x14ac:dyDescent="0.3">
      <c r="A246" s="79" t="s">
        <v>524</v>
      </c>
      <c r="B246" s="93" t="s">
        <v>243</v>
      </c>
      <c r="C246" s="79" t="s">
        <v>22</v>
      </c>
      <c r="D246" s="81">
        <v>12670</v>
      </c>
      <c r="E246" s="81">
        <v>2630</v>
      </c>
      <c r="F246" s="81">
        <v>20844</v>
      </c>
      <c r="G246" s="81">
        <v>11755</v>
      </c>
      <c r="H246" s="81">
        <v>5205</v>
      </c>
      <c r="I246" s="81">
        <v>9386</v>
      </c>
      <c r="J246" s="81">
        <v>7502</v>
      </c>
      <c r="K246" s="81">
        <v>22093</v>
      </c>
      <c r="L246" s="81">
        <v>482</v>
      </c>
      <c r="M246" s="81">
        <v>14591</v>
      </c>
      <c r="N246" s="81">
        <v>7984</v>
      </c>
      <c r="O246" s="81">
        <v>22575</v>
      </c>
      <c r="P246" s="94">
        <f>O246/D246</f>
        <v>1.781767955801105</v>
      </c>
      <c r="Q246" s="94">
        <f>H246/D246</f>
        <v>0.41081294396211521</v>
      </c>
      <c r="R246" s="94">
        <f>I246/D246</f>
        <v>0.74080505130228891</v>
      </c>
      <c r="S246" s="94">
        <f>J246/D246</f>
        <v>0.59210734017363853</v>
      </c>
      <c r="T246" s="94">
        <f>K246/D246</f>
        <v>1.7437253354380426</v>
      </c>
      <c r="U246" s="94">
        <f>K246/E246</f>
        <v>8.400380228136882</v>
      </c>
      <c r="V246" s="81">
        <v>5037</v>
      </c>
      <c r="W246" s="79" t="s">
        <v>1648</v>
      </c>
      <c r="X246" s="79" t="s">
        <v>1651</v>
      </c>
      <c r="Y246" s="81">
        <v>731</v>
      </c>
      <c r="Z246" s="81">
        <v>2056</v>
      </c>
      <c r="AA246" s="81">
        <v>2940</v>
      </c>
      <c r="AB246" s="79" t="s">
        <v>1648</v>
      </c>
      <c r="AC246" s="81">
        <v>3536</v>
      </c>
      <c r="AD246" s="79" t="s">
        <v>1648</v>
      </c>
      <c r="AE246" s="79" t="s">
        <v>1648</v>
      </c>
      <c r="AF246" s="81">
        <v>27</v>
      </c>
    </row>
    <row r="247" spans="1:32" ht="15.75" thickBot="1" x14ac:dyDescent="0.3">
      <c r="A247" s="79" t="s">
        <v>526</v>
      </c>
      <c r="B247" s="93" t="s">
        <v>259</v>
      </c>
      <c r="C247" s="79" t="s">
        <v>22</v>
      </c>
      <c r="D247" s="81">
        <v>25830</v>
      </c>
      <c r="E247" s="81">
        <v>10373</v>
      </c>
      <c r="F247" s="81">
        <v>46082</v>
      </c>
      <c r="G247" s="81">
        <v>25610</v>
      </c>
      <c r="H247" s="81">
        <v>13651</v>
      </c>
      <c r="I247" s="81">
        <v>35957</v>
      </c>
      <c r="J247" s="81">
        <v>12125</v>
      </c>
      <c r="K247" s="81">
        <v>61733</v>
      </c>
      <c r="L247" s="81">
        <v>10080</v>
      </c>
      <c r="M247" s="81">
        <v>49608</v>
      </c>
      <c r="N247" s="81">
        <v>22205</v>
      </c>
      <c r="O247" s="81">
        <v>71813</v>
      </c>
      <c r="P247" s="94">
        <f>O247/D247</f>
        <v>2.7802168021680216</v>
      </c>
      <c r="Q247" s="94">
        <f>H247/D247</f>
        <v>0.5284939992257065</v>
      </c>
      <c r="R247" s="94">
        <f>I247/D247</f>
        <v>1.392063492063492</v>
      </c>
      <c r="S247" s="94">
        <f>J247/D247</f>
        <v>0.46941540843979868</v>
      </c>
      <c r="T247" s="94">
        <f>K247/D247</f>
        <v>2.3899728997289973</v>
      </c>
      <c r="U247" s="94">
        <f>K247/E247</f>
        <v>5.9513159163212181</v>
      </c>
      <c r="V247" s="81">
        <v>3078</v>
      </c>
      <c r="W247" s="79" t="s">
        <v>1648</v>
      </c>
      <c r="X247" s="79" t="s">
        <v>1650</v>
      </c>
      <c r="Y247" s="81">
        <v>3109</v>
      </c>
      <c r="Z247" s="81">
        <v>2654</v>
      </c>
      <c r="AA247" s="81">
        <v>7944</v>
      </c>
      <c r="AB247" s="79" t="s">
        <v>1648</v>
      </c>
      <c r="AC247" s="81">
        <v>9635</v>
      </c>
      <c r="AD247" s="79" t="s">
        <v>1648</v>
      </c>
      <c r="AE247" s="79" t="s">
        <v>1649</v>
      </c>
      <c r="AF247" s="95">
        <v>0</v>
      </c>
    </row>
    <row r="248" spans="1:32" ht="15.75" thickBot="1" x14ac:dyDescent="0.3">
      <c r="A248" s="79" t="s">
        <v>528</v>
      </c>
      <c r="B248" s="93" t="s">
        <v>267</v>
      </c>
      <c r="C248" s="79" t="s">
        <v>22</v>
      </c>
      <c r="D248" s="81">
        <v>14230</v>
      </c>
      <c r="E248" s="81">
        <v>2297</v>
      </c>
      <c r="F248" s="81">
        <v>55887</v>
      </c>
      <c r="G248" s="81">
        <v>72889</v>
      </c>
      <c r="H248" s="81">
        <v>7777</v>
      </c>
      <c r="I248" s="81">
        <v>16322</v>
      </c>
      <c r="J248" s="81">
        <v>4859</v>
      </c>
      <c r="K248" s="81">
        <v>28958</v>
      </c>
      <c r="L248" s="81">
        <v>1089</v>
      </c>
      <c r="M248" s="81">
        <v>24099</v>
      </c>
      <c r="N248" s="81">
        <v>5948</v>
      </c>
      <c r="O248" s="81">
        <v>30047</v>
      </c>
      <c r="P248" s="94">
        <f>O248/D248</f>
        <v>2.1115249472944484</v>
      </c>
      <c r="Q248" s="94">
        <f>H248/D248</f>
        <v>0.54652143359100491</v>
      </c>
      <c r="R248" s="94">
        <f>I248/D248</f>
        <v>1.147013352073085</v>
      </c>
      <c r="S248" s="94">
        <f>J248/D248</f>
        <v>0.34146170063246661</v>
      </c>
      <c r="T248" s="94">
        <f>K248/D248</f>
        <v>2.0349964862965564</v>
      </c>
      <c r="U248" s="94">
        <f>K248/E248</f>
        <v>12.606878537222464</v>
      </c>
      <c r="V248" s="81">
        <v>3506</v>
      </c>
      <c r="W248" s="79" t="s">
        <v>1648</v>
      </c>
      <c r="X248" s="79" t="s">
        <v>1650</v>
      </c>
      <c r="Y248" s="81">
        <v>4914</v>
      </c>
      <c r="Z248" s="81">
        <v>3680</v>
      </c>
      <c r="AA248" s="81">
        <v>10208</v>
      </c>
      <c r="AB248" s="79" t="s">
        <v>1648</v>
      </c>
      <c r="AC248" s="81">
        <v>19206</v>
      </c>
      <c r="AD248" s="79" t="s">
        <v>1648</v>
      </c>
      <c r="AE248" s="79" t="s">
        <v>1649</v>
      </c>
      <c r="AF248" s="95">
        <v>0</v>
      </c>
    </row>
    <row r="249" spans="1:32" ht="15.75" thickBot="1" x14ac:dyDescent="0.3">
      <c r="A249" s="79" t="s">
        <v>530</v>
      </c>
      <c r="B249" s="93" t="s">
        <v>269</v>
      </c>
      <c r="C249" s="79" t="s">
        <v>22</v>
      </c>
      <c r="D249" s="81">
        <v>19900</v>
      </c>
      <c r="E249" s="81">
        <v>7482</v>
      </c>
      <c r="F249" s="81">
        <v>104455</v>
      </c>
      <c r="G249" s="81">
        <v>82071</v>
      </c>
      <c r="H249" s="81">
        <v>38554</v>
      </c>
      <c r="I249" s="81">
        <v>75522</v>
      </c>
      <c r="J249" s="81">
        <v>26617</v>
      </c>
      <c r="K249" s="81">
        <v>140693</v>
      </c>
      <c r="L249" s="81">
        <v>2754</v>
      </c>
      <c r="M249" s="81">
        <v>114076</v>
      </c>
      <c r="N249" s="81">
        <v>29371</v>
      </c>
      <c r="O249" s="81">
        <v>143447</v>
      </c>
      <c r="P249" s="94">
        <f>O249/D249</f>
        <v>7.2083919597989947</v>
      </c>
      <c r="Q249" s="94">
        <f>H249/D249</f>
        <v>1.9373869346733668</v>
      </c>
      <c r="R249" s="94">
        <f>I249/D249</f>
        <v>3.7950753768844221</v>
      </c>
      <c r="S249" s="94">
        <f>J249/D249</f>
        <v>1.337537688442211</v>
      </c>
      <c r="T249" s="94">
        <f>K249/D249</f>
        <v>7.07</v>
      </c>
      <c r="U249" s="94">
        <f>K249/E249</f>
        <v>18.804196738839881</v>
      </c>
      <c r="V249" s="81">
        <v>20018</v>
      </c>
      <c r="W249" s="79" t="s">
        <v>1648</v>
      </c>
      <c r="X249" s="79" t="s">
        <v>1650</v>
      </c>
      <c r="Y249" s="81">
        <v>18893</v>
      </c>
      <c r="Z249" s="81">
        <v>15030</v>
      </c>
      <c r="AA249" s="81">
        <v>17292</v>
      </c>
      <c r="AB249" s="79" t="s">
        <v>1648</v>
      </c>
      <c r="AC249" s="81">
        <v>-1</v>
      </c>
      <c r="AD249" s="79" t="s">
        <v>1648</v>
      </c>
      <c r="AE249" s="79" t="s">
        <v>1648</v>
      </c>
      <c r="AF249" s="81">
        <v>58</v>
      </c>
    </row>
    <row r="250" spans="1:32" ht="15.75" thickBot="1" x14ac:dyDescent="0.3">
      <c r="A250" s="79" t="s">
        <v>532</v>
      </c>
      <c r="B250" s="93" t="s">
        <v>273</v>
      </c>
      <c r="C250" s="79" t="s">
        <v>22</v>
      </c>
      <c r="D250" s="81">
        <v>17626</v>
      </c>
      <c r="E250" s="81">
        <v>8362</v>
      </c>
      <c r="F250" s="81">
        <v>62386</v>
      </c>
      <c r="G250" s="81">
        <v>54193</v>
      </c>
      <c r="H250" s="81">
        <v>39439</v>
      </c>
      <c r="I250" s="81">
        <v>81876</v>
      </c>
      <c r="J250" s="81">
        <v>22572</v>
      </c>
      <c r="K250" s="81">
        <v>143887</v>
      </c>
      <c r="L250" s="81">
        <v>32379</v>
      </c>
      <c r="M250" s="81">
        <v>121315</v>
      </c>
      <c r="N250" s="81">
        <v>54951</v>
      </c>
      <c r="O250" s="81">
        <v>176266</v>
      </c>
      <c r="P250" s="94">
        <f>O250/D250</f>
        <v>10.000340406218086</v>
      </c>
      <c r="Q250" s="94">
        <f>H250/D250</f>
        <v>2.2375468058549868</v>
      </c>
      <c r="R250" s="94">
        <f>I250/D250</f>
        <v>4.6451832520140703</v>
      </c>
      <c r="S250" s="94">
        <f>J250/D250</f>
        <v>1.280608192442982</v>
      </c>
      <c r="T250" s="94">
        <f>K250/D250</f>
        <v>8.1633382503120391</v>
      </c>
      <c r="U250" s="94">
        <f>K250/E250</f>
        <v>17.207247070078928</v>
      </c>
      <c r="V250" s="81">
        <v>7536</v>
      </c>
      <c r="W250" s="79" t="s">
        <v>1648</v>
      </c>
      <c r="X250" s="79" t="s">
        <v>1651</v>
      </c>
      <c r="Y250" s="81">
        <v>6300</v>
      </c>
      <c r="Z250" s="81">
        <v>6634</v>
      </c>
      <c r="AA250" s="81">
        <v>14472</v>
      </c>
      <c r="AB250" s="79" t="s">
        <v>1648</v>
      </c>
      <c r="AC250" s="81">
        <v>13551</v>
      </c>
      <c r="AD250" s="79" t="s">
        <v>1648</v>
      </c>
      <c r="AE250" s="79" t="s">
        <v>1649</v>
      </c>
      <c r="AF250" s="95">
        <v>0</v>
      </c>
    </row>
    <row r="251" spans="1:32" ht="15.75" thickBot="1" x14ac:dyDescent="0.3">
      <c r="A251" s="79" t="s">
        <v>534</v>
      </c>
      <c r="B251" s="93" t="s">
        <v>275</v>
      </c>
      <c r="C251" s="79" t="s">
        <v>22</v>
      </c>
      <c r="D251" s="81">
        <v>17823</v>
      </c>
      <c r="E251" s="81">
        <v>3668</v>
      </c>
      <c r="F251" s="81">
        <v>69403</v>
      </c>
      <c r="G251" s="81">
        <v>29913</v>
      </c>
      <c r="H251" s="81">
        <v>14479</v>
      </c>
      <c r="I251" s="81">
        <v>12686</v>
      </c>
      <c r="J251" s="81">
        <v>6647</v>
      </c>
      <c r="K251" s="81">
        <v>33812</v>
      </c>
      <c r="L251" s="81">
        <v>2000</v>
      </c>
      <c r="M251" s="81">
        <v>27165</v>
      </c>
      <c r="N251" s="81">
        <v>8647</v>
      </c>
      <c r="O251" s="81">
        <v>35812</v>
      </c>
      <c r="P251" s="94">
        <f>O251/D251</f>
        <v>2.0093138080008979</v>
      </c>
      <c r="Q251" s="94">
        <f>H251/D251</f>
        <v>0.81237726533131349</v>
      </c>
      <c r="R251" s="94">
        <f>I251/D251</f>
        <v>0.71177691746619531</v>
      </c>
      <c r="S251" s="94">
        <f>J251/D251</f>
        <v>0.37294507097570556</v>
      </c>
      <c r="T251" s="94">
        <f>K251/D251</f>
        <v>1.8970992537732143</v>
      </c>
      <c r="U251" s="94">
        <f>K251/E251</f>
        <v>9.2181025081788448</v>
      </c>
      <c r="V251" s="81">
        <v>6300</v>
      </c>
      <c r="W251" s="79" t="s">
        <v>1648</v>
      </c>
      <c r="X251" s="79" t="s">
        <v>1650</v>
      </c>
      <c r="Y251" s="81">
        <v>14403</v>
      </c>
      <c r="Z251" s="81">
        <v>5680</v>
      </c>
      <c r="AA251" s="81">
        <v>6150</v>
      </c>
      <c r="AB251" s="79" t="s">
        <v>1648</v>
      </c>
      <c r="AC251" s="81">
        <v>0</v>
      </c>
      <c r="AD251" s="79" t="s">
        <v>1648</v>
      </c>
      <c r="AE251" s="79" t="s">
        <v>1649</v>
      </c>
      <c r="AF251" s="95">
        <v>0</v>
      </c>
    </row>
    <row r="252" spans="1:32" ht="15.75" thickBot="1" x14ac:dyDescent="0.3">
      <c r="A252" s="79" t="s">
        <v>536</v>
      </c>
      <c r="B252" s="93" t="s">
        <v>281</v>
      </c>
      <c r="C252" s="79" t="s">
        <v>22</v>
      </c>
      <c r="D252" s="81">
        <v>17068</v>
      </c>
      <c r="E252" s="81">
        <v>8134</v>
      </c>
      <c r="F252" s="81">
        <v>35411</v>
      </c>
      <c r="G252" s="81">
        <v>30838</v>
      </c>
      <c r="H252" s="81">
        <v>12931</v>
      </c>
      <c r="I252" s="81">
        <v>14331</v>
      </c>
      <c r="J252" s="81">
        <v>2791</v>
      </c>
      <c r="K252" s="81">
        <v>30053</v>
      </c>
      <c r="L252" s="81">
        <v>1720</v>
      </c>
      <c r="M252" s="81">
        <v>27262</v>
      </c>
      <c r="N252" s="81">
        <v>4511</v>
      </c>
      <c r="O252" s="81">
        <v>31773</v>
      </c>
      <c r="P252" s="94">
        <f>O252/D252</f>
        <v>1.8615537848605577</v>
      </c>
      <c r="Q252" s="94">
        <f>H252/D252</f>
        <v>0.7576165924537146</v>
      </c>
      <c r="R252" s="94">
        <f>I252/D252</f>
        <v>0.83964143426294824</v>
      </c>
      <c r="S252" s="94">
        <f>J252/D252</f>
        <v>0.16352238106397937</v>
      </c>
      <c r="T252" s="94">
        <f>K252/D252</f>
        <v>1.7607804077806422</v>
      </c>
      <c r="U252" s="94">
        <f>K252/E252</f>
        <v>3.6947381362183429</v>
      </c>
      <c r="V252" s="81">
        <v>1464</v>
      </c>
      <c r="W252" s="79" t="s">
        <v>1648</v>
      </c>
      <c r="X252" s="79" t="s">
        <v>1651</v>
      </c>
      <c r="Y252" s="81">
        <v>981</v>
      </c>
      <c r="Z252" s="81">
        <v>1144</v>
      </c>
      <c r="AA252" s="81">
        <v>2708</v>
      </c>
      <c r="AB252" s="79" t="s">
        <v>1648</v>
      </c>
      <c r="AC252" s="81">
        <v>-1</v>
      </c>
      <c r="AD252" s="79" t="s">
        <v>1649</v>
      </c>
      <c r="AE252" s="79" t="s">
        <v>1649</v>
      </c>
      <c r="AF252" s="95">
        <v>0</v>
      </c>
    </row>
    <row r="253" spans="1:32" ht="15.75" thickBot="1" x14ac:dyDescent="0.3">
      <c r="A253" s="79" t="s">
        <v>538</v>
      </c>
      <c r="B253" s="93" t="s">
        <v>287</v>
      </c>
      <c r="C253" s="79" t="s">
        <v>22</v>
      </c>
      <c r="D253" s="81">
        <v>14480</v>
      </c>
      <c r="E253" s="81">
        <v>6935</v>
      </c>
      <c r="F253" s="81">
        <v>27531</v>
      </c>
      <c r="G253" s="81">
        <v>22305</v>
      </c>
      <c r="H253" s="81">
        <v>20709</v>
      </c>
      <c r="I253" s="81">
        <v>29924</v>
      </c>
      <c r="J253" s="81">
        <v>5378</v>
      </c>
      <c r="K253" s="81">
        <v>56011</v>
      </c>
      <c r="L253" s="81">
        <v>17301</v>
      </c>
      <c r="M253" s="81">
        <v>50633</v>
      </c>
      <c r="N253" s="81">
        <v>22679</v>
      </c>
      <c r="O253" s="81">
        <v>73312</v>
      </c>
      <c r="P253" s="94">
        <f>O253/D253</f>
        <v>5.0629834254143651</v>
      </c>
      <c r="Q253" s="94">
        <f>H253/D253</f>
        <v>1.4301795580110497</v>
      </c>
      <c r="R253" s="94">
        <f>I253/D253</f>
        <v>2.066574585635359</v>
      </c>
      <c r="S253" s="94">
        <f>J253/D253</f>
        <v>0.37140883977900552</v>
      </c>
      <c r="T253" s="94">
        <f>K253/D253</f>
        <v>3.8681629834254143</v>
      </c>
      <c r="U253" s="94">
        <f>K253/E253</f>
        <v>8.0765681326604177</v>
      </c>
      <c r="V253" s="81">
        <v>11461</v>
      </c>
      <c r="W253" s="79" t="s">
        <v>1648</v>
      </c>
      <c r="X253" s="79" t="s">
        <v>1651</v>
      </c>
      <c r="Y253" s="81">
        <v>7946</v>
      </c>
      <c r="Z253" s="81">
        <v>9246</v>
      </c>
      <c r="AA253" s="81">
        <v>4746</v>
      </c>
      <c r="AB253" s="79" t="s">
        <v>1648</v>
      </c>
      <c r="AC253" s="81">
        <v>16188</v>
      </c>
      <c r="AD253" s="79" t="s">
        <v>1648</v>
      </c>
      <c r="AE253" s="79" t="s">
        <v>1649</v>
      </c>
      <c r="AF253" s="95">
        <v>0</v>
      </c>
    </row>
    <row r="254" spans="1:32" ht="15.75" thickBot="1" x14ac:dyDescent="0.3">
      <c r="A254" s="96" t="s">
        <v>540</v>
      </c>
      <c r="B254" s="93" t="s">
        <v>291</v>
      </c>
      <c r="C254" s="79" t="s">
        <v>22</v>
      </c>
      <c r="D254" s="81">
        <v>13326</v>
      </c>
      <c r="E254" s="81">
        <v>3157</v>
      </c>
      <c r="F254" s="81">
        <v>62585</v>
      </c>
      <c r="G254" s="81">
        <v>51633</v>
      </c>
      <c r="H254" s="81">
        <v>93864</v>
      </c>
      <c r="I254" s="81">
        <v>136788</v>
      </c>
      <c r="J254" s="81">
        <v>16229</v>
      </c>
      <c r="K254" s="81">
        <v>246881</v>
      </c>
      <c r="L254" s="81">
        <v>572</v>
      </c>
      <c r="M254" s="81">
        <v>230652</v>
      </c>
      <c r="N254" s="81">
        <v>16801</v>
      </c>
      <c r="O254" s="81">
        <v>247453</v>
      </c>
      <c r="P254" s="94">
        <f>O254/D254</f>
        <v>18.569188053429386</v>
      </c>
      <c r="Q254" s="94">
        <f>H254/D254</f>
        <v>7.043674020711391</v>
      </c>
      <c r="R254" s="94">
        <f>I254/D254</f>
        <v>10.264745610085548</v>
      </c>
      <c r="S254" s="94">
        <f>J254/D254</f>
        <v>1.2178448146480565</v>
      </c>
      <c r="T254" s="94">
        <f>K254/D254</f>
        <v>18.526264445444994</v>
      </c>
      <c r="U254" s="94">
        <f>K254/E254</f>
        <v>78.201140323091536</v>
      </c>
      <c r="V254" s="81">
        <v>8743</v>
      </c>
      <c r="W254" s="79" t="s">
        <v>1648</v>
      </c>
      <c r="X254" s="79" t="s">
        <v>1650</v>
      </c>
      <c r="Y254" s="81">
        <v>8025</v>
      </c>
      <c r="Z254" s="81">
        <v>6547</v>
      </c>
      <c r="AA254" s="81">
        <v>22068</v>
      </c>
      <c r="AB254" s="79" t="s">
        <v>1648</v>
      </c>
      <c r="AC254" s="81">
        <v>-1</v>
      </c>
      <c r="AD254" s="79" t="s">
        <v>1649</v>
      </c>
      <c r="AE254" s="79" t="s">
        <v>1649</v>
      </c>
      <c r="AF254" s="95">
        <v>0</v>
      </c>
    </row>
    <row r="255" spans="1:32" ht="15.75" thickBot="1" x14ac:dyDescent="0.3">
      <c r="A255" s="79" t="s">
        <v>542</v>
      </c>
      <c r="B255" s="93" t="s">
        <v>293</v>
      </c>
      <c r="C255" s="79" t="s">
        <v>22</v>
      </c>
      <c r="D255" s="81">
        <v>13598</v>
      </c>
      <c r="E255" s="81">
        <v>2160</v>
      </c>
      <c r="F255" s="81">
        <v>13687</v>
      </c>
      <c r="G255" s="81">
        <v>13183</v>
      </c>
      <c r="H255" s="81">
        <v>12510</v>
      </c>
      <c r="I255" s="81">
        <v>17801</v>
      </c>
      <c r="J255" s="81">
        <v>7982</v>
      </c>
      <c r="K255" s="81">
        <v>38293</v>
      </c>
      <c r="L255" s="81">
        <v>0</v>
      </c>
      <c r="M255" s="81">
        <v>30311</v>
      </c>
      <c r="N255" s="81">
        <v>7982</v>
      </c>
      <c r="O255" s="81">
        <v>38293</v>
      </c>
      <c r="P255" s="94">
        <f>O255/D255</f>
        <v>2.816075893513752</v>
      </c>
      <c r="Q255" s="94">
        <f>H255/D255</f>
        <v>0.91998823356375936</v>
      </c>
      <c r="R255" s="94">
        <f>I255/D255</f>
        <v>1.3090895719958817</v>
      </c>
      <c r="S255" s="94">
        <f>J255/D255</f>
        <v>0.5869980879541109</v>
      </c>
      <c r="T255" s="94">
        <f>K255/D255</f>
        <v>2.816075893513752</v>
      </c>
      <c r="U255" s="94">
        <f>K255/E255</f>
        <v>17.728240740740741</v>
      </c>
      <c r="V255" s="81">
        <v>3692</v>
      </c>
      <c r="W255" s="79" t="s">
        <v>1648</v>
      </c>
      <c r="X255" s="79" t="s">
        <v>1651</v>
      </c>
      <c r="Y255" s="81">
        <v>3716</v>
      </c>
      <c r="Z255" s="81">
        <v>4806</v>
      </c>
      <c r="AA255" s="81">
        <v>964</v>
      </c>
      <c r="AB255" s="79" t="s">
        <v>1648</v>
      </c>
      <c r="AC255" s="81">
        <v>-1</v>
      </c>
      <c r="AD255" s="79" t="s">
        <v>1648</v>
      </c>
      <c r="AE255" s="79" t="s">
        <v>1649</v>
      </c>
      <c r="AF255" s="95">
        <v>0</v>
      </c>
    </row>
    <row r="256" spans="1:32" ht="15.75" thickBot="1" x14ac:dyDescent="0.3">
      <c r="A256" s="79" t="s">
        <v>544</v>
      </c>
      <c r="B256" s="93" t="s">
        <v>311</v>
      </c>
      <c r="C256" s="79" t="s">
        <v>22</v>
      </c>
      <c r="D256" s="81">
        <v>25692</v>
      </c>
      <c r="E256" s="81">
        <v>11654</v>
      </c>
      <c r="F256" s="81">
        <v>64527</v>
      </c>
      <c r="G256" s="81">
        <v>27483</v>
      </c>
      <c r="H256" s="81">
        <v>15192</v>
      </c>
      <c r="I256" s="81">
        <v>67283</v>
      </c>
      <c r="J256" s="81">
        <v>7675</v>
      </c>
      <c r="K256" s="81">
        <v>90150</v>
      </c>
      <c r="L256" s="81">
        <v>0</v>
      </c>
      <c r="M256" s="81">
        <v>82475</v>
      </c>
      <c r="N256" s="81">
        <v>7675</v>
      </c>
      <c r="O256" s="81">
        <v>90150</v>
      </c>
      <c r="P256" s="94">
        <f>O256/D256</f>
        <v>3.5088743577767398</v>
      </c>
      <c r="Q256" s="94">
        <f>H256/D256</f>
        <v>0.59131247080803362</v>
      </c>
      <c r="R256" s="94">
        <f>I256/D256</f>
        <v>2.6188307644402928</v>
      </c>
      <c r="S256" s="94">
        <f>J256/D256</f>
        <v>0.2987311225284135</v>
      </c>
      <c r="T256" s="94">
        <f>K256/D256</f>
        <v>3.5088743577767398</v>
      </c>
      <c r="U256" s="94">
        <f>K256/E256</f>
        <v>7.735541444997426</v>
      </c>
      <c r="V256" s="81">
        <v>4420</v>
      </c>
      <c r="W256" s="79" t="s">
        <v>1648</v>
      </c>
      <c r="X256" s="79" t="s">
        <v>1651</v>
      </c>
      <c r="Y256" s="81">
        <v>1132</v>
      </c>
      <c r="Z256" s="81">
        <v>1741</v>
      </c>
      <c r="AA256" s="81">
        <v>14515</v>
      </c>
      <c r="AB256" s="79" t="s">
        <v>1648</v>
      </c>
      <c r="AC256" s="81">
        <v>34973</v>
      </c>
      <c r="AD256" s="79" t="s">
        <v>1648</v>
      </c>
      <c r="AE256" s="79" t="s">
        <v>1649</v>
      </c>
      <c r="AF256" s="95">
        <v>0</v>
      </c>
    </row>
    <row r="257" spans="1:32" ht="15.75" thickBot="1" x14ac:dyDescent="0.3">
      <c r="A257" s="79" t="s">
        <v>546</v>
      </c>
      <c r="B257" s="93" t="s">
        <v>319</v>
      </c>
      <c r="C257" s="79" t="s">
        <v>22</v>
      </c>
      <c r="D257" s="81">
        <v>15959</v>
      </c>
      <c r="E257" s="81">
        <v>6606</v>
      </c>
      <c r="F257" s="81">
        <v>50579</v>
      </c>
      <c r="G257" s="81">
        <v>42141</v>
      </c>
      <c r="H257" s="81">
        <v>20276</v>
      </c>
      <c r="I257" s="81">
        <v>30844</v>
      </c>
      <c r="J257" s="81">
        <v>38957</v>
      </c>
      <c r="K257" s="81">
        <v>90077</v>
      </c>
      <c r="L257" s="81">
        <v>28001</v>
      </c>
      <c r="M257" s="81">
        <v>51120</v>
      </c>
      <c r="N257" s="81">
        <v>66958</v>
      </c>
      <c r="O257" s="81">
        <v>118078</v>
      </c>
      <c r="P257" s="94">
        <f>O257/D257</f>
        <v>7.3988345134406917</v>
      </c>
      <c r="Q257" s="94">
        <f>H257/D257</f>
        <v>1.2705056707813773</v>
      </c>
      <c r="R257" s="94">
        <f>I257/D257</f>
        <v>1.9327025502851056</v>
      </c>
      <c r="S257" s="94">
        <f>J257/D257</f>
        <v>2.441067736073689</v>
      </c>
      <c r="T257" s="94">
        <f>K257/D257</f>
        <v>5.6442759571401719</v>
      </c>
      <c r="U257" s="94">
        <f>K257/E257</f>
        <v>13.635634271874054</v>
      </c>
      <c r="V257" s="81">
        <v>4365</v>
      </c>
      <c r="W257" s="79" t="s">
        <v>1648</v>
      </c>
      <c r="X257" s="79" t="s">
        <v>1650</v>
      </c>
      <c r="Y257" s="81">
        <v>3559</v>
      </c>
      <c r="Z257" s="81">
        <v>5854</v>
      </c>
      <c r="AA257" s="81">
        <v>6843</v>
      </c>
      <c r="AB257" s="79" t="s">
        <v>1648</v>
      </c>
      <c r="AC257" s="81">
        <v>16650</v>
      </c>
      <c r="AD257" s="79" t="s">
        <v>1648</v>
      </c>
      <c r="AE257" s="79" t="s">
        <v>1648</v>
      </c>
      <c r="AF257" s="81">
        <v>39</v>
      </c>
    </row>
    <row r="258" spans="1:32" ht="15.75" thickBot="1" x14ac:dyDescent="0.3">
      <c r="A258" s="79" t="s">
        <v>548</v>
      </c>
      <c r="B258" s="93" t="s">
        <v>329</v>
      </c>
      <c r="C258" s="79" t="s">
        <v>22</v>
      </c>
      <c r="D258" s="81">
        <v>21165</v>
      </c>
      <c r="E258" s="81">
        <v>18581</v>
      </c>
      <c r="F258" s="81">
        <v>45546</v>
      </c>
      <c r="G258" s="81">
        <v>30641</v>
      </c>
      <c r="H258" s="81">
        <v>20161</v>
      </c>
      <c r="I258" s="81">
        <v>50535</v>
      </c>
      <c r="J258" s="81">
        <v>14338</v>
      </c>
      <c r="K258" s="81">
        <v>85034</v>
      </c>
      <c r="L258" s="81">
        <v>0</v>
      </c>
      <c r="M258" s="81">
        <v>70696</v>
      </c>
      <c r="N258" s="81">
        <v>14338</v>
      </c>
      <c r="O258" s="81">
        <v>85034</v>
      </c>
      <c r="P258" s="94">
        <f>O258/D258</f>
        <v>4.0176706827309241</v>
      </c>
      <c r="Q258" s="94">
        <f>H258/D258</f>
        <v>0.95256319395227973</v>
      </c>
      <c r="R258" s="94">
        <f>I258/D258</f>
        <v>2.3876683203401843</v>
      </c>
      <c r="S258" s="94">
        <f>J258/D258</f>
        <v>0.67743916843845975</v>
      </c>
      <c r="T258" s="94">
        <f>K258/D258</f>
        <v>4.0176706827309241</v>
      </c>
      <c r="U258" s="94">
        <f>K258/E258</f>
        <v>4.5763952424519667</v>
      </c>
      <c r="V258" s="81">
        <v>196</v>
      </c>
      <c r="W258" s="79" t="s">
        <v>1648</v>
      </c>
      <c r="X258" s="79" t="s">
        <v>1650</v>
      </c>
      <c r="Y258" s="81">
        <v>1829</v>
      </c>
      <c r="Z258" s="81">
        <v>3865</v>
      </c>
      <c r="AA258" s="81">
        <v>1914</v>
      </c>
      <c r="AB258" s="79" t="s">
        <v>1648</v>
      </c>
      <c r="AC258" s="81">
        <v>19474</v>
      </c>
      <c r="AD258" s="79" t="s">
        <v>1648</v>
      </c>
      <c r="AE258" s="79" t="s">
        <v>1649</v>
      </c>
      <c r="AF258" s="95">
        <v>0</v>
      </c>
    </row>
    <row r="259" spans="1:32" ht="15.75" thickBot="1" x14ac:dyDescent="0.3">
      <c r="A259" s="79" t="s">
        <v>550</v>
      </c>
      <c r="B259" s="93" t="s">
        <v>331</v>
      </c>
      <c r="C259" s="79" t="s">
        <v>22</v>
      </c>
      <c r="D259" s="81">
        <v>22423</v>
      </c>
      <c r="E259" s="81">
        <v>7507</v>
      </c>
      <c r="F259" s="81">
        <v>31813</v>
      </c>
      <c r="G259" s="81">
        <v>15275</v>
      </c>
      <c r="H259" s="81">
        <v>10387</v>
      </c>
      <c r="I259" s="81">
        <v>16483</v>
      </c>
      <c r="J259" s="81">
        <v>0</v>
      </c>
      <c r="K259" s="81">
        <v>26870</v>
      </c>
      <c r="L259" s="81">
        <v>0</v>
      </c>
      <c r="M259" s="81">
        <v>26870</v>
      </c>
      <c r="N259" s="81">
        <v>0</v>
      </c>
      <c r="O259" s="81">
        <v>26870</v>
      </c>
      <c r="P259" s="94">
        <f>O259/D259</f>
        <v>1.1983231503367078</v>
      </c>
      <c r="Q259" s="94">
        <f>H259/D259</f>
        <v>0.4632297194844579</v>
      </c>
      <c r="R259" s="94">
        <f>I259/D259</f>
        <v>0.73509343085224987</v>
      </c>
      <c r="S259" s="94">
        <f>J259/D259</f>
        <v>0</v>
      </c>
      <c r="T259" s="94">
        <f>K259/D259</f>
        <v>1.1983231503367078</v>
      </c>
      <c r="U259" s="94">
        <f>K259/E259</f>
        <v>3.5793259624350604</v>
      </c>
      <c r="V259" s="81">
        <v>25000</v>
      </c>
      <c r="W259" s="79" t="s">
        <v>1648</v>
      </c>
      <c r="X259" s="79" t="s">
        <v>1650</v>
      </c>
      <c r="Y259" s="81">
        <v>5180</v>
      </c>
      <c r="Z259" s="81">
        <v>5861</v>
      </c>
      <c r="AA259" s="81">
        <v>13590</v>
      </c>
      <c r="AB259" s="79" t="s">
        <v>1648</v>
      </c>
      <c r="AC259" s="81">
        <v>6684</v>
      </c>
      <c r="AD259" s="79" t="s">
        <v>1648</v>
      </c>
      <c r="AE259" s="79" t="s">
        <v>1648</v>
      </c>
      <c r="AF259" s="81">
        <v>35</v>
      </c>
    </row>
    <row r="260" spans="1:32" ht="15.75" thickBot="1" x14ac:dyDescent="0.3">
      <c r="A260" s="96" t="s">
        <v>552</v>
      </c>
      <c r="B260" s="93" t="s">
        <v>335</v>
      </c>
      <c r="C260" s="79" t="s">
        <v>22</v>
      </c>
      <c r="D260" s="81">
        <v>14236</v>
      </c>
      <c r="E260" s="81">
        <v>7045</v>
      </c>
      <c r="F260" s="81">
        <v>36076</v>
      </c>
      <c r="G260" s="81">
        <v>37295</v>
      </c>
      <c r="H260" s="81">
        <v>11332</v>
      </c>
      <c r="I260" s="81">
        <v>19565</v>
      </c>
      <c r="J260" s="81">
        <v>5054</v>
      </c>
      <c r="K260" s="81">
        <v>35951</v>
      </c>
      <c r="L260" s="81">
        <v>731</v>
      </c>
      <c r="M260" s="81">
        <v>30897</v>
      </c>
      <c r="N260" s="81">
        <v>5785</v>
      </c>
      <c r="O260" s="81">
        <v>36682</v>
      </c>
      <c r="P260" s="94">
        <f>O260/D260</f>
        <v>2.5767069401517282</v>
      </c>
      <c r="Q260" s="94">
        <f>H260/D260</f>
        <v>0.79601011520089915</v>
      </c>
      <c r="R260" s="94">
        <f>I260/D260</f>
        <v>1.3743326777184603</v>
      </c>
      <c r="S260" s="94">
        <f>J260/D260</f>
        <v>0.35501545377915145</v>
      </c>
      <c r="T260" s="94">
        <f>K260/D260</f>
        <v>2.5253582466985107</v>
      </c>
      <c r="U260" s="94">
        <f>K260/E260</f>
        <v>5.1030518097941799</v>
      </c>
      <c r="V260" s="81">
        <v>8395</v>
      </c>
      <c r="W260" s="79" t="s">
        <v>1648</v>
      </c>
      <c r="X260" s="79" t="s">
        <v>1651</v>
      </c>
      <c r="Y260" s="81">
        <v>6224</v>
      </c>
      <c r="Z260" s="81">
        <v>4219</v>
      </c>
      <c r="AA260" s="81">
        <v>11329</v>
      </c>
      <c r="AB260" s="79" t="s">
        <v>1648</v>
      </c>
      <c r="AC260" s="81">
        <v>14335</v>
      </c>
      <c r="AD260" s="79" t="s">
        <v>1648</v>
      </c>
      <c r="AE260" s="79" t="s">
        <v>1649</v>
      </c>
      <c r="AF260" s="95">
        <v>0</v>
      </c>
    </row>
    <row r="261" spans="1:32" ht="15.75" thickBot="1" x14ac:dyDescent="0.3">
      <c r="A261" s="79" t="s">
        <v>554</v>
      </c>
      <c r="B261" s="93" t="s">
        <v>337</v>
      </c>
      <c r="C261" s="79" t="s">
        <v>22</v>
      </c>
      <c r="D261" s="81">
        <v>12920</v>
      </c>
      <c r="E261" s="81">
        <v>5632</v>
      </c>
      <c r="F261" s="81">
        <v>38433</v>
      </c>
      <c r="G261" s="81">
        <v>41458</v>
      </c>
      <c r="H261" s="81">
        <v>5050</v>
      </c>
      <c r="I261" s="81">
        <v>15502</v>
      </c>
      <c r="J261" s="81">
        <v>2615</v>
      </c>
      <c r="K261" s="81">
        <v>23167</v>
      </c>
      <c r="L261" s="81">
        <v>0</v>
      </c>
      <c r="M261" s="81">
        <v>20552</v>
      </c>
      <c r="N261" s="81">
        <v>2615</v>
      </c>
      <c r="O261" s="81">
        <v>23167</v>
      </c>
      <c r="P261" s="94">
        <f>O261/D261</f>
        <v>1.7931114551083591</v>
      </c>
      <c r="Q261" s="94">
        <f>H261/D261</f>
        <v>0.3908668730650155</v>
      </c>
      <c r="R261" s="94">
        <f>I261/D261</f>
        <v>1.19984520123839</v>
      </c>
      <c r="S261" s="94">
        <f>J261/D261</f>
        <v>0.20239938080495357</v>
      </c>
      <c r="T261" s="94">
        <f>K261/D261</f>
        <v>1.7931114551083591</v>
      </c>
      <c r="U261" s="94">
        <f>K261/E261</f>
        <v>4.1134588068181817</v>
      </c>
      <c r="V261" s="81">
        <v>1420</v>
      </c>
      <c r="W261" s="79" t="s">
        <v>1648</v>
      </c>
      <c r="X261" s="79" t="s">
        <v>1651</v>
      </c>
      <c r="Y261" s="81">
        <v>1457</v>
      </c>
      <c r="Z261" s="81">
        <v>1330</v>
      </c>
      <c r="AA261" s="81">
        <v>6988</v>
      </c>
      <c r="AB261" s="79" t="s">
        <v>1648</v>
      </c>
      <c r="AC261" s="81">
        <v>9302</v>
      </c>
      <c r="AD261" s="79" t="s">
        <v>1648</v>
      </c>
      <c r="AE261" s="79" t="s">
        <v>1648</v>
      </c>
      <c r="AF261" s="81">
        <v>15</v>
      </c>
    </row>
    <row r="262" spans="1:32" ht="15.75" thickBot="1" x14ac:dyDescent="0.3">
      <c r="A262" s="79" t="s">
        <v>556</v>
      </c>
      <c r="B262" s="93" t="s">
        <v>339</v>
      </c>
      <c r="C262" s="79" t="s">
        <v>22</v>
      </c>
      <c r="D262" s="81">
        <v>24587</v>
      </c>
      <c r="E262" s="81">
        <v>4756</v>
      </c>
      <c r="F262" s="81">
        <v>40334</v>
      </c>
      <c r="G262" s="81">
        <v>44605</v>
      </c>
      <c r="H262" s="81">
        <v>12105</v>
      </c>
      <c r="I262" s="81">
        <v>37606</v>
      </c>
      <c r="J262" s="81">
        <v>18649</v>
      </c>
      <c r="K262" s="81">
        <v>68360</v>
      </c>
      <c r="L262" s="81">
        <v>63370</v>
      </c>
      <c r="M262" s="81">
        <v>49711</v>
      </c>
      <c r="N262" s="81">
        <v>82019</v>
      </c>
      <c r="O262" s="81">
        <v>131730</v>
      </c>
      <c r="P262" s="94">
        <f>O262/D262</f>
        <v>5.35770935860414</v>
      </c>
      <c r="Q262" s="94">
        <f>H262/D262</f>
        <v>0.49233334689063324</v>
      </c>
      <c r="R262" s="94">
        <f>I262/D262</f>
        <v>1.5295074632936105</v>
      </c>
      <c r="S262" s="94">
        <f>J262/D262</f>
        <v>0.75849025908000167</v>
      </c>
      <c r="T262" s="94">
        <f>K262/D262</f>
        <v>2.7803310692642453</v>
      </c>
      <c r="U262" s="94">
        <f>K262/E262</f>
        <v>14.373423044575274</v>
      </c>
      <c r="V262" s="81">
        <v>4504</v>
      </c>
      <c r="W262" s="79" t="s">
        <v>1648</v>
      </c>
      <c r="X262" s="79" t="s">
        <v>1651</v>
      </c>
      <c r="Y262" s="81">
        <v>1108</v>
      </c>
      <c r="Z262" s="81">
        <v>2000</v>
      </c>
      <c r="AA262" s="81">
        <v>3191</v>
      </c>
      <c r="AB262" s="79" t="s">
        <v>1648</v>
      </c>
      <c r="AC262" s="81">
        <v>910</v>
      </c>
      <c r="AD262" s="79" t="s">
        <v>1648</v>
      </c>
      <c r="AE262" s="79" t="s">
        <v>1649</v>
      </c>
      <c r="AF262" s="95">
        <v>0</v>
      </c>
    </row>
    <row r="263" spans="1:32" ht="15.75" thickBot="1" x14ac:dyDescent="0.3">
      <c r="A263" s="79" t="s">
        <v>558</v>
      </c>
      <c r="B263" s="93" t="s">
        <v>345</v>
      </c>
      <c r="C263" s="79" t="s">
        <v>22</v>
      </c>
      <c r="D263" s="81">
        <v>13233</v>
      </c>
      <c r="E263" s="81">
        <v>846</v>
      </c>
      <c r="F263" s="81">
        <v>50543</v>
      </c>
      <c r="G263" s="81">
        <v>10201</v>
      </c>
      <c r="H263" s="81">
        <v>17224</v>
      </c>
      <c r="I263" s="81">
        <v>17900</v>
      </c>
      <c r="J263" s="81">
        <v>20291</v>
      </c>
      <c r="K263" s="81">
        <v>55415</v>
      </c>
      <c r="L263" s="81">
        <v>1797</v>
      </c>
      <c r="M263" s="81">
        <v>35124</v>
      </c>
      <c r="N263" s="81">
        <v>22088</v>
      </c>
      <c r="O263" s="81">
        <v>57212</v>
      </c>
      <c r="P263" s="94">
        <f>O263/D263</f>
        <v>4.3234338396433163</v>
      </c>
      <c r="Q263" s="94">
        <f>H263/D263</f>
        <v>1.3015944986019798</v>
      </c>
      <c r="R263" s="94">
        <f>I263/D263</f>
        <v>1.3526789087886344</v>
      </c>
      <c r="S263" s="94">
        <f>J263/D263</f>
        <v>1.5333635607949823</v>
      </c>
      <c r="T263" s="94">
        <f>K263/D263</f>
        <v>4.1876369681855969</v>
      </c>
      <c r="U263" s="94">
        <f>K263/E263</f>
        <v>65.502364066193849</v>
      </c>
      <c r="V263" s="81">
        <v>8000</v>
      </c>
      <c r="W263" s="79" t="s">
        <v>1648</v>
      </c>
      <c r="X263" s="79" t="s">
        <v>1650</v>
      </c>
      <c r="Y263" s="81">
        <v>4225</v>
      </c>
      <c r="Z263" s="81">
        <v>2999</v>
      </c>
      <c r="AA263" s="81">
        <v>5438</v>
      </c>
      <c r="AB263" s="79" t="s">
        <v>1648</v>
      </c>
      <c r="AC263" s="81">
        <v>15252</v>
      </c>
      <c r="AD263" s="79" t="s">
        <v>1648</v>
      </c>
      <c r="AE263" s="79" t="s">
        <v>1648</v>
      </c>
      <c r="AF263" s="81">
        <v>64</v>
      </c>
    </row>
    <row r="264" spans="1:32" ht="15.75" thickBot="1" x14ac:dyDescent="0.3">
      <c r="A264" s="79" t="s">
        <v>560</v>
      </c>
      <c r="B264" s="93" t="s">
        <v>347</v>
      </c>
      <c r="C264" s="79" t="s">
        <v>22</v>
      </c>
      <c r="D264" s="81">
        <v>16422</v>
      </c>
      <c r="E264" s="81">
        <v>4260</v>
      </c>
      <c r="F264" s="81">
        <v>81958</v>
      </c>
      <c r="G264" s="81">
        <v>8401</v>
      </c>
      <c r="H264" s="81">
        <v>9645</v>
      </c>
      <c r="I264" s="81">
        <v>16077</v>
      </c>
      <c r="J264" s="81">
        <v>6598</v>
      </c>
      <c r="K264" s="81">
        <v>32320</v>
      </c>
      <c r="L264" s="81">
        <v>1743</v>
      </c>
      <c r="M264" s="81">
        <v>25722</v>
      </c>
      <c r="N264" s="81">
        <v>8341</v>
      </c>
      <c r="O264" s="81">
        <v>34063</v>
      </c>
      <c r="P264" s="94">
        <f>O264/D264</f>
        <v>2.0742296918767509</v>
      </c>
      <c r="Q264" s="94">
        <f>H264/D264</f>
        <v>0.5873218852758495</v>
      </c>
      <c r="R264" s="94">
        <f>I264/D264</f>
        <v>0.97899159663865543</v>
      </c>
      <c r="S264" s="94">
        <f>J264/D264</f>
        <v>0.40177810254536594</v>
      </c>
      <c r="T264" s="94">
        <f>K264/D264</f>
        <v>1.968091584459871</v>
      </c>
      <c r="U264" s="94">
        <f>K264/E264</f>
        <v>7.586854460093897</v>
      </c>
      <c r="V264" s="81">
        <v>4294</v>
      </c>
      <c r="W264" s="79" t="s">
        <v>1648</v>
      </c>
      <c r="X264" s="79" t="s">
        <v>1651</v>
      </c>
      <c r="Y264" s="81">
        <v>9636</v>
      </c>
      <c r="Z264" s="81">
        <v>5083</v>
      </c>
      <c r="AA264" s="81">
        <v>12102</v>
      </c>
      <c r="AB264" s="79" t="s">
        <v>1648</v>
      </c>
      <c r="AC264" s="81">
        <v>2578</v>
      </c>
      <c r="AD264" s="79" t="s">
        <v>1648</v>
      </c>
      <c r="AE264" s="79" t="s">
        <v>1649</v>
      </c>
      <c r="AF264" s="95">
        <v>0</v>
      </c>
    </row>
    <row r="265" spans="1:32" ht="15.75" thickBot="1" x14ac:dyDescent="0.3">
      <c r="A265" s="79" t="s">
        <v>562</v>
      </c>
      <c r="B265" s="93" t="s">
        <v>355</v>
      </c>
      <c r="C265" s="79" t="s">
        <v>22</v>
      </c>
      <c r="D265" s="81">
        <v>19202</v>
      </c>
      <c r="E265" s="81">
        <v>7053</v>
      </c>
      <c r="F265" s="81">
        <v>69056</v>
      </c>
      <c r="G265" s="81">
        <v>0</v>
      </c>
      <c r="H265" s="81">
        <v>46469</v>
      </c>
      <c r="I265" s="81">
        <v>82049</v>
      </c>
      <c r="J265" s="81">
        <v>26467</v>
      </c>
      <c r="K265" s="81">
        <v>154985</v>
      </c>
      <c r="L265" s="81">
        <v>6577</v>
      </c>
      <c r="M265" s="81">
        <v>128518</v>
      </c>
      <c r="N265" s="81">
        <v>33044</v>
      </c>
      <c r="O265" s="81">
        <v>161562</v>
      </c>
      <c r="P265" s="94">
        <f>O265/D265</f>
        <v>8.4138110613477757</v>
      </c>
      <c r="Q265" s="94">
        <f>H265/D265</f>
        <v>2.4200083324653683</v>
      </c>
      <c r="R265" s="94">
        <f>I265/D265</f>
        <v>4.2729403187168007</v>
      </c>
      <c r="S265" s="94">
        <f>J265/D265</f>
        <v>1.3783460056244141</v>
      </c>
      <c r="T265" s="94">
        <f>K265/D265</f>
        <v>8.0712946568065824</v>
      </c>
      <c r="U265" s="94">
        <f>K265/E265</f>
        <v>21.974337161491565</v>
      </c>
      <c r="V265" s="81">
        <v>18404</v>
      </c>
      <c r="W265" s="79" t="s">
        <v>1648</v>
      </c>
      <c r="X265" s="79" t="s">
        <v>1651</v>
      </c>
      <c r="Y265" s="81">
        <v>19014</v>
      </c>
      <c r="Z265" s="81">
        <v>16562</v>
      </c>
      <c r="AA265" s="81">
        <v>9213</v>
      </c>
      <c r="AB265" s="79" t="s">
        <v>1648</v>
      </c>
      <c r="AC265" s="81">
        <v>7030</v>
      </c>
      <c r="AD265" s="79" t="s">
        <v>1648</v>
      </c>
      <c r="AE265" s="79" t="s">
        <v>1649</v>
      </c>
      <c r="AF265" s="95">
        <v>0</v>
      </c>
    </row>
    <row r="266" spans="1:32" ht="15.75" thickBot="1" x14ac:dyDescent="0.3">
      <c r="A266" s="79" t="s">
        <v>564</v>
      </c>
      <c r="B266" s="93" t="s">
        <v>359</v>
      </c>
      <c r="C266" s="79" t="s">
        <v>22</v>
      </c>
      <c r="D266" s="81">
        <v>23088</v>
      </c>
      <c r="E266" s="81">
        <v>5102</v>
      </c>
      <c r="F266" s="81">
        <v>43036</v>
      </c>
      <c r="G266" s="79" t="s">
        <v>1613</v>
      </c>
      <c r="H266" s="81">
        <v>9191</v>
      </c>
      <c r="I266" s="81">
        <v>23345</v>
      </c>
      <c r="J266" s="81">
        <v>21309</v>
      </c>
      <c r="K266" s="81">
        <v>53845</v>
      </c>
      <c r="L266" s="81">
        <v>0</v>
      </c>
      <c r="M266" s="81">
        <v>32536</v>
      </c>
      <c r="N266" s="81">
        <v>21309</v>
      </c>
      <c r="O266" s="81">
        <v>53845</v>
      </c>
      <c r="P266" s="94">
        <f>O266/D266</f>
        <v>2.3321638946638945</v>
      </c>
      <c r="Q266" s="94">
        <f>H266/D266</f>
        <v>0.3980855855855856</v>
      </c>
      <c r="R266" s="94">
        <f>I266/D266</f>
        <v>1.0111313236313237</v>
      </c>
      <c r="S266" s="94">
        <f>J266/D266</f>
        <v>0.9229469854469855</v>
      </c>
      <c r="T266" s="94">
        <f>K266/D266</f>
        <v>2.3321638946638945</v>
      </c>
      <c r="U266" s="94">
        <f>K266/E266</f>
        <v>10.553704429635436</v>
      </c>
      <c r="V266" s="81">
        <v>1392</v>
      </c>
      <c r="W266" s="79" t="s">
        <v>1648</v>
      </c>
      <c r="X266" s="79" t="s">
        <v>1650</v>
      </c>
      <c r="Y266" s="81">
        <v>1882</v>
      </c>
      <c r="Z266" s="81">
        <v>3081</v>
      </c>
      <c r="AA266" s="81">
        <v>6791</v>
      </c>
      <c r="AB266" s="79" t="s">
        <v>1648</v>
      </c>
      <c r="AC266" s="81">
        <v>1065</v>
      </c>
      <c r="AD266" s="79" t="s">
        <v>1649</v>
      </c>
      <c r="AE266" s="79" t="s">
        <v>1649</v>
      </c>
      <c r="AF266" s="95">
        <v>0</v>
      </c>
    </row>
    <row r="267" spans="1:32" ht="15.75" thickBot="1" x14ac:dyDescent="0.3">
      <c r="A267" s="79" t="s">
        <v>566</v>
      </c>
      <c r="B267" s="93" t="s">
        <v>367</v>
      </c>
      <c r="C267" s="79" t="s">
        <v>22</v>
      </c>
      <c r="D267" s="81">
        <v>15322</v>
      </c>
      <c r="E267" s="81">
        <v>7524</v>
      </c>
      <c r="F267" s="81">
        <v>45620</v>
      </c>
      <c r="G267" s="81">
        <v>37740</v>
      </c>
      <c r="H267" s="81">
        <v>5475</v>
      </c>
      <c r="I267" s="81">
        <v>24715</v>
      </c>
      <c r="J267" s="81">
        <v>9376</v>
      </c>
      <c r="K267" s="81">
        <v>39566</v>
      </c>
      <c r="L267" s="77" t="s">
        <v>1660</v>
      </c>
      <c r="M267" s="81">
        <v>30190</v>
      </c>
      <c r="N267" s="81">
        <v>9376</v>
      </c>
      <c r="O267" s="81">
        <v>39566</v>
      </c>
      <c r="P267" s="94">
        <f>O267/D267</f>
        <v>2.5822999608406212</v>
      </c>
      <c r="Q267" s="94">
        <f>H267/D267</f>
        <v>0.35732933037462472</v>
      </c>
      <c r="R267" s="94">
        <f>I267/D267</f>
        <v>1.6130400730975067</v>
      </c>
      <c r="S267" s="94">
        <f>J267/D267</f>
        <v>0.61193055736848978</v>
      </c>
      <c r="T267" s="94">
        <f>K267/D267</f>
        <v>2.5822999608406212</v>
      </c>
      <c r="U267" s="94">
        <f>K267/E267</f>
        <v>5.2586390217969168</v>
      </c>
      <c r="V267" s="81">
        <v>2210</v>
      </c>
      <c r="W267" s="79" t="s">
        <v>1649</v>
      </c>
      <c r="X267" s="79" t="s">
        <v>1650</v>
      </c>
      <c r="Y267" s="81">
        <v>4239</v>
      </c>
      <c r="Z267" s="81">
        <v>2022</v>
      </c>
      <c r="AA267" s="81">
        <v>8119</v>
      </c>
      <c r="AB267" s="79" t="s">
        <v>1648</v>
      </c>
      <c r="AC267" s="81">
        <v>17506</v>
      </c>
      <c r="AD267" s="79" t="s">
        <v>1648</v>
      </c>
      <c r="AE267" s="79" t="s">
        <v>1649</v>
      </c>
      <c r="AF267" s="95">
        <v>0</v>
      </c>
    </row>
    <row r="268" spans="1:32" ht="15.75" thickBot="1" x14ac:dyDescent="0.3">
      <c r="A268" s="79" t="s">
        <v>568</v>
      </c>
      <c r="B268" s="93" t="s">
        <v>369</v>
      </c>
      <c r="C268" s="79" t="s">
        <v>22</v>
      </c>
      <c r="D268" s="81">
        <v>22115</v>
      </c>
      <c r="E268" s="81">
        <v>6595</v>
      </c>
      <c r="F268" s="81">
        <v>75399</v>
      </c>
      <c r="G268" s="81">
        <v>11539</v>
      </c>
      <c r="H268" s="81">
        <v>75935</v>
      </c>
      <c r="I268" s="81">
        <v>52503</v>
      </c>
      <c r="J268" s="81">
        <v>33004</v>
      </c>
      <c r="K268" s="81">
        <v>161442</v>
      </c>
      <c r="L268" s="81">
        <v>4383</v>
      </c>
      <c r="M268" s="81">
        <v>128438</v>
      </c>
      <c r="N268" s="81">
        <v>37387</v>
      </c>
      <c r="O268" s="81">
        <v>165825</v>
      </c>
      <c r="P268" s="94">
        <f>O268/D268</f>
        <v>7.498304318335971</v>
      </c>
      <c r="Q268" s="94">
        <f>H268/D268</f>
        <v>3.4336423242143344</v>
      </c>
      <c r="R268" s="94">
        <f>I268/D268</f>
        <v>2.3740899841736378</v>
      </c>
      <c r="S268" s="94">
        <f>J268/D268</f>
        <v>1.4923807370562967</v>
      </c>
      <c r="T268" s="94">
        <f>K268/D268</f>
        <v>7.3001130454442684</v>
      </c>
      <c r="U268" s="94">
        <f>K268/E268</f>
        <v>24.479454131918121</v>
      </c>
      <c r="V268" s="81">
        <v>21242</v>
      </c>
      <c r="W268" s="79" t="s">
        <v>1648</v>
      </c>
      <c r="X268" s="79" t="s">
        <v>1651</v>
      </c>
      <c r="Y268" s="81">
        <v>8455</v>
      </c>
      <c r="Z268" s="81">
        <v>9577</v>
      </c>
      <c r="AA268" s="81">
        <v>7182</v>
      </c>
      <c r="AB268" s="79" t="s">
        <v>1648</v>
      </c>
      <c r="AC268" s="81">
        <v>33804</v>
      </c>
      <c r="AD268" s="79" t="s">
        <v>1649</v>
      </c>
      <c r="AE268" s="79" t="s">
        <v>1648</v>
      </c>
      <c r="AF268" s="81">
        <v>363</v>
      </c>
    </row>
    <row r="269" spans="1:32" ht="15.75" thickBot="1" x14ac:dyDescent="0.3">
      <c r="A269" s="79" t="s">
        <v>570</v>
      </c>
      <c r="B269" s="93" t="s">
        <v>383</v>
      </c>
      <c r="C269" s="79" t="s">
        <v>22</v>
      </c>
      <c r="D269" s="81">
        <v>21638</v>
      </c>
      <c r="E269" s="81">
        <v>7147</v>
      </c>
      <c r="F269" s="81">
        <v>41653</v>
      </c>
      <c r="G269" s="81">
        <v>0</v>
      </c>
      <c r="H269" s="81">
        <v>24502</v>
      </c>
      <c r="I269" s="81">
        <v>35695</v>
      </c>
      <c r="J269" s="81">
        <v>15833</v>
      </c>
      <c r="K269" s="81">
        <v>76030</v>
      </c>
      <c r="L269" s="81">
        <v>0</v>
      </c>
      <c r="M269" s="81">
        <v>60197</v>
      </c>
      <c r="N269" s="81">
        <v>15833</v>
      </c>
      <c r="O269" s="81">
        <v>76030</v>
      </c>
      <c r="P269" s="94">
        <f>O269/D269</f>
        <v>3.5137258526666049</v>
      </c>
      <c r="Q269" s="94">
        <f>H269/D269</f>
        <v>1.1323597374988446</v>
      </c>
      <c r="R269" s="94">
        <f>I269/D269</f>
        <v>1.6496441445604955</v>
      </c>
      <c r="S269" s="94">
        <f>J269/D269</f>
        <v>0.73172197060726496</v>
      </c>
      <c r="T269" s="94">
        <f>K269/D269</f>
        <v>3.5137258526666049</v>
      </c>
      <c r="U269" s="94">
        <f>K269/E269</f>
        <v>10.638029942633272</v>
      </c>
      <c r="V269" s="81">
        <v>40865</v>
      </c>
      <c r="W269" s="79" t="s">
        <v>1648</v>
      </c>
      <c r="X269" s="79" t="s">
        <v>1651</v>
      </c>
      <c r="Y269" s="81">
        <v>3976</v>
      </c>
      <c r="Z269" s="81">
        <v>8925</v>
      </c>
      <c r="AA269" s="81">
        <v>10630</v>
      </c>
      <c r="AB269" s="79" t="s">
        <v>1648</v>
      </c>
      <c r="AC269" s="81">
        <v>13042</v>
      </c>
      <c r="AD269" s="79" t="s">
        <v>1648</v>
      </c>
      <c r="AE269" s="79" t="s">
        <v>1649</v>
      </c>
      <c r="AF269" s="95">
        <v>0</v>
      </c>
    </row>
    <row r="270" spans="1:32" ht="15.75" thickBot="1" x14ac:dyDescent="0.3">
      <c r="A270" s="79" t="s">
        <v>572</v>
      </c>
      <c r="B270" s="93" t="s">
        <v>389</v>
      </c>
      <c r="C270" s="79" t="s">
        <v>22</v>
      </c>
      <c r="D270" s="81">
        <v>13600</v>
      </c>
      <c r="E270" s="81">
        <v>4924</v>
      </c>
      <c r="F270" s="81">
        <v>35307</v>
      </c>
      <c r="G270" s="81">
        <v>14129</v>
      </c>
      <c r="H270" s="81">
        <v>18345</v>
      </c>
      <c r="I270" s="81">
        <v>26323</v>
      </c>
      <c r="J270" s="81">
        <v>6226</v>
      </c>
      <c r="K270" s="81">
        <v>50894</v>
      </c>
      <c r="L270" s="77" t="s">
        <v>1660</v>
      </c>
      <c r="M270" s="81">
        <v>44668</v>
      </c>
      <c r="N270" s="81">
        <v>6226</v>
      </c>
      <c r="O270" s="81">
        <v>50894</v>
      </c>
      <c r="P270" s="94">
        <f>O270/D270</f>
        <v>3.7422058823529412</v>
      </c>
      <c r="Q270" s="94">
        <f>H270/D270</f>
        <v>1.3488970588235294</v>
      </c>
      <c r="R270" s="94">
        <f>I270/D270</f>
        <v>1.935514705882353</v>
      </c>
      <c r="S270" s="94">
        <f>J270/D270</f>
        <v>0.4577941176470588</v>
      </c>
      <c r="T270" s="94">
        <f>K270/D270</f>
        <v>3.7422058823529412</v>
      </c>
      <c r="U270" s="94">
        <f>K270/E270</f>
        <v>10.335905767668562</v>
      </c>
      <c r="V270" s="81">
        <v>7280</v>
      </c>
      <c r="W270" s="79" t="s">
        <v>1648</v>
      </c>
      <c r="X270" s="79" t="s">
        <v>1613</v>
      </c>
      <c r="Y270" s="81">
        <v>2506</v>
      </c>
      <c r="Z270" s="81">
        <v>6159</v>
      </c>
      <c r="AA270" s="81">
        <v>5572</v>
      </c>
      <c r="AB270" s="79" t="s">
        <v>1648</v>
      </c>
      <c r="AC270" s="81">
        <v>3863</v>
      </c>
      <c r="AD270" s="79" t="s">
        <v>1648</v>
      </c>
      <c r="AE270" s="79" t="s">
        <v>1649</v>
      </c>
      <c r="AF270" s="95">
        <v>0</v>
      </c>
    </row>
    <row r="271" spans="1:32" ht="15.75" thickBot="1" x14ac:dyDescent="0.3">
      <c r="A271" s="79" t="s">
        <v>574</v>
      </c>
      <c r="B271" s="93" t="s">
        <v>403</v>
      </c>
      <c r="C271" s="79" t="s">
        <v>22</v>
      </c>
      <c r="D271" s="81">
        <v>17153</v>
      </c>
      <c r="E271" s="81">
        <v>4814</v>
      </c>
      <c r="F271" s="81">
        <v>29394</v>
      </c>
      <c r="G271" s="81">
        <v>17983</v>
      </c>
      <c r="H271" s="81">
        <v>15382</v>
      </c>
      <c r="I271" s="81">
        <v>19629</v>
      </c>
      <c r="J271" s="81">
        <v>8968</v>
      </c>
      <c r="K271" s="81">
        <v>43979</v>
      </c>
      <c r="L271" s="81">
        <v>0</v>
      </c>
      <c r="M271" s="81">
        <v>35011</v>
      </c>
      <c r="N271" s="81">
        <v>8968</v>
      </c>
      <c r="O271" s="81">
        <v>43979</v>
      </c>
      <c r="P271" s="94">
        <f>O271/D271</f>
        <v>2.56392467789891</v>
      </c>
      <c r="Q271" s="94">
        <f>H271/D271</f>
        <v>0.89675275462018311</v>
      </c>
      <c r="R271" s="94">
        <f>I271/D271</f>
        <v>1.1443479274762431</v>
      </c>
      <c r="S271" s="94">
        <f>J271/D271</f>
        <v>0.52282399580248351</v>
      </c>
      <c r="T271" s="94">
        <f>K271/D271</f>
        <v>2.56392467789891</v>
      </c>
      <c r="U271" s="94">
        <f>K271/E271</f>
        <v>9.135646032405484</v>
      </c>
      <c r="V271" s="81">
        <v>11128</v>
      </c>
      <c r="W271" s="79" t="s">
        <v>1649</v>
      </c>
      <c r="X271" s="79" t="s">
        <v>1650</v>
      </c>
      <c r="Y271" s="81">
        <v>1251</v>
      </c>
      <c r="Z271" s="81">
        <v>2289</v>
      </c>
      <c r="AA271" s="81">
        <v>7899</v>
      </c>
      <c r="AB271" s="79" t="s">
        <v>1648</v>
      </c>
      <c r="AC271" s="81">
        <v>6695</v>
      </c>
      <c r="AD271" s="79" t="s">
        <v>1649</v>
      </c>
      <c r="AE271" s="79" t="s">
        <v>1649</v>
      </c>
      <c r="AF271" s="77">
        <v>0</v>
      </c>
    </row>
    <row r="272" spans="1:32" ht="15.75" thickBot="1" x14ac:dyDescent="0.3">
      <c r="A272" s="79" t="s">
        <v>576</v>
      </c>
      <c r="B272" s="93" t="s">
        <v>422</v>
      </c>
      <c r="C272" s="79" t="s">
        <v>22</v>
      </c>
      <c r="D272" s="81">
        <v>25369</v>
      </c>
      <c r="E272" s="81">
        <v>4657</v>
      </c>
      <c r="F272" s="81">
        <v>1227</v>
      </c>
      <c r="G272" s="81">
        <v>9882</v>
      </c>
      <c r="H272" s="81">
        <v>275</v>
      </c>
      <c r="I272" s="81">
        <v>323</v>
      </c>
      <c r="J272" s="81">
        <v>1166</v>
      </c>
      <c r="K272" s="81">
        <v>1764</v>
      </c>
      <c r="L272" s="81">
        <v>0</v>
      </c>
      <c r="M272" s="81">
        <v>598</v>
      </c>
      <c r="N272" s="81">
        <v>1166</v>
      </c>
      <c r="O272" s="81">
        <v>1764</v>
      </c>
      <c r="P272" s="94">
        <f>O272/D272</f>
        <v>6.9533682841262962E-2</v>
      </c>
      <c r="Q272" s="94">
        <f>H272/D272</f>
        <v>1.0840001576727503E-2</v>
      </c>
      <c r="R272" s="94">
        <f>I272/D272</f>
        <v>1.2732074579210847E-2</v>
      </c>
      <c r="S272" s="94">
        <f>J272/D272</f>
        <v>4.5961606685324612E-2</v>
      </c>
      <c r="T272" s="94">
        <f>K272/D272</f>
        <v>6.9533682841262962E-2</v>
      </c>
      <c r="U272" s="94">
        <f>K272/E272</f>
        <v>0.37878462529525447</v>
      </c>
      <c r="V272" s="81">
        <v>1386</v>
      </c>
      <c r="W272" s="79" t="s">
        <v>1648</v>
      </c>
      <c r="X272" s="79" t="s">
        <v>1651</v>
      </c>
      <c r="Y272" s="81">
        <v>47</v>
      </c>
      <c r="Z272" s="81">
        <v>180</v>
      </c>
      <c r="AA272" s="81">
        <v>0</v>
      </c>
      <c r="AB272" s="79" t="s">
        <v>1648</v>
      </c>
      <c r="AC272" s="81">
        <v>125</v>
      </c>
      <c r="AD272" s="79" t="s">
        <v>1648</v>
      </c>
      <c r="AE272" s="79" t="s">
        <v>1649</v>
      </c>
      <c r="AF272" s="95">
        <v>0</v>
      </c>
    </row>
    <row r="273" spans="1:32" ht="15.75" thickBot="1" x14ac:dyDescent="0.3">
      <c r="A273" s="79" t="s">
        <v>578</v>
      </c>
      <c r="B273" s="93" t="s">
        <v>438</v>
      </c>
      <c r="C273" s="79" t="s">
        <v>22</v>
      </c>
      <c r="D273" s="81">
        <v>22258</v>
      </c>
      <c r="E273" s="81">
        <v>13976</v>
      </c>
      <c r="F273" s="81">
        <v>115000</v>
      </c>
      <c r="G273" s="81">
        <v>166500</v>
      </c>
      <c r="H273" s="81">
        <v>132746</v>
      </c>
      <c r="I273" s="81">
        <v>82736</v>
      </c>
      <c r="J273" s="81">
        <v>242086</v>
      </c>
      <c r="K273" s="81">
        <v>457568</v>
      </c>
      <c r="L273" s="81">
        <v>6281</v>
      </c>
      <c r="M273" s="81">
        <v>215482</v>
      </c>
      <c r="N273" s="81">
        <v>248367</v>
      </c>
      <c r="O273" s="81">
        <v>463849</v>
      </c>
      <c r="P273" s="94">
        <f>O273/D273</f>
        <v>20.839653158414951</v>
      </c>
      <c r="Q273" s="94">
        <f>H273/D273</f>
        <v>5.9639680115014828</v>
      </c>
      <c r="R273" s="94">
        <f>I273/D273</f>
        <v>3.7171354119867015</v>
      </c>
      <c r="S273" s="94">
        <f>J273/D273</f>
        <v>10.876359061910325</v>
      </c>
      <c r="T273" s="94">
        <f>K273/D273</f>
        <v>20.55746248539851</v>
      </c>
      <c r="U273" s="94">
        <f>K273/E273</f>
        <v>32.739553520320548</v>
      </c>
      <c r="V273" s="81">
        <v>3981</v>
      </c>
      <c r="W273" s="79" t="s">
        <v>1648</v>
      </c>
      <c r="X273" s="79" t="s">
        <v>1651</v>
      </c>
      <c r="Y273" s="81">
        <v>2322</v>
      </c>
      <c r="Z273" s="81">
        <v>4168</v>
      </c>
      <c r="AA273" s="81">
        <v>14660</v>
      </c>
      <c r="AB273" s="79" t="s">
        <v>1648</v>
      </c>
      <c r="AC273" s="81">
        <v>24284</v>
      </c>
      <c r="AD273" s="79" t="s">
        <v>1648</v>
      </c>
      <c r="AE273" s="79" t="s">
        <v>1648</v>
      </c>
      <c r="AF273" s="81">
        <v>5</v>
      </c>
    </row>
    <row r="274" spans="1:32" ht="15.75" thickBot="1" x14ac:dyDescent="0.3">
      <c r="A274" s="79" t="s">
        <v>580</v>
      </c>
      <c r="B274" s="93" t="s">
        <v>451</v>
      </c>
      <c r="C274" s="79" t="s">
        <v>22</v>
      </c>
      <c r="D274" s="81">
        <v>14545</v>
      </c>
      <c r="E274" s="81">
        <v>6014</v>
      </c>
      <c r="F274" s="81">
        <v>66835</v>
      </c>
      <c r="G274" s="81">
        <v>61617</v>
      </c>
      <c r="H274" s="81">
        <v>71920</v>
      </c>
      <c r="I274" s="81">
        <v>41136</v>
      </c>
      <c r="J274" s="81">
        <v>26035</v>
      </c>
      <c r="K274" s="81">
        <v>139091</v>
      </c>
      <c r="L274" s="81">
        <v>21420</v>
      </c>
      <c r="M274" s="81">
        <v>113056</v>
      </c>
      <c r="N274" s="81">
        <v>47455</v>
      </c>
      <c r="O274" s="81">
        <v>160511</v>
      </c>
      <c r="P274" s="94">
        <f>O274/D274</f>
        <v>11.035476108628394</v>
      </c>
      <c r="Q274" s="94">
        <f>H274/D274</f>
        <v>4.9446545204537644</v>
      </c>
      <c r="R274" s="94">
        <f>I274/D274</f>
        <v>2.8281883808869028</v>
      </c>
      <c r="S274" s="94">
        <f>J274/D274</f>
        <v>1.7899621863183224</v>
      </c>
      <c r="T274" s="94">
        <f>K274/D274</f>
        <v>9.5628050876589885</v>
      </c>
      <c r="U274" s="94">
        <f>K274/E274</f>
        <v>23.127868307283006</v>
      </c>
      <c r="V274" s="81">
        <v>9091</v>
      </c>
      <c r="W274" s="79" t="s">
        <v>1648</v>
      </c>
      <c r="X274" s="79" t="s">
        <v>1650</v>
      </c>
      <c r="Y274" s="81">
        <v>17922</v>
      </c>
      <c r="Z274" s="81">
        <v>13633</v>
      </c>
      <c r="AA274" s="81">
        <v>5653</v>
      </c>
      <c r="AB274" s="79" t="s">
        <v>1648</v>
      </c>
      <c r="AC274" s="81">
        <v>4139</v>
      </c>
      <c r="AD274" s="79" t="s">
        <v>1648</v>
      </c>
      <c r="AE274" s="79" t="s">
        <v>1648</v>
      </c>
      <c r="AF274" s="81">
        <v>110</v>
      </c>
    </row>
    <row r="275" spans="1:32" ht="15.75" thickBot="1" x14ac:dyDescent="0.3">
      <c r="A275" s="79" t="s">
        <v>582</v>
      </c>
      <c r="B275" s="93" t="s">
        <v>457</v>
      </c>
      <c r="C275" s="79" t="s">
        <v>22</v>
      </c>
      <c r="D275" s="81">
        <v>13452</v>
      </c>
      <c r="E275" s="81">
        <v>4154</v>
      </c>
      <c r="F275" s="81">
        <v>50416</v>
      </c>
      <c r="G275" s="81">
        <v>24922</v>
      </c>
      <c r="H275" s="81">
        <v>18008</v>
      </c>
      <c r="I275" s="81">
        <v>20902</v>
      </c>
      <c r="J275" s="81">
        <v>7907</v>
      </c>
      <c r="K275" s="81">
        <v>46817</v>
      </c>
      <c r="L275" s="81">
        <v>6564</v>
      </c>
      <c r="M275" s="81">
        <v>38910</v>
      </c>
      <c r="N275" s="81">
        <v>14471</v>
      </c>
      <c r="O275" s="81">
        <v>53381</v>
      </c>
      <c r="P275" s="94">
        <f>O275/D275</f>
        <v>3.9682575081772229</v>
      </c>
      <c r="Q275" s="94">
        <f>H275/D275</f>
        <v>1.3386856972940826</v>
      </c>
      <c r="R275" s="94">
        <f>I275/D275</f>
        <v>1.5538209931608682</v>
      </c>
      <c r="S275" s="94">
        <f>J275/D275</f>
        <v>0.58779363663395778</v>
      </c>
      <c r="T275" s="94">
        <f>K275/D275</f>
        <v>3.4803003270889086</v>
      </c>
      <c r="U275" s="94">
        <f>K275/E275</f>
        <v>11.270341839191142</v>
      </c>
      <c r="V275" s="81">
        <v>2819</v>
      </c>
      <c r="W275" s="79" t="s">
        <v>1648</v>
      </c>
      <c r="X275" s="79" t="s">
        <v>1651</v>
      </c>
      <c r="Y275" s="81">
        <v>5399</v>
      </c>
      <c r="Z275" s="81">
        <v>7300</v>
      </c>
      <c r="AA275" s="81">
        <v>3593</v>
      </c>
      <c r="AB275" s="79" t="s">
        <v>1648</v>
      </c>
      <c r="AC275" s="81">
        <v>13195</v>
      </c>
      <c r="AD275" s="79" t="s">
        <v>1648</v>
      </c>
      <c r="AE275" s="79" t="s">
        <v>1649</v>
      </c>
      <c r="AF275" s="95">
        <v>0</v>
      </c>
    </row>
    <row r="276" spans="1:32" ht="15.75" thickBot="1" x14ac:dyDescent="0.3">
      <c r="A276" s="79" t="s">
        <v>584</v>
      </c>
      <c r="B276" s="93" t="s">
        <v>471</v>
      </c>
      <c r="C276" s="79" t="s">
        <v>22</v>
      </c>
      <c r="D276" s="81">
        <v>22995</v>
      </c>
      <c r="E276" s="81">
        <v>9542</v>
      </c>
      <c r="F276" s="81">
        <v>34052</v>
      </c>
      <c r="G276" s="81">
        <v>43914</v>
      </c>
      <c r="H276" s="81">
        <v>13459</v>
      </c>
      <c r="I276" s="81">
        <v>47504</v>
      </c>
      <c r="J276" s="81">
        <v>22529</v>
      </c>
      <c r="K276" s="81">
        <v>83492</v>
      </c>
      <c r="L276" s="81">
        <v>15907</v>
      </c>
      <c r="M276" s="81">
        <v>60963</v>
      </c>
      <c r="N276" s="81">
        <v>38436</v>
      </c>
      <c r="O276" s="81">
        <v>99399</v>
      </c>
      <c r="P276" s="94">
        <f>O276/D276</f>
        <v>4.3226353555120678</v>
      </c>
      <c r="Q276" s="94">
        <f>H276/D276</f>
        <v>0.58530115242444014</v>
      </c>
      <c r="R276" s="94">
        <f>I276/D276</f>
        <v>2.0658404000869752</v>
      </c>
      <c r="S276" s="94">
        <f>J276/D276</f>
        <v>0.97973472494020442</v>
      </c>
      <c r="T276" s="94">
        <f>K276/D276</f>
        <v>3.6308762774516201</v>
      </c>
      <c r="U276" s="94">
        <f>K276/E276</f>
        <v>8.7499476000838392</v>
      </c>
      <c r="V276" s="81">
        <v>1872</v>
      </c>
      <c r="W276" s="79" t="s">
        <v>1648</v>
      </c>
      <c r="X276" s="79" t="s">
        <v>1650</v>
      </c>
      <c r="Y276" s="81">
        <v>3371</v>
      </c>
      <c r="Z276" s="81">
        <v>4641</v>
      </c>
      <c r="AA276" s="81">
        <v>6459</v>
      </c>
      <c r="AB276" s="79" t="s">
        <v>1648</v>
      </c>
      <c r="AC276" s="81">
        <v>10351</v>
      </c>
      <c r="AD276" s="79" t="s">
        <v>1648</v>
      </c>
      <c r="AE276" s="79" t="s">
        <v>1648</v>
      </c>
      <c r="AF276" s="81">
        <v>56</v>
      </c>
    </row>
    <row r="277" spans="1:32" ht="15.75" thickBot="1" x14ac:dyDescent="0.3">
      <c r="A277" s="79" t="s">
        <v>586</v>
      </c>
      <c r="B277" s="93" t="s">
        <v>481</v>
      </c>
      <c r="C277" s="79" t="s">
        <v>22</v>
      </c>
      <c r="D277" s="81">
        <v>14948</v>
      </c>
      <c r="E277" s="81">
        <v>5204</v>
      </c>
      <c r="F277" s="81">
        <v>76293</v>
      </c>
      <c r="G277" s="81">
        <v>68144</v>
      </c>
      <c r="H277" s="81">
        <v>35178</v>
      </c>
      <c r="I277" s="81">
        <v>76744</v>
      </c>
      <c r="J277" s="81">
        <v>14427</v>
      </c>
      <c r="K277" s="81">
        <v>126349</v>
      </c>
      <c r="L277" s="81">
        <v>0</v>
      </c>
      <c r="M277" s="81">
        <v>111922</v>
      </c>
      <c r="N277" s="81">
        <v>14427</v>
      </c>
      <c r="O277" s="81">
        <v>126349</v>
      </c>
      <c r="P277" s="94">
        <f>O277/D277</f>
        <v>8.4525689055392021</v>
      </c>
      <c r="Q277" s="94">
        <f>H277/D277</f>
        <v>2.3533583088038532</v>
      </c>
      <c r="R277" s="94">
        <f>I277/D277</f>
        <v>5.1340647578271339</v>
      </c>
      <c r="S277" s="94">
        <f>J277/D277</f>
        <v>0.96514583890821515</v>
      </c>
      <c r="T277" s="94">
        <f>K277/D277</f>
        <v>8.4525689055392021</v>
      </c>
      <c r="U277" s="94">
        <f>K277/E277</f>
        <v>24.279208301306689</v>
      </c>
      <c r="V277" s="81">
        <v>21676</v>
      </c>
      <c r="W277" s="79" t="s">
        <v>1648</v>
      </c>
      <c r="X277" s="79" t="s">
        <v>1651</v>
      </c>
      <c r="Y277" s="81">
        <v>3776</v>
      </c>
      <c r="Z277" s="81">
        <v>4244</v>
      </c>
      <c r="AA277" s="81">
        <v>33902</v>
      </c>
      <c r="AB277" s="79" t="s">
        <v>1648</v>
      </c>
      <c r="AC277" s="81">
        <v>45000</v>
      </c>
      <c r="AD277" s="79" t="s">
        <v>1648</v>
      </c>
      <c r="AE277" s="79" t="s">
        <v>1648</v>
      </c>
      <c r="AF277" s="81">
        <v>128</v>
      </c>
    </row>
    <row r="278" spans="1:32" ht="15.75" thickBot="1" x14ac:dyDescent="0.3">
      <c r="A278" s="79" t="s">
        <v>588</v>
      </c>
      <c r="B278" s="93" t="s">
        <v>485</v>
      </c>
      <c r="C278" s="79" t="s">
        <v>22</v>
      </c>
      <c r="D278" s="81">
        <v>18393</v>
      </c>
      <c r="E278" s="81">
        <v>5356</v>
      </c>
      <c r="F278" s="81">
        <v>70183</v>
      </c>
      <c r="G278" s="81">
        <v>159126</v>
      </c>
      <c r="H278" s="81">
        <v>39196</v>
      </c>
      <c r="I278" s="81">
        <v>59693</v>
      </c>
      <c r="J278" s="81">
        <v>23565</v>
      </c>
      <c r="K278" s="81">
        <v>122454</v>
      </c>
      <c r="L278" s="81">
        <v>2727</v>
      </c>
      <c r="M278" s="81">
        <v>98889</v>
      </c>
      <c r="N278" s="81">
        <v>26292</v>
      </c>
      <c r="O278" s="81">
        <v>125181</v>
      </c>
      <c r="P278" s="94">
        <f>O278/D278</f>
        <v>6.8059044201598438</v>
      </c>
      <c r="Q278" s="94">
        <f>H278/D278</f>
        <v>2.1310281085195455</v>
      </c>
      <c r="R278" s="94">
        <f>I278/D278</f>
        <v>3.2454194530527918</v>
      </c>
      <c r="S278" s="94">
        <f>J278/D278</f>
        <v>1.2811939324743109</v>
      </c>
      <c r="T278" s="94">
        <f>K278/D278</f>
        <v>6.657641494046648</v>
      </c>
      <c r="U278" s="94">
        <f>K278/E278</f>
        <v>22.862957430918595</v>
      </c>
      <c r="V278" s="81">
        <v>14718</v>
      </c>
      <c r="W278" s="79" t="s">
        <v>1648</v>
      </c>
      <c r="X278" s="79" t="s">
        <v>1651</v>
      </c>
      <c r="Y278" s="81">
        <v>2529</v>
      </c>
      <c r="Z278" s="81">
        <v>3787</v>
      </c>
      <c r="AA278" s="81">
        <v>7625</v>
      </c>
      <c r="AB278" s="79" t="s">
        <v>1648</v>
      </c>
      <c r="AC278" s="81">
        <v>9000</v>
      </c>
      <c r="AD278" s="79" t="s">
        <v>1648</v>
      </c>
      <c r="AE278" s="79" t="s">
        <v>1649</v>
      </c>
      <c r="AF278" s="95">
        <v>0</v>
      </c>
    </row>
    <row r="279" spans="1:32" ht="15.75" thickBot="1" x14ac:dyDescent="0.3">
      <c r="A279" s="79" t="s">
        <v>590</v>
      </c>
      <c r="B279" s="93" t="s">
        <v>495</v>
      </c>
      <c r="C279" s="79" t="s">
        <v>22</v>
      </c>
      <c r="D279" s="81">
        <v>14384</v>
      </c>
      <c r="E279" s="81">
        <v>3897</v>
      </c>
      <c r="F279" s="81">
        <v>34900</v>
      </c>
      <c r="G279" s="81">
        <v>18670</v>
      </c>
      <c r="H279" s="81">
        <v>17797</v>
      </c>
      <c r="I279" s="81">
        <v>36920</v>
      </c>
      <c r="J279" s="81">
        <v>4244</v>
      </c>
      <c r="K279" s="81">
        <v>58961</v>
      </c>
      <c r="L279" s="81">
        <v>350</v>
      </c>
      <c r="M279" s="81">
        <v>54717</v>
      </c>
      <c r="N279" s="81">
        <v>4594</v>
      </c>
      <c r="O279" s="81">
        <v>59311</v>
      </c>
      <c r="P279" s="94">
        <f>O279/D279</f>
        <v>4.123401001112347</v>
      </c>
      <c r="Q279" s="94">
        <f>H279/D279</f>
        <v>1.237277530589544</v>
      </c>
      <c r="R279" s="94">
        <f>I279/D279</f>
        <v>2.5667408231368185</v>
      </c>
      <c r="S279" s="94">
        <f>J279/D279</f>
        <v>0.29505005561735259</v>
      </c>
      <c r="T279" s="94">
        <f>K279/D279</f>
        <v>4.0990684093437153</v>
      </c>
      <c r="U279" s="94">
        <f>K279/E279</f>
        <v>15.129843469335386</v>
      </c>
      <c r="V279" s="81">
        <v>1836</v>
      </c>
      <c r="W279" s="79" t="s">
        <v>1648</v>
      </c>
      <c r="X279" s="79" t="s">
        <v>1651</v>
      </c>
      <c r="Y279" s="81">
        <v>1527</v>
      </c>
      <c r="Z279" s="81">
        <v>2036</v>
      </c>
      <c r="AA279" s="81">
        <v>3080</v>
      </c>
      <c r="AB279" s="79" t="s">
        <v>1648</v>
      </c>
      <c r="AC279" s="81">
        <v>8855</v>
      </c>
      <c r="AD279" s="79" t="s">
        <v>1648</v>
      </c>
      <c r="AE279" s="79" t="s">
        <v>1649</v>
      </c>
      <c r="AF279" s="95">
        <v>0</v>
      </c>
    </row>
    <row r="280" spans="1:32" ht="15.75" thickBot="1" x14ac:dyDescent="0.3">
      <c r="A280" s="79" t="s">
        <v>592</v>
      </c>
      <c r="B280" s="93" t="s">
        <v>499</v>
      </c>
      <c r="C280" s="79" t="s">
        <v>22</v>
      </c>
      <c r="D280" s="81">
        <v>17511</v>
      </c>
      <c r="E280" s="81">
        <v>5209</v>
      </c>
      <c r="F280" s="81">
        <v>31364</v>
      </c>
      <c r="G280" s="81">
        <v>36725</v>
      </c>
      <c r="H280" s="81">
        <v>25954</v>
      </c>
      <c r="I280" s="81">
        <v>24031</v>
      </c>
      <c r="J280" s="81">
        <v>10134</v>
      </c>
      <c r="K280" s="81">
        <v>60119</v>
      </c>
      <c r="L280" s="81">
        <v>0</v>
      </c>
      <c r="M280" s="81">
        <v>49985</v>
      </c>
      <c r="N280" s="81">
        <v>10134</v>
      </c>
      <c r="O280" s="81">
        <v>60119</v>
      </c>
      <c r="P280" s="94">
        <f>O280/D280</f>
        <v>3.4332134087145225</v>
      </c>
      <c r="Q280" s="94">
        <f>H280/D280</f>
        <v>1.4821540745816915</v>
      </c>
      <c r="R280" s="94">
        <f>I280/D280</f>
        <v>1.3723373879275884</v>
      </c>
      <c r="S280" s="94">
        <f>J280/D280</f>
        <v>0.57872194620524242</v>
      </c>
      <c r="T280" s="94">
        <f>K280/D280</f>
        <v>3.4332134087145225</v>
      </c>
      <c r="U280" s="94">
        <f>K280/E280</f>
        <v>11.541370704549818</v>
      </c>
      <c r="V280" s="81">
        <v>3512</v>
      </c>
      <c r="W280" s="79" t="s">
        <v>1648</v>
      </c>
      <c r="X280" s="79" t="s">
        <v>1650</v>
      </c>
      <c r="Y280" s="81">
        <v>2920</v>
      </c>
      <c r="Z280" s="81">
        <v>3640</v>
      </c>
      <c r="AA280" s="81">
        <v>4182</v>
      </c>
      <c r="AB280" s="79" t="s">
        <v>1648</v>
      </c>
      <c r="AC280" s="81">
        <v>11901</v>
      </c>
      <c r="AD280" s="79" t="s">
        <v>1648</v>
      </c>
      <c r="AE280" s="79" t="s">
        <v>1648</v>
      </c>
      <c r="AF280" s="81">
        <v>156</v>
      </c>
    </row>
    <row r="281" spans="1:32" ht="15.75" thickBot="1" x14ac:dyDescent="0.3">
      <c r="A281" s="79" t="s">
        <v>594</v>
      </c>
      <c r="B281" s="93" t="s">
        <v>501</v>
      </c>
      <c r="C281" s="79" t="s">
        <v>22</v>
      </c>
      <c r="D281" s="81">
        <v>15736</v>
      </c>
      <c r="E281" s="81">
        <v>6764</v>
      </c>
      <c r="F281" s="81">
        <v>128226</v>
      </c>
      <c r="G281" s="81">
        <v>123267</v>
      </c>
      <c r="H281" s="81">
        <v>86988</v>
      </c>
      <c r="I281" s="81">
        <v>81594</v>
      </c>
      <c r="J281" s="81">
        <v>25527</v>
      </c>
      <c r="K281" s="81">
        <v>194109</v>
      </c>
      <c r="L281" s="81">
        <v>0</v>
      </c>
      <c r="M281" s="81">
        <v>168582</v>
      </c>
      <c r="N281" s="81">
        <v>25527</v>
      </c>
      <c r="O281" s="81">
        <v>194109</v>
      </c>
      <c r="P281" s="94">
        <f>O281/D281</f>
        <v>12.335345704117946</v>
      </c>
      <c r="Q281" s="94">
        <f>H281/D281</f>
        <v>5.5279613624809354</v>
      </c>
      <c r="R281" s="94">
        <f>I281/D281</f>
        <v>5.1851804778851038</v>
      </c>
      <c r="S281" s="94">
        <f>J281/D281</f>
        <v>1.6222038637519065</v>
      </c>
      <c r="T281" s="94">
        <f>K281/D281</f>
        <v>12.335345704117946</v>
      </c>
      <c r="U281" s="94">
        <f>K281/E281</f>
        <v>28.69736842105263</v>
      </c>
      <c r="V281" s="81">
        <v>23523</v>
      </c>
      <c r="W281" s="79" t="s">
        <v>1648</v>
      </c>
      <c r="X281" s="79" t="s">
        <v>1651</v>
      </c>
      <c r="Y281" s="81">
        <v>22757</v>
      </c>
      <c r="Z281" s="81">
        <v>16321</v>
      </c>
      <c r="AA281" s="81">
        <v>12276</v>
      </c>
      <c r="AB281" s="79" t="s">
        <v>1648</v>
      </c>
      <c r="AC281" s="81">
        <v>8192</v>
      </c>
      <c r="AD281" s="79" t="s">
        <v>1648</v>
      </c>
      <c r="AE281" s="79" t="s">
        <v>1649</v>
      </c>
      <c r="AF281" s="95">
        <v>0</v>
      </c>
    </row>
    <row r="282" spans="1:32" ht="15.75" thickBot="1" x14ac:dyDescent="0.3">
      <c r="A282" s="79" t="s">
        <v>596</v>
      </c>
      <c r="B282" s="93" t="s">
        <v>505</v>
      </c>
      <c r="C282" s="79" t="s">
        <v>22</v>
      </c>
      <c r="D282" s="81">
        <v>13097</v>
      </c>
      <c r="E282" s="81">
        <v>5200</v>
      </c>
      <c r="F282" s="81">
        <v>46680</v>
      </c>
      <c r="G282" s="81">
        <v>11713</v>
      </c>
      <c r="H282" s="81">
        <v>7500</v>
      </c>
      <c r="I282" s="81">
        <v>2200</v>
      </c>
      <c r="J282" s="81">
        <v>6000</v>
      </c>
      <c r="K282" s="81">
        <v>15700</v>
      </c>
      <c r="L282" s="81">
        <v>3800</v>
      </c>
      <c r="M282" s="81">
        <v>9700</v>
      </c>
      <c r="N282" s="81">
        <v>9800</v>
      </c>
      <c r="O282" s="81">
        <v>19500</v>
      </c>
      <c r="P282" s="94">
        <f>O282/D282</f>
        <v>1.488890585630297</v>
      </c>
      <c r="Q282" s="94">
        <f>H282/D282</f>
        <v>0.57265022524242193</v>
      </c>
      <c r="R282" s="94">
        <f>I282/D282</f>
        <v>0.16797739940444376</v>
      </c>
      <c r="S282" s="94">
        <f>J282/D282</f>
        <v>0.45812018019393752</v>
      </c>
      <c r="T282" s="94">
        <f>K282/D282</f>
        <v>1.1987478048408033</v>
      </c>
      <c r="U282" s="94">
        <f>K282/E282</f>
        <v>3.0192307692307692</v>
      </c>
      <c r="V282" s="81">
        <v>1300</v>
      </c>
      <c r="W282" s="79" t="s">
        <v>1648</v>
      </c>
      <c r="X282" s="79" t="s">
        <v>1650</v>
      </c>
      <c r="Y282" s="81">
        <v>1050</v>
      </c>
      <c r="Z282" s="81">
        <v>2700</v>
      </c>
      <c r="AA282" s="81">
        <v>4600</v>
      </c>
      <c r="AB282" s="79" t="s">
        <v>1648</v>
      </c>
      <c r="AC282" s="81">
        <v>-1</v>
      </c>
      <c r="AD282" s="79" t="s">
        <v>1648</v>
      </c>
      <c r="AE282" s="79" t="s">
        <v>1648</v>
      </c>
      <c r="AF282" s="81">
        <v>70</v>
      </c>
    </row>
    <row r="283" spans="1:32" ht="15.75" thickBot="1" x14ac:dyDescent="0.3">
      <c r="A283" s="79" t="s">
        <v>598</v>
      </c>
      <c r="B283" s="93" t="s">
        <v>515</v>
      </c>
      <c r="C283" s="79" t="s">
        <v>22</v>
      </c>
      <c r="D283" s="81">
        <v>22857</v>
      </c>
      <c r="E283" s="81">
        <v>3333</v>
      </c>
      <c r="F283" s="81">
        <v>37236</v>
      </c>
      <c r="G283" s="81">
        <v>30430</v>
      </c>
      <c r="H283" s="81">
        <v>34449</v>
      </c>
      <c r="I283" s="81">
        <v>51326</v>
      </c>
      <c r="J283" s="81">
        <v>4442</v>
      </c>
      <c r="K283" s="81">
        <v>90217</v>
      </c>
      <c r="L283" s="81">
        <v>0</v>
      </c>
      <c r="M283" s="81">
        <v>85775</v>
      </c>
      <c r="N283" s="81">
        <v>4442</v>
      </c>
      <c r="O283" s="81">
        <v>90217</v>
      </c>
      <c r="P283" s="94">
        <f>O283/D283</f>
        <v>3.9470184188651181</v>
      </c>
      <c r="Q283" s="94">
        <f>H283/D283</f>
        <v>1.5071531697073106</v>
      </c>
      <c r="R283" s="94">
        <f>I283/D283</f>
        <v>2.2455265345408408</v>
      </c>
      <c r="S283" s="94">
        <f>J283/D283</f>
        <v>0.19433871461696636</v>
      </c>
      <c r="T283" s="94">
        <f>K283/D283</f>
        <v>3.9470184188651181</v>
      </c>
      <c r="U283" s="94">
        <f>K283/E283</f>
        <v>27.067806780678069</v>
      </c>
      <c r="V283" s="81">
        <v>6100</v>
      </c>
      <c r="W283" s="79" t="s">
        <v>1648</v>
      </c>
      <c r="X283" s="79" t="s">
        <v>1650</v>
      </c>
      <c r="Y283" s="81">
        <v>4230</v>
      </c>
      <c r="Z283" s="81">
        <v>8361</v>
      </c>
      <c r="AA283" s="81">
        <v>16313</v>
      </c>
      <c r="AB283" s="79" t="s">
        <v>1648</v>
      </c>
      <c r="AC283" s="81">
        <v>33863</v>
      </c>
      <c r="AD283" s="79" t="s">
        <v>1648</v>
      </c>
      <c r="AE283" s="79" t="s">
        <v>1648</v>
      </c>
      <c r="AF283" s="81">
        <v>74</v>
      </c>
    </row>
    <row r="284" spans="1:32" ht="15.75" thickBot="1" x14ac:dyDescent="0.3">
      <c r="A284" s="79" t="s">
        <v>600</v>
      </c>
      <c r="B284" s="93" t="s">
        <v>529</v>
      </c>
      <c r="C284" s="79" t="s">
        <v>22</v>
      </c>
      <c r="D284" s="81">
        <v>24520</v>
      </c>
      <c r="E284" s="81">
        <v>22385</v>
      </c>
      <c r="F284" s="81">
        <v>65947</v>
      </c>
      <c r="G284" s="81">
        <v>18053</v>
      </c>
      <c r="H284" s="81">
        <v>36066</v>
      </c>
      <c r="I284" s="81">
        <v>40257</v>
      </c>
      <c r="J284" s="81">
        <v>16266</v>
      </c>
      <c r="K284" s="81">
        <v>92589</v>
      </c>
      <c r="L284" s="81">
        <v>3</v>
      </c>
      <c r="M284" s="81">
        <v>76323</v>
      </c>
      <c r="N284" s="81">
        <v>16269</v>
      </c>
      <c r="O284" s="81">
        <v>92592</v>
      </c>
      <c r="P284" s="94">
        <f>O284/D284</f>
        <v>3.7761827079934749</v>
      </c>
      <c r="Q284" s="94">
        <f>H284/D284</f>
        <v>1.4708809135399674</v>
      </c>
      <c r="R284" s="94">
        <f>I284/D284</f>
        <v>1.6418026101141925</v>
      </c>
      <c r="S284" s="94">
        <f>J284/D284</f>
        <v>0.66337683523654156</v>
      </c>
      <c r="T284" s="94">
        <f>K284/D284</f>
        <v>3.7760603588907014</v>
      </c>
      <c r="U284" s="94">
        <f>K284/E284</f>
        <v>4.1362072816618269</v>
      </c>
      <c r="V284" s="81">
        <v>24669</v>
      </c>
      <c r="W284" s="79" t="s">
        <v>1648</v>
      </c>
      <c r="X284" s="79" t="s">
        <v>1651</v>
      </c>
      <c r="Y284" s="81">
        <v>5567</v>
      </c>
      <c r="Z284" s="81">
        <v>5946</v>
      </c>
      <c r="AA284" s="81">
        <v>14669</v>
      </c>
      <c r="AB284" s="79" t="s">
        <v>1648</v>
      </c>
      <c r="AC284" s="81">
        <v>0</v>
      </c>
      <c r="AD284" s="79" t="s">
        <v>1648</v>
      </c>
      <c r="AE284" s="79" t="s">
        <v>1649</v>
      </c>
      <c r="AF284" s="95">
        <v>0</v>
      </c>
    </row>
    <row r="285" spans="1:32" ht="15.75" thickBot="1" x14ac:dyDescent="0.3">
      <c r="A285" s="79" t="s">
        <v>602</v>
      </c>
      <c r="B285" s="93" t="s">
        <v>545</v>
      </c>
      <c r="C285" s="79" t="s">
        <v>22</v>
      </c>
      <c r="D285" s="81">
        <v>12561</v>
      </c>
      <c r="E285" s="81">
        <v>3752</v>
      </c>
      <c r="F285" s="81">
        <v>9875</v>
      </c>
      <c r="G285" s="81">
        <v>30919</v>
      </c>
      <c r="H285" s="81">
        <v>4889</v>
      </c>
      <c r="I285" s="81">
        <v>41200</v>
      </c>
      <c r="J285" s="81">
        <v>2662</v>
      </c>
      <c r="K285" s="81">
        <v>48751</v>
      </c>
      <c r="L285" s="81">
        <v>0</v>
      </c>
      <c r="M285" s="81">
        <v>46089</v>
      </c>
      <c r="N285" s="81">
        <v>2662</v>
      </c>
      <c r="O285" s="81">
        <v>48751</v>
      </c>
      <c r="P285" s="94">
        <f>O285/D285</f>
        <v>3.881140036621288</v>
      </c>
      <c r="Q285" s="94">
        <f>H285/D285</f>
        <v>0.38922060345513892</v>
      </c>
      <c r="R285" s="94">
        <f>I285/D285</f>
        <v>3.2799936310803282</v>
      </c>
      <c r="S285" s="94">
        <f>J285/D285</f>
        <v>0.21192580208582118</v>
      </c>
      <c r="T285" s="94">
        <f>K285/D285</f>
        <v>3.881140036621288</v>
      </c>
      <c r="U285" s="94">
        <f>K285/E285</f>
        <v>12.993336886993603</v>
      </c>
      <c r="V285" s="81">
        <v>7201</v>
      </c>
      <c r="W285" s="79" t="s">
        <v>1648</v>
      </c>
      <c r="X285" s="79" t="s">
        <v>1650</v>
      </c>
      <c r="Y285" s="81">
        <v>1065</v>
      </c>
      <c r="Z285" s="81">
        <v>1637</v>
      </c>
      <c r="AA285" s="81">
        <v>5369</v>
      </c>
      <c r="AB285" s="79" t="s">
        <v>1648</v>
      </c>
      <c r="AC285" s="81">
        <v>3521</v>
      </c>
      <c r="AD285" s="79" t="s">
        <v>1648</v>
      </c>
      <c r="AE285" s="79" t="s">
        <v>1649</v>
      </c>
      <c r="AF285" s="95">
        <v>0</v>
      </c>
    </row>
    <row r="286" spans="1:32" ht="15.75" thickBot="1" x14ac:dyDescent="0.3">
      <c r="A286" s="79" t="s">
        <v>604</v>
      </c>
      <c r="B286" s="93" t="s">
        <v>555</v>
      </c>
      <c r="C286" s="79" t="s">
        <v>22</v>
      </c>
      <c r="D286" s="81">
        <v>24164</v>
      </c>
      <c r="E286" s="81">
        <v>25964</v>
      </c>
      <c r="F286" s="81">
        <v>92792</v>
      </c>
      <c r="G286" s="81">
        <v>93829</v>
      </c>
      <c r="H286" s="81">
        <v>42407</v>
      </c>
      <c r="I286" s="81">
        <v>73830</v>
      </c>
      <c r="J286" s="81">
        <v>60057</v>
      </c>
      <c r="K286" s="81">
        <v>176294</v>
      </c>
      <c r="L286" s="81">
        <v>146861</v>
      </c>
      <c r="M286" s="81">
        <v>116237</v>
      </c>
      <c r="N286" s="81">
        <v>206918</v>
      </c>
      <c r="O286" s="81">
        <v>323155</v>
      </c>
      <c r="P286" s="94">
        <f>O286/D286</f>
        <v>13.373406720741599</v>
      </c>
      <c r="Q286" s="94">
        <f>H286/D286</f>
        <v>1.75496606522099</v>
      </c>
      <c r="R286" s="94">
        <f>I286/D286</f>
        <v>3.0553716272140372</v>
      </c>
      <c r="S286" s="94">
        <f>J286/D286</f>
        <v>2.4853914914749216</v>
      </c>
      <c r="T286" s="94">
        <f>K286/D286</f>
        <v>7.2957291839099483</v>
      </c>
      <c r="U286" s="94">
        <f>K286/E286</f>
        <v>6.7899399168078878</v>
      </c>
      <c r="V286" s="81">
        <v>9602</v>
      </c>
      <c r="W286" s="79" t="s">
        <v>1648</v>
      </c>
      <c r="X286" s="79" t="s">
        <v>1650</v>
      </c>
      <c r="Y286" s="81">
        <v>5781</v>
      </c>
      <c r="Z286" s="81">
        <v>5266</v>
      </c>
      <c r="AA286" s="81">
        <v>16024</v>
      </c>
      <c r="AB286" s="79" t="s">
        <v>1648</v>
      </c>
      <c r="AC286" s="81">
        <v>25964</v>
      </c>
      <c r="AD286" s="79" t="s">
        <v>1648</v>
      </c>
      <c r="AE286" s="79" t="s">
        <v>1648</v>
      </c>
      <c r="AF286" s="81">
        <v>16</v>
      </c>
    </row>
    <row r="287" spans="1:32" ht="15.75" thickBot="1" x14ac:dyDescent="0.3">
      <c r="A287" s="79" t="s">
        <v>606</v>
      </c>
      <c r="B287" s="93" t="s">
        <v>557</v>
      </c>
      <c r="C287" s="79" t="s">
        <v>22</v>
      </c>
      <c r="D287" s="81">
        <v>14230</v>
      </c>
      <c r="E287" s="81">
        <v>12347</v>
      </c>
      <c r="F287" s="81">
        <v>82702</v>
      </c>
      <c r="G287" s="81">
        <v>28460</v>
      </c>
      <c r="H287" s="81">
        <v>60682</v>
      </c>
      <c r="I287" s="81">
        <v>68742</v>
      </c>
      <c r="J287" s="81">
        <v>60936</v>
      </c>
      <c r="K287" s="81">
        <v>190360</v>
      </c>
      <c r="L287" s="81">
        <v>8625</v>
      </c>
      <c r="M287" s="81">
        <v>129424</v>
      </c>
      <c r="N287" s="81">
        <v>69561</v>
      </c>
      <c r="O287" s="81">
        <v>198985</v>
      </c>
      <c r="P287" s="94">
        <f>O287/D287</f>
        <v>13.983485593815882</v>
      </c>
      <c r="Q287" s="94">
        <f>H287/D287</f>
        <v>4.2643710470836265</v>
      </c>
      <c r="R287" s="94">
        <f>I287/D287</f>
        <v>4.8307800421644416</v>
      </c>
      <c r="S287" s="94">
        <f>J287/D287</f>
        <v>4.2822206605762476</v>
      </c>
      <c r="T287" s="94">
        <f>K287/D287</f>
        <v>13.377371749824315</v>
      </c>
      <c r="U287" s="94">
        <f>K287/E287</f>
        <v>15.417510326395076</v>
      </c>
      <c r="V287" s="81">
        <v>2912</v>
      </c>
      <c r="W287" s="79" t="s">
        <v>1648</v>
      </c>
      <c r="X287" s="79" t="s">
        <v>1650</v>
      </c>
      <c r="Y287" s="81">
        <v>2361</v>
      </c>
      <c r="Z287" s="81">
        <v>4571</v>
      </c>
      <c r="AA287" s="81">
        <v>12080</v>
      </c>
      <c r="AB287" s="79" t="s">
        <v>1648</v>
      </c>
      <c r="AC287" s="81">
        <v>14895</v>
      </c>
      <c r="AD287" s="79" t="s">
        <v>1648</v>
      </c>
      <c r="AE287" s="79" t="s">
        <v>1648</v>
      </c>
      <c r="AF287" s="81">
        <v>0</v>
      </c>
    </row>
    <row r="288" spans="1:32" ht="15.75" thickBot="1" x14ac:dyDescent="0.3">
      <c r="A288" s="79" t="s">
        <v>608</v>
      </c>
      <c r="B288" s="93" t="s">
        <v>561</v>
      </c>
      <c r="C288" s="79" t="s">
        <v>22</v>
      </c>
      <c r="D288" s="81">
        <v>20526</v>
      </c>
      <c r="E288" s="81">
        <v>9051</v>
      </c>
      <c r="F288" s="81">
        <v>81127</v>
      </c>
      <c r="G288" s="81">
        <v>0</v>
      </c>
      <c r="H288" s="81">
        <v>49703</v>
      </c>
      <c r="I288" s="81">
        <v>86674</v>
      </c>
      <c r="J288" s="81">
        <v>17546</v>
      </c>
      <c r="K288" s="81">
        <v>153923</v>
      </c>
      <c r="L288" s="81">
        <v>10711</v>
      </c>
      <c r="M288" s="81">
        <v>136377</v>
      </c>
      <c r="N288" s="81">
        <v>28257</v>
      </c>
      <c r="O288" s="81">
        <v>164634</v>
      </c>
      <c r="P288" s="94">
        <f>O288/D288</f>
        <v>8.0207541654486985</v>
      </c>
      <c r="Q288" s="94">
        <f>H288/D288</f>
        <v>2.4214654584429502</v>
      </c>
      <c r="R288" s="94">
        <f>I288/D288</f>
        <v>4.2226444509402707</v>
      </c>
      <c r="S288" s="94">
        <f>J288/D288</f>
        <v>0.85481827925557829</v>
      </c>
      <c r="T288" s="94">
        <f>K288/D288</f>
        <v>7.4989281886388</v>
      </c>
      <c r="U288" s="94">
        <f>K288/E288</f>
        <v>17.006187161639598</v>
      </c>
      <c r="V288" s="81">
        <v>9964</v>
      </c>
      <c r="W288" s="79" t="s">
        <v>1648</v>
      </c>
      <c r="X288" s="79" t="s">
        <v>1651</v>
      </c>
      <c r="Y288" s="81">
        <v>13487</v>
      </c>
      <c r="Z288" s="81">
        <v>12732</v>
      </c>
      <c r="AA288" s="81">
        <v>6456</v>
      </c>
      <c r="AB288" s="79" t="s">
        <v>1648</v>
      </c>
      <c r="AC288" s="81">
        <v>3126</v>
      </c>
      <c r="AD288" s="79" t="s">
        <v>1649</v>
      </c>
      <c r="AE288" s="79" t="s">
        <v>1649</v>
      </c>
      <c r="AF288" s="95">
        <v>0</v>
      </c>
    </row>
    <row r="289" spans="1:32" ht="15.75" thickBot="1" x14ac:dyDescent="0.3">
      <c r="A289" s="79" t="s">
        <v>610</v>
      </c>
      <c r="B289" s="93" t="s">
        <v>569</v>
      </c>
      <c r="C289" s="79" t="s">
        <v>22</v>
      </c>
      <c r="D289" s="81">
        <v>13579</v>
      </c>
      <c r="E289" s="81">
        <v>9689</v>
      </c>
      <c r="F289" s="81">
        <v>71991</v>
      </c>
      <c r="G289" s="81">
        <v>77040</v>
      </c>
      <c r="H289" s="81">
        <v>37162</v>
      </c>
      <c r="I289" s="81">
        <v>34026</v>
      </c>
      <c r="J289" s="81">
        <v>9838</v>
      </c>
      <c r="K289" s="81">
        <v>81026</v>
      </c>
      <c r="L289" s="81">
        <v>173</v>
      </c>
      <c r="M289" s="81">
        <v>71188</v>
      </c>
      <c r="N289" s="81">
        <v>10011</v>
      </c>
      <c r="O289" s="81">
        <v>81199</v>
      </c>
      <c r="P289" s="94">
        <f>O289/D289</f>
        <v>5.9797481405110835</v>
      </c>
      <c r="Q289" s="94">
        <f>H289/D289</f>
        <v>2.7367258266440828</v>
      </c>
      <c r="R289" s="94">
        <f>I289/D289</f>
        <v>2.5057809853450181</v>
      </c>
      <c r="S289" s="94">
        <f>J289/D289</f>
        <v>0.72450106782531853</v>
      </c>
      <c r="T289" s="94">
        <f>K289/D289</f>
        <v>5.9670078798144193</v>
      </c>
      <c r="U289" s="94">
        <f>K289/E289</f>
        <v>8.3626793270719375</v>
      </c>
      <c r="V289" s="81">
        <v>2800</v>
      </c>
      <c r="W289" s="79" t="s">
        <v>1648</v>
      </c>
      <c r="X289" s="79" t="s">
        <v>1650</v>
      </c>
      <c r="Y289" s="81">
        <v>1880</v>
      </c>
      <c r="Z289" s="81">
        <v>2144</v>
      </c>
      <c r="AA289" s="81">
        <v>8022</v>
      </c>
      <c r="AB289" s="79" t="s">
        <v>1648</v>
      </c>
      <c r="AC289" s="81">
        <v>0</v>
      </c>
      <c r="AD289" s="79" t="s">
        <v>1648</v>
      </c>
      <c r="AE289" s="79" t="s">
        <v>1648</v>
      </c>
      <c r="AF289" s="81">
        <v>157</v>
      </c>
    </row>
    <row r="290" spans="1:32" ht="15.75" thickBot="1" x14ac:dyDescent="0.3">
      <c r="A290" s="79" t="s">
        <v>612</v>
      </c>
      <c r="B290" s="93" t="s">
        <v>579</v>
      </c>
      <c r="C290" s="79" t="s">
        <v>22</v>
      </c>
      <c r="D290" s="81">
        <v>16709</v>
      </c>
      <c r="E290" s="81">
        <v>7572</v>
      </c>
      <c r="F290" s="81">
        <v>102224</v>
      </c>
      <c r="G290" s="81">
        <v>92253</v>
      </c>
      <c r="H290" s="81">
        <v>74970</v>
      </c>
      <c r="I290" s="81">
        <v>72030</v>
      </c>
      <c r="J290" s="81">
        <v>28432</v>
      </c>
      <c r="K290" s="81">
        <v>175432</v>
      </c>
      <c r="L290" s="81">
        <v>3300</v>
      </c>
      <c r="M290" s="81">
        <v>147000</v>
      </c>
      <c r="N290" s="81">
        <v>31732</v>
      </c>
      <c r="O290" s="81">
        <v>178732</v>
      </c>
      <c r="P290" s="94">
        <f>O290/D290</f>
        <v>10.69675025435394</v>
      </c>
      <c r="Q290" s="94">
        <f>H290/D290</f>
        <v>4.4868035190615831</v>
      </c>
      <c r="R290" s="94">
        <f>I290/D290</f>
        <v>4.3108504398826977</v>
      </c>
      <c r="S290" s="94">
        <f>J290/D290</f>
        <v>1.7015979412292777</v>
      </c>
      <c r="T290" s="94">
        <f>K290/D290</f>
        <v>10.49925190017356</v>
      </c>
      <c r="U290" s="94">
        <f>K290/E290</f>
        <v>23.16851558372953</v>
      </c>
      <c r="V290" s="81">
        <v>6000</v>
      </c>
      <c r="W290" s="79" t="s">
        <v>1648</v>
      </c>
      <c r="X290" s="79" t="s">
        <v>1650</v>
      </c>
      <c r="Y290" s="81">
        <v>12022</v>
      </c>
      <c r="Z290" s="81">
        <v>19263</v>
      </c>
      <c r="AA290" s="81">
        <v>11499</v>
      </c>
      <c r="AB290" s="79" t="s">
        <v>1648</v>
      </c>
      <c r="AC290" s="81">
        <v>23920</v>
      </c>
      <c r="AD290" s="79" t="s">
        <v>1648</v>
      </c>
      <c r="AE290" s="79" t="s">
        <v>1648</v>
      </c>
      <c r="AF290" s="81">
        <v>67</v>
      </c>
    </row>
    <row r="291" spans="1:32" ht="15.75" thickBot="1" x14ac:dyDescent="0.3">
      <c r="A291" s="79" t="s">
        <v>614</v>
      </c>
      <c r="B291" s="93" t="s">
        <v>595</v>
      </c>
      <c r="C291" s="79" t="s">
        <v>22</v>
      </c>
      <c r="D291" s="81">
        <v>19629</v>
      </c>
      <c r="E291" s="81">
        <v>6501</v>
      </c>
      <c r="F291" s="81">
        <v>88534</v>
      </c>
      <c r="G291" s="81">
        <v>34226</v>
      </c>
      <c r="H291" s="81">
        <v>55370</v>
      </c>
      <c r="I291" s="81">
        <v>39418</v>
      </c>
      <c r="J291" s="81">
        <v>22873</v>
      </c>
      <c r="K291" s="81">
        <v>117661</v>
      </c>
      <c r="L291" s="77" t="s">
        <v>1660</v>
      </c>
      <c r="M291" s="81">
        <v>94788</v>
      </c>
      <c r="N291" s="81">
        <v>22873</v>
      </c>
      <c r="O291" s="81">
        <v>117661</v>
      </c>
      <c r="P291" s="94">
        <f>O291/D291</f>
        <v>5.9942432115747106</v>
      </c>
      <c r="Q291" s="94">
        <f>H291/D291</f>
        <v>2.8208263283916652</v>
      </c>
      <c r="R291" s="94">
        <f>I291/D291</f>
        <v>2.008151204849967</v>
      </c>
      <c r="S291" s="94">
        <f>J291/D291</f>
        <v>1.1652656783330786</v>
      </c>
      <c r="T291" s="94">
        <f>K291/D291</f>
        <v>5.9942432115747106</v>
      </c>
      <c r="U291" s="94">
        <f>K291/E291</f>
        <v>18.098907860329181</v>
      </c>
      <c r="V291" s="81">
        <v>4750</v>
      </c>
      <c r="W291" s="79" t="s">
        <v>1648</v>
      </c>
      <c r="X291" s="79" t="s">
        <v>1650</v>
      </c>
      <c r="Y291" s="81">
        <v>7090</v>
      </c>
      <c r="Z291" s="81">
        <v>8256</v>
      </c>
      <c r="AA291" s="81">
        <v>7070</v>
      </c>
      <c r="AB291" s="79" t="s">
        <v>1648</v>
      </c>
      <c r="AC291" s="81">
        <v>9460</v>
      </c>
      <c r="AD291" s="79" t="s">
        <v>1648</v>
      </c>
      <c r="AE291" s="79" t="s">
        <v>1648</v>
      </c>
      <c r="AF291" s="81">
        <v>250</v>
      </c>
    </row>
    <row r="292" spans="1:32" ht="15.75" thickBot="1" x14ac:dyDescent="0.3">
      <c r="A292" s="79" t="s">
        <v>616</v>
      </c>
      <c r="B292" s="93" t="s">
        <v>597</v>
      </c>
      <c r="C292" s="79" t="s">
        <v>22</v>
      </c>
      <c r="D292" s="81">
        <v>13912</v>
      </c>
      <c r="E292" s="81">
        <v>14934</v>
      </c>
      <c r="F292" s="81">
        <v>52249</v>
      </c>
      <c r="G292" s="81">
        <v>19359</v>
      </c>
      <c r="H292" s="81">
        <v>27855</v>
      </c>
      <c r="I292" s="81">
        <v>21993</v>
      </c>
      <c r="J292" s="81">
        <v>15301</v>
      </c>
      <c r="K292" s="81">
        <v>65149</v>
      </c>
      <c r="L292" s="81">
        <v>1173</v>
      </c>
      <c r="M292" s="81">
        <v>49848</v>
      </c>
      <c r="N292" s="81">
        <v>16474</v>
      </c>
      <c r="O292" s="81">
        <v>66322</v>
      </c>
      <c r="P292" s="94">
        <f>O292/D292</f>
        <v>4.7672512938470382</v>
      </c>
      <c r="Q292" s="94">
        <f>H292/D292</f>
        <v>2.002228292121909</v>
      </c>
      <c r="R292" s="94">
        <f>I292/D292</f>
        <v>1.5808654399079931</v>
      </c>
      <c r="S292" s="94">
        <f>J292/D292</f>
        <v>1.0998418631397355</v>
      </c>
      <c r="T292" s="94">
        <f>K292/D292</f>
        <v>4.6829355951696376</v>
      </c>
      <c r="U292" s="94">
        <f>K292/E292</f>
        <v>4.3624614972545865</v>
      </c>
      <c r="V292" s="81">
        <v>4851</v>
      </c>
      <c r="W292" s="79" t="s">
        <v>1648</v>
      </c>
      <c r="X292" s="79" t="s">
        <v>1650</v>
      </c>
      <c r="Y292" s="81">
        <v>1217</v>
      </c>
      <c r="Z292" s="81">
        <v>2906</v>
      </c>
      <c r="AA292" s="81">
        <v>4018</v>
      </c>
      <c r="AB292" s="79" t="s">
        <v>1648</v>
      </c>
      <c r="AC292" s="81">
        <v>1225</v>
      </c>
      <c r="AD292" s="79" t="s">
        <v>1648</v>
      </c>
      <c r="AE292" s="79" t="s">
        <v>1649</v>
      </c>
      <c r="AF292" s="95">
        <v>0</v>
      </c>
    </row>
    <row r="293" spans="1:32" ht="15.75" thickBot="1" x14ac:dyDescent="0.3">
      <c r="A293" s="79" t="s">
        <v>618</v>
      </c>
      <c r="B293" s="93" t="s">
        <v>601</v>
      </c>
      <c r="C293" s="79" t="s">
        <v>22</v>
      </c>
      <c r="D293" s="81">
        <v>14878</v>
      </c>
      <c r="E293" s="81">
        <v>5401</v>
      </c>
      <c r="F293" s="81">
        <v>58271</v>
      </c>
      <c r="G293" s="81">
        <v>34994</v>
      </c>
      <c r="H293" s="81">
        <v>4640</v>
      </c>
      <c r="I293" s="81">
        <v>37313</v>
      </c>
      <c r="J293" s="81">
        <v>11766</v>
      </c>
      <c r="K293" s="81">
        <v>53719</v>
      </c>
      <c r="L293" s="81">
        <v>12947</v>
      </c>
      <c r="M293" s="81">
        <v>41953</v>
      </c>
      <c r="N293" s="81">
        <v>24713</v>
      </c>
      <c r="O293" s="81">
        <v>66666</v>
      </c>
      <c r="P293" s="94">
        <f>O293/D293</f>
        <v>4.4808441994891783</v>
      </c>
      <c r="Q293" s="94">
        <f>H293/D293</f>
        <v>0.31186987498319668</v>
      </c>
      <c r="R293" s="94">
        <f>I293/D293</f>
        <v>2.5079311735448311</v>
      </c>
      <c r="S293" s="94">
        <f>J293/D293</f>
        <v>0.79083210108885604</v>
      </c>
      <c r="T293" s="94">
        <f>K293/D293</f>
        <v>3.6106331496168842</v>
      </c>
      <c r="U293" s="94">
        <f>K293/E293</f>
        <v>9.9461210886872795</v>
      </c>
      <c r="V293" s="81">
        <v>6771</v>
      </c>
      <c r="W293" s="79" t="s">
        <v>1648</v>
      </c>
      <c r="X293" s="79" t="s">
        <v>1651</v>
      </c>
      <c r="Y293" s="81">
        <v>5727</v>
      </c>
      <c r="Z293" s="81">
        <v>5330</v>
      </c>
      <c r="AA293" s="81">
        <v>2802</v>
      </c>
      <c r="AB293" s="79" t="s">
        <v>1648</v>
      </c>
      <c r="AC293" s="81">
        <v>10190</v>
      </c>
      <c r="AD293" s="79" t="s">
        <v>1649</v>
      </c>
      <c r="AE293" s="79" t="s">
        <v>1648</v>
      </c>
      <c r="AF293" s="81">
        <v>879</v>
      </c>
    </row>
    <row r="294" spans="1:32" ht="15.75" thickBot="1" x14ac:dyDescent="0.3">
      <c r="A294" s="79" t="s">
        <v>620</v>
      </c>
      <c r="B294" s="93" t="s">
        <v>635</v>
      </c>
      <c r="C294" s="79" t="s">
        <v>22</v>
      </c>
      <c r="D294" s="81">
        <v>12486</v>
      </c>
      <c r="E294" s="81">
        <v>3007</v>
      </c>
      <c r="F294" s="81">
        <v>17004</v>
      </c>
      <c r="G294" s="81">
        <v>5401</v>
      </c>
      <c r="H294" s="81">
        <v>8809</v>
      </c>
      <c r="I294" s="81">
        <v>13412</v>
      </c>
      <c r="J294" s="81">
        <v>3888</v>
      </c>
      <c r="K294" s="81">
        <v>26109</v>
      </c>
      <c r="L294" s="81">
        <v>0</v>
      </c>
      <c r="M294" s="81">
        <v>22221</v>
      </c>
      <c r="N294" s="81">
        <v>3888</v>
      </c>
      <c r="O294" s="81">
        <v>26109</v>
      </c>
      <c r="P294" s="94">
        <f>O294/D294</f>
        <v>2.0910619894281597</v>
      </c>
      <c r="Q294" s="94">
        <f>H294/D294</f>
        <v>0.70551017139195904</v>
      </c>
      <c r="R294" s="94">
        <f>I294/D294</f>
        <v>1.0741630626301457</v>
      </c>
      <c r="S294" s="94">
        <f>J294/D294</f>
        <v>0.31138875540605476</v>
      </c>
      <c r="T294" s="94">
        <f>K294/D294</f>
        <v>2.0910619894281597</v>
      </c>
      <c r="U294" s="94">
        <f>K294/E294</f>
        <v>8.6827402726970409</v>
      </c>
      <c r="V294" s="81">
        <v>4922</v>
      </c>
      <c r="W294" s="79" t="s">
        <v>1648</v>
      </c>
      <c r="X294" s="79" t="s">
        <v>1650</v>
      </c>
      <c r="Y294" s="81">
        <v>14826</v>
      </c>
      <c r="Z294" s="81">
        <v>3642</v>
      </c>
      <c r="AA294" s="81">
        <v>2467</v>
      </c>
      <c r="AB294" s="79" t="s">
        <v>1648</v>
      </c>
      <c r="AC294" s="81">
        <v>3600</v>
      </c>
      <c r="AD294" s="79" t="s">
        <v>1649</v>
      </c>
      <c r="AE294" s="79" t="s">
        <v>1649</v>
      </c>
      <c r="AF294" s="95">
        <v>0</v>
      </c>
    </row>
    <row r="295" spans="1:32" ht="15.75" thickBot="1" x14ac:dyDescent="0.3">
      <c r="A295" s="96" t="s">
        <v>622</v>
      </c>
      <c r="B295" s="93" t="s">
        <v>661</v>
      </c>
      <c r="C295" s="79" t="s">
        <v>22</v>
      </c>
      <c r="D295" s="81">
        <v>16753</v>
      </c>
      <c r="E295" s="81">
        <v>8990</v>
      </c>
      <c r="F295" s="81">
        <v>119574</v>
      </c>
      <c r="G295" s="81">
        <v>64273</v>
      </c>
      <c r="H295" s="81">
        <v>64926</v>
      </c>
      <c r="I295" s="81">
        <v>60737</v>
      </c>
      <c r="J295" s="81">
        <v>68256</v>
      </c>
      <c r="K295" s="81">
        <v>193919</v>
      </c>
      <c r="L295" s="81">
        <v>67868</v>
      </c>
      <c r="M295" s="81">
        <v>125663</v>
      </c>
      <c r="N295" s="81">
        <v>136124</v>
      </c>
      <c r="O295" s="81">
        <v>261787</v>
      </c>
      <c r="P295" s="94">
        <f>O295/D295</f>
        <v>15.626275890885214</v>
      </c>
      <c r="Q295" s="94">
        <f>H295/D295</f>
        <v>3.8754849877633855</v>
      </c>
      <c r="R295" s="94">
        <f>I295/D295</f>
        <v>3.62544021966215</v>
      </c>
      <c r="S295" s="94">
        <f>J295/D295</f>
        <v>4.0742553572494478</v>
      </c>
      <c r="T295" s="94">
        <f>K295/D295</f>
        <v>11.575180564674984</v>
      </c>
      <c r="U295" s="94">
        <f>K295/E295</f>
        <v>21.570522803114571</v>
      </c>
      <c r="V295" s="81">
        <v>18233</v>
      </c>
      <c r="W295" s="79" t="s">
        <v>1648</v>
      </c>
      <c r="X295" s="79" t="s">
        <v>1651</v>
      </c>
      <c r="Y295" s="81">
        <v>14570</v>
      </c>
      <c r="Z295" s="81">
        <v>28875</v>
      </c>
      <c r="AA295" s="81">
        <v>54223</v>
      </c>
      <c r="AB295" s="79" t="s">
        <v>1648</v>
      </c>
      <c r="AC295" s="81">
        <v>34789</v>
      </c>
      <c r="AD295" s="79" t="s">
        <v>1648</v>
      </c>
      <c r="AE295" s="79" t="s">
        <v>1648</v>
      </c>
      <c r="AF295" s="81">
        <v>19</v>
      </c>
    </row>
    <row r="296" spans="1:32" ht="15.75" thickBot="1" x14ac:dyDescent="0.3">
      <c r="A296" s="79" t="s">
        <v>624</v>
      </c>
      <c r="B296" s="93" t="s">
        <v>703</v>
      </c>
      <c r="C296" s="79" t="s">
        <v>22</v>
      </c>
      <c r="D296" s="81">
        <v>18260</v>
      </c>
      <c r="E296" s="81">
        <v>7136</v>
      </c>
      <c r="F296" s="81">
        <v>127659</v>
      </c>
      <c r="G296" s="81">
        <v>103110</v>
      </c>
      <c r="H296" s="81">
        <v>105858</v>
      </c>
      <c r="I296" s="81">
        <v>113799</v>
      </c>
      <c r="J296" s="81">
        <v>43804</v>
      </c>
      <c r="K296" s="81">
        <v>263461</v>
      </c>
      <c r="L296" s="81">
        <v>2829</v>
      </c>
      <c r="M296" s="81">
        <v>219657</v>
      </c>
      <c r="N296" s="81">
        <v>46633</v>
      </c>
      <c r="O296" s="81">
        <v>266290</v>
      </c>
      <c r="P296" s="94">
        <f>O296/D296</f>
        <v>14.583242059145674</v>
      </c>
      <c r="Q296" s="94">
        <f>H296/D296</f>
        <v>5.7972617743702077</v>
      </c>
      <c r="R296" s="94">
        <f>I296/D296</f>
        <v>6.2321467688937568</v>
      </c>
      <c r="S296" s="94">
        <f>J296/D296</f>
        <v>2.3989047097480833</v>
      </c>
      <c r="T296" s="94">
        <f>K296/D296</f>
        <v>14.428313253012048</v>
      </c>
      <c r="U296" s="94">
        <f>K296/E296</f>
        <v>36.919983183856502</v>
      </c>
      <c r="V296" s="81">
        <v>18148</v>
      </c>
      <c r="W296" s="79" t="s">
        <v>1649</v>
      </c>
      <c r="X296" s="79" t="s">
        <v>1650</v>
      </c>
      <c r="Y296" s="81">
        <v>9612</v>
      </c>
      <c r="Z296" s="81">
        <v>6999</v>
      </c>
      <c r="AA296" s="81">
        <v>11453</v>
      </c>
      <c r="AB296" s="79" t="s">
        <v>1648</v>
      </c>
      <c r="AC296" s="81">
        <v>9000</v>
      </c>
      <c r="AD296" s="79" t="s">
        <v>1648</v>
      </c>
      <c r="AE296" s="79" t="s">
        <v>1648</v>
      </c>
      <c r="AF296" s="81">
        <v>0</v>
      </c>
    </row>
    <row r="297" spans="1:32" ht="15.75" thickBot="1" x14ac:dyDescent="0.3">
      <c r="A297" s="79" t="s">
        <v>626</v>
      </c>
      <c r="B297" s="93" t="s">
        <v>705</v>
      </c>
      <c r="C297" s="79" t="s">
        <v>22</v>
      </c>
      <c r="D297" s="81">
        <v>13940</v>
      </c>
      <c r="E297" s="81">
        <v>3257</v>
      </c>
      <c r="F297" s="81">
        <v>15607</v>
      </c>
      <c r="G297" s="81">
        <v>35289</v>
      </c>
      <c r="H297" s="81">
        <v>16377</v>
      </c>
      <c r="I297" s="81">
        <v>21048</v>
      </c>
      <c r="J297" s="81">
        <v>12318</v>
      </c>
      <c r="K297" s="81">
        <v>49743</v>
      </c>
      <c r="L297" s="81">
        <v>6199</v>
      </c>
      <c r="M297" s="81">
        <v>37425</v>
      </c>
      <c r="N297" s="81">
        <v>18517</v>
      </c>
      <c r="O297" s="81">
        <v>55942</v>
      </c>
      <c r="P297" s="94">
        <f>O297/D297</f>
        <v>4.0130559540889523</v>
      </c>
      <c r="Q297" s="94">
        <f>H297/D297</f>
        <v>1.1748206599713056</v>
      </c>
      <c r="R297" s="94">
        <f>I297/D297</f>
        <v>1.5098995695839312</v>
      </c>
      <c r="S297" s="94">
        <f>J297/D297</f>
        <v>0.88364418938307032</v>
      </c>
      <c r="T297" s="94">
        <f>K297/D297</f>
        <v>3.568364418938307</v>
      </c>
      <c r="U297" s="94">
        <f>K297/E297</f>
        <v>15.272643536997236</v>
      </c>
      <c r="V297" s="81">
        <v>1613</v>
      </c>
      <c r="W297" s="79" t="s">
        <v>1648</v>
      </c>
      <c r="X297" s="79" t="s">
        <v>1651</v>
      </c>
      <c r="Y297" s="81">
        <v>14152</v>
      </c>
      <c r="Z297" s="81">
        <v>6348</v>
      </c>
      <c r="AA297" s="81">
        <v>739</v>
      </c>
      <c r="AB297" s="79" t="s">
        <v>1648</v>
      </c>
      <c r="AC297" s="81">
        <v>6675</v>
      </c>
      <c r="AD297" s="79" t="s">
        <v>1648</v>
      </c>
      <c r="AE297" s="79" t="s">
        <v>1649</v>
      </c>
      <c r="AF297" s="77">
        <v>0</v>
      </c>
    </row>
    <row r="298" spans="1:32" ht="15.75" thickBot="1" x14ac:dyDescent="0.3">
      <c r="A298" s="79" t="s">
        <v>628</v>
      </c>
      <c r="B298" s="93" t="s">
        <v>711</v>
      </c>
      <c r="C298" s="79" t="s">
        <v>22</v>
      </c>
      <c r="D298" s="81">
        <v>17937</v>
      </c>
      <c r="E298" s="81">
        <v>3408</v>
      </c>
      <c r="F298" s="81">
        <v>26765</v>
      </c>
      <c r="G298" s="81">
        <v>7422</v>
      </c>
      <c r="H298" s="81">
        <v>7963</v>
      </c>
      <c r="I298" s="81">
        <v>16445</v>
      </c>
      <c r="J298" s="81">
        <v>4778</v>
      </c>
      <c r="K298" s="81">
        <v>29186</v>
      </c>
      <c r="L298" s="81">
        <v>1451</v>
      </c>
      <c r="M298" s="81">
        <v>24408</v>
      </c>
      <c r="N298" s="81">
        <v>6229</v>
      </c>
      <c r="O298" s="81">
        <v>30637</v>
      </c>
      <c r="P298" s="94">
        <f>O298/D298</f>
        <v>1.7080336734124992</v>
      </c>
      <c r="Q298" s="94">
        <f>H298/D298</f>
        <v>0.44394268829793165</v>
      </c>
      <c r="R298" s="94">
        <f>I298/D298</f>
        <v>0.91681998104476781</v>
      </c>
      <c r="S298" s="94">
        <f>J298/D298</f>
        <v>0.26637676311534814</v>
      </c>
      <c r="T298" s="94">
        <f>K298/D298</f>
        <v>1.6271394324580477</v>
      </c>
      <c r="U298" s="94">
        <f>K298/E298</f>
        <v>8.5639671361502341</v>
      </c>
      <c r="V298" s="81">
        <v>2200</v>
      </c>
      <c r="W298" s="79" t="s">
        <v>1648</v>
      </c>
      <c r="X298" s="79" t="s">
        <v>1650</v>
      </c>
      <c r="Y298" s="81">
        <v>624</v>
      </c>
      <c r="Z298" s="81">
        <v>1189</v>
      </c>
      <c r="AA298" s="81">
        <v>6234</v>
      </c>
      <c r="AB298" s="79" t="s">
        <v>1648</v>
      </c>
      <c r="AC298" s="81">
        <v>1125</v>
      </c>
      <c r="AD298" s="79" t="s">
        <v>1648</v>
      </c>
      <c r="AE298" s="79" t="s">
        <v>1649</v>
      </c>
      <c r="AF298" s="95">
        <v>0</v>
      </c>
    </row>
    <row r="299" spans="1:32" ht="15.75" thickBot="1" x14ac:dyDescent="0.3">
      <c r="A299" s="79" t="s">
        <v>630</v>
      </c>
      <c r="B299" s="93" t="s">
        <v>729</v>
      </c>
      <c r="C299" s="79" t="s">
        <v>22</v>
      </c>
      <c r="D299" s="81">
        <v>18134</v>
      </c>
      <c r="E299" s="81">
        <v>9977</v>
      </c>
      <c r="F299" s="81">
        <v>100527</v>
      </c>
      <c r="G299" s="81">
        <v>36500</v>
      </c>
      <c r="H299" s="81">
        <v>21541</v>
      </c>
      <c r="I299" s="81">
        <v>39301</v>
      </c>
      <c r="J299" s="81">
        <v>18574</v>
      </c>
      <c r="K299" s="81">
        <v>79416</v>
      </c>
      <c r="L299" s="81">
        <v>28395</v>
      </c>
      <c r="M299" s="81">
        <v>60842</v>
      </c>
      <c r="N299" s="81">
        <v>46969</v>
      </c>
      <c r="O299" s="81">
        <v>107811</v>
      </c>
      <c r="P299" s="94">
        <f>O299/D299</f>
        <v>5.945240983787361</v>
      </c>
      <c r="Q299" s="94">
        <f>H299/D299</f>
        <v>1.1878791220910996</v>
      </c>
      <c r="R299" s="94">
        <f>I299/D299</f>
        <v>2.1672548803352818</v>
      </c>
      <c r="S299" s="94">
        <f>J299/D299</f>
        <v>1.0242638138303739</v>
      </c>
      <c r="T299" s="94">
        <f>K299/D299</f>
        <v>4.3793978162567555</v>
      </c>
      <c r="U299" s="94">
        <f>K299/E299</f>
        <v>7.959907787912198</v>
      </c>
      <c r="V299" s="81">
        <v>13350</v>
      </c>
      <c r="W299" s="79" t="s">
        <v>1648</v>
      </c>
      <c r="X299" s="79" t="s">
        <v>1651</v>
      </c>
      <c r="Y299" s="81">
        <v>3596</v>
      </c>
      <c r="Z299" s="81">
        <v>4085</v>
      </c>
      <c r="AA299" s="81">
        <v>6088</v>
      </c>
      <c r="AB299" s="79" t="s">
        <v>1648</v>
      </c>
      <c r="AC299" s="81">
        <v>0</v>
      </c>
      <c r="AD299" s="79" t="s">
        <v>1648</v>
      </c>
      <c r="AE299" s="79" t="s">
        <v>1648</v>
      </c>
      <c r="AF299" s="81">
        <v>53</v>
      </c>
    </row>
    <row r="300" spans="1:32" ht="15.75" thickBot="1" x14ac:dyDescent="0.3">
      <c r="A300" s="79" t="s">
        <v>632</v>
      </c>
      <c r="B300" s="93" t="s">
        <v>741</v>
      </c>
      <c r="C300" s="79" t="s">
        <v>22</v>
      </c>
      <c r="D300" s="81">
        <v>15497</v>
      </c>
      <c r="E300" s="81">
        <v>3015</v>
      </c>
      <c r="F300" s="81">
        <v>4630</v>
      </c>
      <c r="G300" s="79" t="s">
        <v>1613</v>
      </c>
      <c r="H300" s="81">
        <v>18325</v>
      </c>
      <c r="I300" s="81">
        <v>9906</v>
      </c>
      <c r="J300" s="81">
        <v>12280</v>
      </c>
      <c r="K300" s="81">
        <v>40511</v>
      </c>
      <c r="L300" s="81">
        <v>0</v>
      </c>
      <c r="M300" s="81">
        <v>28231</v>
      </c>
      <c r="N300" s="81">
        <v>12280</v>
      </c>
      <c r="O300" s="81">
        <v>40511</v>
      </c>
      <c r="P300" s="94">
        <f>O300/D300</f>
        <v>2.6141188617151707</v>
      </c>
      <c r="Q300" s="94">
        <f>H300/D300</f>
        <v>1.1824869329547654</v>
      </c>
      <c r="R300" s="94">
        <f>I300/D300</f>
        <v>0.63922049428921723</v>
      </c>
      <c r="S300" s="94">
        <f>J300/D300</f>
        <v>0.792411434471188</v>
      </c>
      <c r="T300" s="94">
        <f>K300/D300</f>
        <v>2.6141188617151707</v>
      </c>
      <c r="U300" s="94">
        <f>K300/E300</f>
        <v>13.43648424543947</v>
      </c>
      <c r="V300" s="81">
        <v>1011</v>
      </c>
      <c r="W300" s="79" t="s">
        <v>1648</v>
      </c>
      <c r="X300" s="79" t="s">
        <v>1650</v>
      </c>
      <c r="Y300" s="81">
        <v>2181</v>
      </c>
      <c r="Z300" s="81">
        <v>3998</v>
      </c>
      <c r="AA300" s="81">
        <v>1060</v>
      </c>
      <c r="AB300" s="79" t="s">
        <v>1648</v>
      </c>
      <c r="AC300" s="81">
        <v>415</v>
      </c>
      <c r="AD300" s="79" t="s">
        <v>1648</v>
      </c>
      <c r="AE300" s="79" t="s">
        <v>1649</v>
      </c>
      <c r="AF300" s="95">
        <v>0</v>
      </c>
    </row>
    <row r="301" spans="1:32" ht="15.75" thickBot="1" x14ac:dyDescent="0.3">
      <c r="A301" s="79" t="s">
        <v>634</v>
      </c>
      <c r="B301" s="93" t="s">
        <v>745</v>
      </c>
      <c r="C301" s="79" t="s">
        <v>22</v>
      </c>
      <c r="D301" s="81">
        <v>14253</v>
      </c>
      <c r="E301" s="81">
        <v>8322</v>
      </c>
      <c r="F301" s="81">
        <v>67092</v>
      </c>
      <c r="G301" s="81">
        <v>23612</v>
      </c>
      <c r="H301" s="81">
        <v>30274</v>
      </c>
      <c r="I301" s="81">
        <v>39855</v>
      </c>
      <c r="J301" s="81">
        <v>7651</v>
      </c>
      <c r="K301" s="81">
        <v>77780</v>
      </c>
      <c r="L301" s="81">
        <v>203</v>
      </c>
      <c r="M301" s="81">
        <v>70129</v>
      </c>
      <c r="N301" s="81">
        <v>7854</v>
      </c>
      <c r="O301" s="81">
        <v>77983</v>
      </c>
      <c r="P301" s="94">
        <f>O301/D301</f>
        <v>5.4713393671507751</v>
      </c>
      <c r="Q301" s="94">
        <f>H301/D301</f>
        <v>2.1240440608994597</v>
      </c>
      <c r="R301" s="94">
        <f>I301/D301</f>
        <v>2.7962534203325617</v>
      </c>
      <c r="S301" s="94">
        <f>J301/D301</f>
        <v>0.5367992703290535</v>
      </c>
      <c r="T301" s="94">
        <f>K301/D301</f>
        <v>5.4570967515610747</v>
      </c>
      <c r="U301" s="94">
        <f>K301/E301</f>
        <v>9.3463109829367941</v>
      </c>
      <c r="V301" s="81">
        <v>15777</v>
      </c>
      <c r="W301" s="79" t="s">
        <v>1648</v>
      </c>
      <c r="X301" s="79" t="s">
        <v>1651</v>
      </c>
      <c r="Y301" s="81">
        <v>3537</v>
      </c>
      <c r="Z301" s="81">
        <v>4137</v>
      </c>
      <c r="AA301" s="81">
        <v>10888</v>
      </c>
      <c r="AB301" s="79" t="s">
        <v>1648</v>
      </c>
      <c r="AC301" s="81">
        <v>8972</v>
      </c>
      <c r="AD301" s="79" t="s">
        <v>1648</v>
      </c>
      <c r="AE301" s="79" t="s">
        <v>1649</v>
      </c>
      <c r="AF301" s="95">
        <v>0</v>
      </c>
    </row>
    <row r="302" spans="1:32" ht="15.75" thickBot="1" x14ac:dyDescent="0.3">
      <c r="A302" s="79" t="s">
        <v>636</v>
      </c>
      <c r="B302" s="93" t="s">
        <v>765</v>
      </c>
      <c r="C302" s="79" t="s">
        <v>22</v>
      </c>
      <c r="D302" s="81">
        <v>12238</v>
      </c>
      <c r="E302" s="81">
        <v>2150</v>
      </c>
      <c r="F302" s="81">
        <v>30686</v>
      </c>
      <c r="G302" s="81">
        <v>8144</v>
      </c>
      <c r="H302" s="81">
        <v>12224</v>
      </c>
      <c r="I302" s="81">
        <v>33693</v>
      </c>
      <c r="J302" s="81">
        <v>7769</v>
      </c>
      <c r="K302" s="81">
        <v>53686</v>
      </c>
      <c r="L302" s="81">
        <v>0</v>
      </c>
      <c r="M302" s="81">
        <v>45917</v>
      </c>
      <c r="N302" s="81">
        <v>7769</v>
      </c>
      <c r="O302" s="81">
        <v>53686</v>
      </c>
      <c r="P302" s="94">
        <f>O302/D302</f>
        <v>4.3868279130576893</v>
      </c>
      <c r="Q302" s="94">
        <f>H302/D302</f>
        <v>0.9988560222258539</v>
      </c>
      <c r="R302" s="94">
        <f>I302/D302</f>
        <v>2.7531459388789017</v>
      </c>
      <c r="S302" s="94">
        <f>J302/D302</f>
        <v>0.63482595195293345</v>
      </c>
      <c r="T302" s="94">
        <f>K302/D302</f>
        <v>4.3868279130576893</v>
      </c>
      <c r="U302" s="94">
        <f>K302/E302</f>
        <v>24.970232558139536</v>
      </c>
      <c r="V302" s="81">
        <v>3330</v>
      </c>
      <c r="W302" s="79" t="s">
        <v>1648</v>
      </c>
      <c r="X302" s="79" t="s">
        <v>1651</v>
      </c>
      <c r="Y302" s="81">
        <v>2662</v>
      </c>
      <c r="Z302" s="81">
        <v>4673</v>
      </c>
      <c r="AA302" s="81">
        <v>5743</v>
      </c>
      <c r="AB302" s="79" t="s">
        <v>1648</v>
      </c>
      <c r="AC302" s="81">
        <v>5349</v>
      </c>
      <c r="AD302" s="79" t="s">
        <v>1648</v>
      </c>
      <c r="AE302" s="79" t="s">
        <v>1649</v>
      </c>
      <c r="AF302" s="95">
        <v>0</v>
      </c>
    </row>
    <row r="303" spans="1:32" ht="15.75" thickBot="1" x14ac:dyDescent="0.3">
      <c r="A303" s="79" t="s">
        <v>638</v>
      </c>
      <c r="B303" s="93" t="s">
        <v>785</v>
      </c>
      <c r="C303" s="79" t="s">
        <v>22</v>
      </c>
      <c r="D303" s="81">
        <v>17593</v>
      </c>
      <c r="E303" s="81">
        <v>3254</v>
      </c>
      <c r="F303" s="81">
        <v>34051</v>
      </c>
      <c r="G303" s="81">
        <v>12600</v>
      </c>
      <c r="H303" s="81">
        <v>7784</v>
      </c>
      <c r="I303" s="81">
        <v>21621</v>
      </c>
      <c r="J303" s="81">
        <v>4697</v>
      </c>
      <c r="K303" s="81">
        <v>34102</v>
      </c>
      <c r="L303" s="81">
        <v>0</v>
      </c>
      <c r="M303" s="81">
        <v>29405</v>
      </c>
      <c r="N303" s="81">
        <v>4697</v>
      </c>
      <c r="O303" s="81">
        <v>34102</v>
      </c>
      <c r="P303" s="94">
        <f>O303/D303</f>
        <v>1.9383845847780368</v>
      </c>
      <c r="Q303" s="94">
        <f>H303/D303</f>
        <v>0.44244870118797247</v>
      </c>
      <c r="R303" s="94">
        <f>I303/D303</f>
        <v>1.2289546978912067</v>
      </c>
      <c r="S303" s="94">
        <f>J303/D303</f>
        <v>0.26698118569885748</v>
      </c>
      <c r="T303" s="94">
        <f>K303/D303</f>
        <v>1.9383845847780368</v>
      </c>
      <c r="U303" s="94">
        <f>K303/E303</f>
        <v>10.480024585125999</v>
      </c>
      <c r="V303" s="81">
        <v>9563</v>
      </c>
      <c r="W303" s="79" t="s">
        <v>1648</v>
      </c>
      <c r="X303" s="79" t="s">
        <v>1651</v>
      </c>
      <c r="Y303" s="81">
        <v>13005</v>
      </c>
      <c r="Z303" s="81">
        <v>5230</v>
      </c>
      <c r="AA303" s="81">
        <v>11188</v>
      </c>
      <c r="AB303" s="79" t="s">
        <v>1648</v>
      </c>
      <c r="AC303" s="81">
        <v>4594</v>
      </c>
      <c r="AD303" s="79" t="s">
        <v>1648</v>
      </c>
      <c r="AE303" s="79" t="s">
        <v>1649</v>
      </c>
      <c r="AF303" s="95">
        <v>0</v>
      </c>
    </row>
    <row r="304" spans="1:32" ht="15.75" thickBot="1" x14ac:dyDescent="0.3">
      <c r="A304" s="79" t="s">
        <v>640</v>
      </c>
      <c r="B304" s="93" t="s">
        <v>811</v>
      </c>
      <c r="C304" s="79" t="s">
        <v>22</v>
      </c>
      <c r="D304" s="81">
        <v>13498</v>
      </c>
      <c r="E304" s="81">
        <v>5867</v>
      </c>
      <c r="F304" s="81">
        <v>47956</v>
      </c>
      <c r="G304" s="81">
        <v>49851</v>
      </c>
      <c r="H304" s="81">
        <v>28426</v>
      </c>
      <c r="I304" s="81">
        <v>64462</v>
      </c>
      <c r="J304" s="81">
        <v>20050</v>
      </c>
      <c r="K304" s="81">
        <v>112938</v>
      </c>
      <c r="L304" s="81">
        <v>786</v>
      </c>
      <c r="M304" s="81">
        <v>92888</v>
      </c>
      <c r="N304" s="81">
        <v>20836</v>
      </c>
      <c r="O304" s="81">
        <v>113724</v>
      </c>
      <c r="P304" s="94">
        <f>O304/D304</f>
        <v>8.425248184916283</v>
      </c>
      <c r="Q304" s="94">
        <f>H304/D304</f>
        <v>2.1059416209808859</v>
      </c>
      <c r="R304" s="94">
        <f>I304/D304</f>
        <v>4.7756704696992145</v>
      </c>
      <c r="S304" s="94">
        <f>J304/D304</f>
        <v>1.4854052452215143</v>
      </c>
      <c r="T304" s="94">
        <f>K304/D304</f>
        <v>8.3670173359016147</v>
      </c>
      <c r="U304" s="94">
        <f>K304/E304</f>
        <v>19.249701721493096</v>
      </c>
      <c r="V304" s="81">
        <v>3542</v>
      </c>
      <c r="W304" s="79" t="s">
        <v>1648</v>
      </c>
      <c r="X304" s="79" t="s">
        <v>1651</v>
      </c>
      <c r="Y304" s="81">
        <v>9867</v>
      </c>
      <c r="Z304" s="81">
        <v>10096</v>
      </c>
      <c r="AA304" s="81">
        <v>15047</v>
      </c>
      <c r="AB304" s="79" t="s">
        <v>1648</v>
      </c>
      <c r="AC304" s="81">
        <v>7129</v>
      </c>
      <c r="AD304" s="79" t="s">
        <v>1648</v>
      </c>
      <c r="AE304" s="79" t="s">
        <v>1648</v>
      </c>
      <c r="AF304" s="81">
        <v>42</v>
      </c>
    </row>
    <row r="305" spans="1:32" ht="15.75" thickBot="1" x14ac:dyDescent="0.3">
      <c r="A305" s="79" t="s">
        <v>642</v>
      </c>
      <c r="B305" s="93" t="s">
        <v>37</v>
      </c>
      <c r="C305" s="79" t="s">
        <v>39</v>
      </c>
      <c r="D305" s="81">
        <v>28210</v>
      </c>
      <c r="E305" s="81">
        <v>5662</v>
      </c>
      <c r="F305" s="81">
        <v>189838</v>
      </c>
      <c r="G305" s="81">
        <v>41721</v>
      </c>
      <c r="H305" s="81">
        <v>28630</v>
      </c>
      <c r="I305" s="81">
        <v>28632</v>
      </c>
      <c r="J305" s="81">
        <v>18512</v>
      </c>
      <c r="K305" s="81">
        <v>75774</v>
      </c>
      <c r="L305" s="81">
        <v>1294</v>
      </c>
      <c r="M305" s="81">
        <v>57262</v>
      </c>
      <c r="N305" s="81">
        <v>19806</v>
      </c>
      <c r="O305" s="81">
        <v>77068</v>
      </c>
      <c r="P305" s="94">
        <f>O305/D305</f>
        <v>2.7319390287132221</v>
      </c>
      <c r="Q305" s="94">
        <f>H305/D305</f>
        <v>1.0148883374689825</v>
      </c>
      <c r="R305" s="94">
        <f>I305/D305</f>
        <v>1.014959234314073</v>
      </c>
      <c r="S305" s="94">
        <f>J305/D305</f>
        <v>0.65622119815668201</v>
      </c>
      <c r="T305" s="94">
        <f>K305/D305</f>
        <v>2.6860687699397379</v>
      </c>
      <c r="U305" s="94">
        <f>K305/E305</f>
        <v>13.382903567643941</v>
      </c>
      <c r="V305" s="81">
        <v>51725</v>
      </c>
      <c r="W305" s="79" t="s">
        <v>1648</v>
      </c>
      <c r="X305" s="79" t="s">
        <v>1650</v>
      </c>
      <c r="Y305" s="81">
        <v>15836</v>
      </c>
      <c r="Z305" s="81">
        <v>10105</v>
      </c>
      <c r="AA305" s="81">
        <v>5936</v>
      </c>
      <c r="AB305" s="79" t="s">
        <v>1648</v>
      </c>
      <c r="AC305" s="81">
        <v>2330</v>
      </c>
      <c r="AD305" s="79" t="s">
        <v>1648</v>
      </c>
      <c r="AE305" s="79" t="s">
        <v>1649</v>
      </c>
      <c r="AF305" s="95">
        <v>0</v>
      </c>
    </row>
    <row r="306" spans="1:32" ht="15.75" thickBot="1" x14ac:dyDescent="0.3">
      <c r="A306" s="79" t="s">
        <v>644</v>
      </c>
      <c r="B306" s="93" t="s">
        <v>40</v>
      </c>
      <c r="C306" s="79" t="s">
        <v>39</v>
      </c>
      <c r="D306" s="81">
        <v>28283</v>
      </c>
      <c r="E306" s="81">
        <v>6451</v>
      </c>
      <c r="F306" s="81">
        <v>73748</v>
      </c>
      <c r="G306" s="81">
        <v>33130</v>
      </c>
      <c r="H306" s="81">
        <v>111107</v>
      </c>
      <c r="I306" s="81">
        <v>79435</v>
      </c>
      <c r="J306" s="81">
        <v>26317</v>
      </c>
      <c r="K306" s="81">
        <v>216859</v>
      </c>
      <c r="L306" s="81">
        <v>4515</v>
      </c>
      <c r="M306" s="81">
        <v>190542</v>
      </c>
      <c r="N306" s="81">
        <v>30832</v>
      </c>
      <c r="O306" s="81">
        <v>221374</v>
      </c>
      <c r="P306" s="94">
        <f>O306/D306</f>
        <v>7.8271046211505144</v>
      </c>
      <c r="Q306" s="94">
        <f>H306/D306</f>
        <v>3.9284022204150904</v>
      </c>
      <c r="R306" s="94">
        <f>I306/D306</f>
        <v>2.808577590778913</v>
      </c>
      <c r="S306" s="94">
        <f>J306/D306</f>
        <v>0.93048827917830501</v>
      </c>
      <c r="T306" s="94">
        <f>K306/D306</f>
        <v>7.6674680903723083</v>
      </c>
      <c r="U306" s="94">
        <f>K306/E306</f>
        <v>33.616338552162453</v>
      </c>
      <c r="V306" s="81">
        <v>3021</v>
      </c>
      <c r="W306" s="79" t="s">
        <v>1648</v>
      </c>
      <c r="X306" s="79" t="s">
        <v>1650</v>
      </c>
      <c r="Y306" s="81">
        <v>8209</v>
      </c>
      <c r="Z306" s="81">
        <v>8168</v>
      </c>
      <c r="AA306" s="81">
        <v>5268</v>
      </c>
      <c r="AB306" s="79" t="s">
        <v>1648</v>
      </c>
      <c r="AC306" s="81">
        <v>5913</v>
      </c>
      <c r="AD306" s="79" t="s">
        <v>1648</v>
      </c>
      <c r="AE306" s="79" t="s">
        <v>1648</v>
      </c>
      <c r="AF306" s="81">
        <v>42</v>
      </c>
    </row>
    <row r="307" spans="1:32" ht="15.75" thickBot="1" x14ac:dyDescent="0.3">
      <c r="A307" s="79" t="s">
        <v>646</v>
      </c>
      <c r="B307" s="93" t="s">
        <v>48</v>
      </c>
      <c r="C307" s="79" t="s">
        <v>39</v>
      </c>
      <c r="D307" s="81">
        <v>29598</v>
      </c>
      <c r="E307" s="81">
        <v>11323</v>
      </c>
      <c r="F307" s="81">
        <v>13560</v>
      </c>
      <c r="G307" s="81">
        <v>32912</v>
      </c>
      <c r="H307" s="81">
        <v>6415</v>
      </c>
      <c r="I307" s="81">
        <v>12728</v>
      </c>
      <c r="J307" s="81">
        <v>24831</v>
      </c>
      <c r="K307" s="81">
        <v>43974</v>
      </c>
      <c r="L307" s="81">
        <v>65124</v>
      </c>
      <c r="M307" s="81">
        <v>19143</v>
      </c>
      <c r="N307" s="81">
        <v>89955</v>
      </c>
      <c r="O307" s="81">
        <v>109098</v>
      </c>
      <c r="P307" s="94">
        <f>O307/D307</f>
        <v>3.6859922967768091</v>
      </c>
      <c r="Q307" s="94">
        <f>H307/D307</f>
        <v>0.21673761740658151</v>
      </c>
      <c r="R307" s="94">
        <f>I307/D307</f>
        <v>0.43002905601729846</v>
      </c>
      <c r="S307" s="94">
        <f>J307/D307</f>
        <v>0.83894182039326981</v>
      </c>
      <c r="T307" s="94">
        <f>K307/D307</f>
        <v>1.4857084938171499</v>
      </c>
      <c r="U307" s="94">
        <f>K307/E307</f>
        <v>3.8835997527157113</v>
      </c>
      <c r="V307" s="81">
        <v>1686</v>
      </c>
      <c r="W307" s="79" t="s">
        <v>1648</v>
      </c>
      <c r="X307" s="79" t="s">
        <v>1651</v>
      </c>
      <c r="Y307" s="81">
        <v>264</v>
      </c>
      <c r="Z307" s="81">
        <v>3825</v>
      </c>
      <c r="AA307" s="81">
        <v>1765</v>
      </c>
      <c r="AB307" s="79" t="s">
        <v>1648</v>
      </c>
      <c r="AC307" s="81">
        <v>900</v>
      </c>
      <c r="AD307" s="79" t="s">
        <v>1648</v>
      </c>
      <c r="AE307" s="79" t="s">
        <v>1648</v>
      </c>
      <c r="AF307" s="81">
        <v>1</v>
      </c>
    </row>
    <row r="308" spans="1:32" ht="15.75" thickBot="1" x14ac:dyDescent="0.3">
      <c r="A308" s="79" t="s">
        <v>648</v>
      </c>
      <c r="B308" s="93" t="s">
        <v>71</v>
      </c>
      <c r="C308" s="79" t="s">
        <v>39</v>
      </c>
      <c r="D308" s="81">
        <v>35350</v>
      </c>
      <c r="E308" s="81">
        <v>30447</v>
      </c>
      <c r="F308" s="81">
        <v>167298</v>
      </c>
      <c r="G308" s="81">
        <v>241102</v>
      </c>
      <c r="H308" s="81">
        <v>136182</v>
      </c>
      <c r="I308" s="81">
        <v>211101</v>
      </c>
      <c r="J308" s="81">
        <v>129880</v>
      </c>
      <c r="K308" s="81">
        <v>477163</v>
      </c>
      <c r="L308" s="81">
        <v>20918</v>
      </c>
      <c r="M308" s="81">
        <v>347283</v>
      </c>
      <c r="N308" s="81">
        <v>150798</v>
      </c>
      <c r="O308" s="81">
        <v>498081</v>
      </c>
      <c r="P308" s="94">
        <f>O308/D308</f>
        <v>14.089985855728431</v>
      </c>
      <c r="Q308" s="94">
        <f>H308/D308</f>
        <v>3.8523903818953324</v>
      </c>
      <c r="R308" s="94">
        <f>I308/D308</f>
        <v>5.971739745403112</v>
      </c>
      <c r="S308" s="94">
        <f>J308/D308</f>
        <v>3.6741159830268741</v>
      </c>
      <c r="T308" s="94">
        <f>K308/D308</f>
        <v>13.498246110325319</v>
      </c>
      <c r="U308" s="94">
        <f>K308/E308</f>
        <v>15.671921700003285</v>
      </c>
      <c r="V308" s="81">
        <v>30044</v>
      </c>
      <c r="W308" s="79" t="s">
        <v>1648</v>
      </c>
      <c r="X308" s="79" t="s">
        <v>1650</v>
      </c>
      <c r="Y308" s="81">
        <v>7087</v>
      </c>
      <c r="Z308" s="81">
        <v>8864</v>
      </c>
      <c r="AA308" s="81">
        <v>9587</v>
      </c>
      <c r="AB308" s="79" t="s">
        <v>1648</v>
      </c>
      <c r="AC308" s="81">
        <v>190802</v>
      </c>
      <c r="AD308" s="79" t="s">
        <v>1648</v>
      </c>
      <c r="AE308" s="79" t="s">
        <v>1649</v>
      </c>
      <c r="AF308" s="95">
        <v>0</v>
      </c>
    </row>
    <row r="309" spans="1:32" ht="15.75" thickBot="1" x14ac:dyDescent="0.3">
      <c r="A309" s="79" t="s">
        <v>650</v>
      </c>
      <c r="B309" s="93" t="s">
        <v>83</v>
      </c>
      <c r="C309" s="79" t="s">
        <v>39</v>
      </c>
      <c r="D309" s="81">
        <v>42361</v>
      </c>
      <c r="E309" s="81">
        <v>10373</v>
      </c>
      <c r="F309" s="81">
        <v>61361</v>
      </c>
      <c r="G309" s="81">
        <v>34972</v>
      </c>
      <c r="H309" s="81">
        <v>39319</v>
      </c>
      <c r="I309" s="81">
        <v>65390</v>
      </c>
      <c r="J309" s="81">
        <v>22984</v>
      </c>
      <c r="K309" s="81">
        <v>127693</v>
      </c>
      <c r="L309" s="81">
        <v>8950</v>
      </c>
      <c r="M309" s="81">
        <v>104709</v>
      </c>
      <c r="N309" s="81">
        <v>31934</v>
      </c>
      <c r="O309" s="81">
        <v>136643</v>
      </c>
      <c r="P309" s="94">
        <f>O309/D309</f>
        <v>3.2256792804702439</v>
      </c>
      <c r="Q309" s="94">
        <f>H309/D309</f>
        <v>0.92818866410141398</v>
      </c>
      <c r="R309" s="94">
        <f>I309/D309</f>
        <v>1.5436368357687495</v>
      </c>
      <c r="S309" s="94">
        <f>J309/D309</f>
        <v>0.54257453790042731</v>
      </c>
      <c r="T309" s="94">
        <f>K309/D309</f>
        <v>3.0144000377705908</v>
      </c>
      <c r="U309" s="94">
        <f>K309/E309</f>
        <v>12.310132073652753</v>
      </c>
      <c r="V309" s="81">
        <v>16766</v>
      </c>
      <c r="W309" s="79" t="s">
        <v>1648</v>
      </c>
      <c r="X309" s="79" t="s">
        <v>1651</v>
      </c>
      <c r="Y309" s="81">
        <v>13484</v>
      </c>
      <c r="Z309" s="81">
        <v>12494</v>
      </c>
      <c r="AA309" s="81">
        <v>15702</v>
      </c>
      <c r="AB309" s="79" t="s">
        <v>1648</v>
      </c>
      <c r="AC309" s="81">
        <v>12881</v>
      </c>
      <c r="AD309" s="79" t="s">
        <v>1648</v>
      </c>
      <c r="AE309" s="79" t="s">
        <v>1649</v>
      </c>
      <c r="AF309" s="95">
        <v>0</v>
      </c>
    </row>
    <row r="310" spans="1:32" ht="15.75" thickBot="1" x14ac:dyDescent="0.3">
      <c r="A310" s="79" t="s">
        <v>652</v>
      </c>
      <c r="B310" s="93" t="s">
        <v>107</v>
      </c>
      <c r="C310" s="79" t="s">
        <v>39</v>
      </c>
      <c r="D310" s="81">
        <v>41070</v>
      </c>
      <c r="E310" s="81">
        <v>31900</v>
      </c>
      <c r="F310" s="81">
        <v>181939</v>
      </c>
      <c r="G310" s="81">
        <v>343743</v>
      </c>
      <c r="H310" s="81">
        <v>186386</v>
      </c>
      <c r="I310" s="81">
        <v>475546</v>
      </c>
      <c r="J310" s="81">
        <v>146691</v>
      </c>
      <c r="K310" s="81">
        <v>808623</v>
      </c>
      <c r="L310" s="81">
        <v>343743</v>
      </c>
      <c r="M310" s="81">
        <v>661932</v>
      </c>
      <c r="N310" s="81">
        <v>490434</v>
      </c>
      <c r="O310" s="81">
        <v>1152366</v>
      </c>
      <c r="P310" s="94">
        <f>O310/D310</f>
        <v>28.058582907231557</v>
      </c>
      <c r="Q310" s="94">
        <f>H310/D310</f>
        <v>4.5382517652787921</v>
      </c>
      <c r="R310" s="94">
        <f>I310/D310</f>
        <v>11.57891404918432</v>
      </c>
      <c r="S310" s="94">
        <f>J310/D310</f>
        <v>3.5717311906501097</v>
      </c>
      <c r="T310" s="94">
        <f>K310/D310</f>
        <v>19.688897005113223</v>
      </c>
      <c r="U310" s="94">
        <f>K310/E310</f>
        <v>25.348683385579939</v>
      </c>
      <c r="V310" s="81">
        <v>48103</v>
      </c>
      <c r="W310" s="79" t="s">
        <v>1648</v>
      </c>
      <c r="X310" s="79" t="s">
        <v>1650</v>
      </c>
      <c r="Y310" s="81">
        <v>22164</v>
      </c>
      <c r="Z310" s="81">
        <v>9972</v>
      </c>
      <c r="AA310" s="81">
        <v>19463</v>
      </c>
      <c r="AB310" s="79" t="s">
        <v>1648</v>
      </c>
      <c r="AC310" s="81">
        <v>19114</v>
      </c>
      <c r="AD310" s="79" t="s">
        <v>1649</v>
      </c>
      <c r="AE310" s="79" t="s">
        <v>1649</v>
      </c>
      <c r="AF310" s="77">
        <v>0</v>
      </c>
    </row>
    <row r="311" spans="1:32" ht="15.75" thickBot="1" x14ac:dyDescent="0.3">
      <c r="A311" s="79" t="s">
        <v>654</v>
      </c>
      <c r="B311" s="93" t="s">
        <v>113</v>
      </c>
      <c r="C311" s="79" t="s">
        <v>39</v>
      </c>
      <c r="D311" s="81">
        <v>46905</v>
      </c>
      <c r="E311" s="81">
        <v>20493</v>
      </c>
      <c r="F311" s="81">
        <v>169795</v>
      </c>
      <c r="G311" s="81">
        <v>58161</v>
      </c>
      <c r="H311" s="81">
        <v>46856</v>
      </c>
      <c r="I311" s="81">
        <v>76919</v>
      </c>
      <c r="J311" s="81">
        <v>23352</v>
      </c>
      <c r="K311" s="81">
        <v>147127</v>
      </c>
      <c r="L311" s="81">
        <v>10604</v>
      </c>
      <c r="M311" s="81">
        <v>123775</v>
      </c>
      <c r="N311" s="81">
        <v>33956</v>
      </c>
      <c r="O311" s="81">
        <v>157731</v>
      </c>
      <c r="P311" s="94">
        <f>O311/D311</f>
        <v>3.3627758234729774</v>
      </c>
      <c r="Q311" s="94">
        <f>H311/D311</f>
        <v>0.99895533525210534</v>
      </c>
      <c r="R311" s="94">
        <f>I311/D311</f>
        <v>1.6398891376185907</v>
      </c>
      <c r="S311" s="94">
        <f>J311/D311</f>
        <v>0.49785737128237928</v>
      </c>
      <c r="T311" s="94">
        <f>K311/D311</f>
        <v>3.1367018441530754</v>
      </c>
      <c r="U311" s="94">
        <f>K311/E311</f>
        <v>7.1793783243058602</v>
      </c>
      <c r="V311" s="81">
        <v>21320</v>
      </c>
      <c r="W311" s="79" t="s">
        <v>1648</v>
      </c>
      <c r="X311" s="79" t="s">
        <v>1651</v>
      </c>
      <c r="Y311" s="81">
        <v>7582</v>
      </c>
      <c r="Z311" s="81">
        <v>9873</v>
      </c>
      <c r="AA311" s="81">
        <v>34577</v>
      </c>
      <c r="AB311" s="79" t="s">
        <v>1648</v>
      </c>
      <c r="AC311" s="81">
        <v>474750</v>
      </c>
      <c r="AD311" s="79" t="s">
        <v>1648</v>
      </c>
      <c r="AE311" s="79" t="s">
        <v>1649</v>
      </c>
      <c r="AF311" s="77">
        <v>0</v>
      </c>
    </row>
    <row r="312" spans="1:32" ht="15.75" thickBot="1" x14ac:dyDescent="0.3">
      <c r="A312" s="79" t="s">
        <v>656</v>
      </c>
      <c r="B312" s="93" t="s">
        <v>123</v>
      </c>
      <c r="C312" s="79" t="s">
        <v>39</v>
      </c>
      <c r="D312" s="81">
        <v>43254</v>
      </c>
      <c r="E312" s="81">
        <v>15418</v>
      </c>
      <c r="F312" s="81">
        <v>153547</v>
      </c>
      <c r="G312" s="81">
        <v>164225</v>
      </c>
      <c r="H312" s="81">
        <v>90539</v>
      </c>
      <c r="I312" s="81">
        <v>120059</v>
      </c>
      <c r="J312" s="81">
        <v>65535</v>
      </c>
      <c r="K312" s="81">
        <v>276133</v>
      </c>
      <c r="L312" s="81">
        <v>72115</v>
      </c>
      <c r="M312" s="81">
        <v>210598</v>
      </c>
      <c r="N312" s="81">
        <v>137650</v>
      </c>
      <c r="O312" s="81">
        <v>348248</v>
      </c>
      <c r="P312" s="94">
        <f>O312/D312</f>
        <v>8.0512322559763252</v>
      </c>
      <c r="Q312" s="94">
        <f>H312/D312</f>
        <v>2.0931936930688493</v>
      </c>
      <c r="R312" s="94">
        <f>I312/D312</f>
        <v>2.7756739261108798</v>
      </c>
      <c r="S312" s="94">
        <f>J312/D312</f>
        <v>1.5151199889027605</v>
      </c>
      <c r="T312" s="94">
        <f>K312/D312</f>
        <v>6.3839876080824896</v>
      </c>
      <c r="U312" s="94">
        <f>K312/E312</f>
        <v>17.909780775716694</v>
      </c>
      <c r="V312" s="81">
        <v>24395</v>
      </c>
      <c r="W312" s="79" t="s">
        <v>1649</v>
      </c>
      <c r="X312" s="79" t="s">
        <v>1651</v>
      </c>
      <c r="Y312" s="81">
        <v>56617</v>
      </c>
      <c r="Z312" s="81">
        <v>47485</v>
      </c>
      <c r="AA312" s="81">
        <v>19616</v>
      </c>
      <c r="AB312" s="79" t="s">
        <v>1648</v>
      </c>
      <c r="AC312" s="81">
        <v>9845</v>
      </c>
      <c r="AD312" s="79" t="s">
        <v>1648</v>
      </c>
      <c r="AE312" s="79" t="s">
        <v>1648</v>
      </c>
      <c r="AF312" s="81">
        <v>207</v>
      </c>
    </row>
    <row r="313" spans="1:32" ht="15.75" thickBot="1" x14ac:dyDescent="0.3">
      <c r="A313" s="79" t="s">
        <v>658</v>
      </c>
      <c r="B313" s="93" t="s">
        <v>133</v>
      </c>
      <c r="C313" s="79" t="s">
        <v>39</v>
      </c>
      <c r="D313" s="81">
        <v>35087</v>
      </c>
      <c r="E313" s="81">
        <v>18244</v>
      </c>
      <c r="F313" s="81">
        <v>150000</v>
      </c>
      <c r="G313" s="81">
        <v>51784</v>
      </c>
      <c r="H313" s="81">
        <v>47133</v>
      </c>
      <c r="I313" s="81">
        <v>77632</v>
      </c>
      <c r="J313" s="81">
        <v>29305</v>
      </c>
      <c r="K313" s="81">
        <v>154070</v>
      </c>
      <c r="L313" s="81">
        <v>5112</v>
      </c>
      <c r="M313" s="81">
        <v>124765</v>
      </c>
      <c r="N313" s="81">
        <v>34417</v>
      </c>
      <c r="O313" s="81">
        <v>159182</v>
      </c>
      <c r="P313" s="94">
        <f>O313/D313</f>
        <v>4.5367800039900814</v>
      </c>
      <c r="Q313" s="94">
        <f>H313/D313</f>
        <v>1.3433180380197793</v>
      </c>
      <c r="R313" s="94">
        <f>I313/D313</f>
        <v>2.212557357425827</v>
      </c>
      <c r="S313" s="94">
        <f>J313/D313</f>
        <v>0.83520962179724689</v>
      </c>
      <c r="T313" s="94">
        <f>K313/D313</f>
        <v>4.3910850172428537</v>
      </c>
      <c r="U313" s="94">
        <f>K313/E313</f>
        <v>8.4449682087261557</v>
      </c>
      <c r="V313" s="81">
        <v>13595</v>
      </c>
      <c r="W313" s="79" t="s">
        <v>1648</v>
      </c>
      <c r="X313" s="79" t="s">
        <v>1651</v>
      </c>
      <c r="Y313" s="81">
        <v>8587</v>
      </c>
      <c r="Z313" s="81">
        <v>10358</v>
      </c>
      <c r="AA313" s="81">
        <v>52573</v>
      </c>
      <c r="AB313" s="79" t="s">
        <v>1648</v>
      </c>
      <c r="AC313" s="81">
        <v>39655</v>
      </c>
      <c r="AD313" s="79" t="s">
        <v>1648</v>
      </c>
      <c r="AE313" s="79" t="s">
        <v>1649</v>
      </c>
      <c r="AF313" s="95">
        <v>0</v>
      </c>
    </row>
    <row r="314" spans="1:32" ht="15.75" thickBot="1" x14ac:dyDescent="0.3">
      <c r="A314" s="79" t="s">
        <v>660</v>
      </c>
      <c r="B314" s="93" t="s">
        <v>149</v>
      </c>
      <c r="C314" s="79" t="s">
        <v>39</v>
      </c>
      <c r="D314" s="81">
        <v>38002</v>
      </c>
      <c r="E314" s="81">
        <v>4321</v>
      </c>
      <c r="F314" s="81">
        <v>70475</v>
      </c>
      <c r="G314" s="81">
        <v>70000</v>
      </c>
      <c r="H314" s="81">
        <v>31753</v>
      </c>
      <c r="I314" s="81">
        <v>64441</v>
      </c>
      <c r="J314" s="81">
        <v>22290</v>
      </c>
      <c r="K314" s="81">
        <v>118484</v>
      </c>
      <c r="L314" s="81">
        <v>12431</v>
      </c>
      <c r="M314" s="81">
        <v>96194</v>
      </c>
      <c r="N314" s="81">
        <v>34721</v>
      </c>
      <c r="O314" s="81">
        <v>130915</v>
      </c>
      <c r="P314" s="94">
        <f>O314/D314</f>
        <v>3.4449502657754856</v>
      </c>
      <c r="Q314" s="94">
        <f>H314/D314</f>
        <v>0.83556128624809223</v>
      </c>
      <c r="R314" s="94">
        <f>I314/D314</f>
        <v>1.6957265407083837</v>
      </c>
      <c r="S314" s="94">
        <f>J314/D314</f>
        <v>0.58654807641703066</v>
      </c>
      <c r="T314" s="94">
        <f>K314/D314</f>
        <v>3.1178359033735066</v>
      </c>
      <c r="U314" s="94">
        <f>K314/E314</f>
        <v>27.42050451284425</v>
      </c>
      <c r="V314" s="81">
        <v>7983</v>
      </c>
      <c r="W314" s="79" t="s">
        <v>1649</v>
      </c>
      <c r="X314" s="79" t="s">
        <v>1650</v>
      </c>
      <c r="Y314" s="81">
        <v>6623</v>
      </c>
      <c r="Z314" s="81">
        <v>8252</v>
      </c>
      <c r="AA314" s="81">
        <v>22965</v>
      </c>
      <c r="AB314" s="79" t="s">
        <v>1648</v>
      </c>
      <c r="AC314" s="81">
        <v>20460</v>
      </c>
      <c r="AD314" s="79" t="s">
        <v>1648</v>
      </c>
      <c r="AE314" s="79" t="s">
        <v>1649</v>
      </c>
      <c r="AF314" s="95">
        <v>0</v>
      </c>
    </row>
    <row r="315" spans="1:32" ht="15.75" thickBot="1" x14ac:dyDescent="0.3">
      <c r="A315" s="79" t="s">
        <v>662</v>
      </c>
      <c r="B315" s="93" t="s">
        <v>169</v>
      </c>
      <c r="C315" s="79" t="s">
        <v>39</v>
      </c>
      <c r="D315" s="81">
        <v>43381</v>
      </c>
      <c r="E315" s="81">
        <v>19789</v>
      </c>
      <c r="F315" s="81">
        <v>72210</v>
      </c>
      <c r="G315" s="81">
        <v>19082</v>
      </c>
      <c r="H315" s="81">
        <v>78255</v>
      </c>
      <c r="I315" s="81">
        <v>121014</v>
      </c>
      <c r="J315" s="81">
        <v>50501</v>
      </c>
      <c r="K315" s="81">
        <v>249770</v>
      </c>
      <c r="L315" s="81">
        <v>21206</v>
      </c>
      <c r="M315" s="81">
        <v>199269</v>
      </c>
      <c r="N315" s="81">
        <v>71707</v>
      </c>
      <c r="O315" s="81">
        <v>270976</v>
      </c>
      <c r="P315" s="94">
        <f>O315/D315</f>
        <v>6.2464212443235514</v>
      </c>
      <c r="Q315" s="94">
        <f>H315/D315</f>
        <v>1.8039003250270855</v>
      </c>
      <c r="R315" s="94">
        <f>I315/D315</f>
        <v>2.7895622507549387</v>
      </c>
      <c r="S315" s="94">
        <f>J315/D315</f>
        <v>1.1641271524400083</v>
      </c>
      <c r="T315" s="94">
        <f>K315/D315</f>
        <v>5.7575897282220323</v>
      </c>
      <c r="U315" s="94">
        <f>K315/E315</f>
        <v>12.621658497144878</v>
      </c>
      <c r="V315" s="81">
        <v>10515</v>
      </c>
      <c r="W315" s="79" t="s">
        <v>1648</v>
      </c>
      <c r="X315" s="79" t="s">
        <v>1651</v>
      </c>
      <c r="Y315" s="81">
        <v>15398</v>
      </c>
      <c r="Z315" s="81">
        <v>15494</v>
      </c>
      <c r="AA315" s="81">
        <v>7075</v>
      </c>
      <c r="AB315" s="79" t="s">
        <v>1648</v>
      </c>
      <c r="AC315" s="81">
        <v>20926</v>
      </c>
      <c r="AD315" s="79" t="s">
        <v>1648</v>
      </c>
      <c r="AE315" s="79" t="s">
        <v>1648</v>
      </c>
      <c r="AF315" s="81">
        <v>104</v>
      </c>
    </row>
    <row r="316" spans="1:32" ht="15.75" thickBot="1" x14ac:dyDescent="0.3">
      <c r="A316" s="79" t="s">
        <v>664</v>
      </c>
      <c r="B316" s="93" t="s">
        <v>173</v>
      </c>
      <c r="C316" s="79" t="s">
        <v>39</v>
      </c>
      <c r="D316" s="81">
        <v>35563</v>
      </c>
      <c r="E316" s="81">
        <v>15338</v>
      </c>
      <c r="F316" s="81">
        <v>142267</v>
      </c>
      <c r="G316" s="81">
        <v>55892</v>
      </c>
      <c r="H316" s="81">
        <v>136619</v>
      </c>
      <c r="I316" s="81">
        <v>185017</v>
      </c>
      <c r="J316" s="81">
        <v>60016</v>
      </c>
      <c r="K316" s="81">
        <v>381652</v>
      </c>
      <c r="L316" s="81">
        <v>8838</v>
      </c>
      <c r="M316" s="81">
        <v>321636</v>
      </c>
      <c r="N316" s="81">
        <v>68854</v>
      </c>
      <c r="O316" s="81">
        <v>390490</v>
      </c>
      <c r="P316" s="94">
        <f>O316/D316</f>
        <v>10.980232263869752</v>
      </c>
      <c r="Q316" s="94">
        <f>H316/D316</f>
        <v>3.8416050389449707</v>
      </c>
      <c r="R316" s="94">
        <f>I316/D316</f>
        <v>5.2025138486629361</v>
      </c>
      <c r="S316" s="94">
        <f>J316/D316</f>
        <v>1.6875966594494278</v>
      </c>
      <c r="T316" s="94">
        <f>K316/D316</f>
        <v>10.731715547057334</v>
      </c>
      <c r="U316" s="94">
        <f>K316/E316</f>
        <v>24.882774807667232</v>
      </c>
      <c r="V316" s="81">
        <v>12970</v>
      </c>
      <c r="W316" s="79" t="s">
        <v>1648</v>
      </c>
      <c r="X316" s="79" t="s">
        <v>1651</v>
      </c>
      <c r="Y316" s="81">
        <v>5588</v>
      </c>
      <c r="Z316" s="81">
        <v>5314</v>
      </c>
      <c r="AA316" s="81">
        <v>10223</v>
      </c>
      <c r="AB316" s="79" t="s">
        <v>1648</v>
      </c>
      <c r="AC316" s="81">
        <v>47022</v>
      </c>
      <c r="AD316" s="79" t="s">
        <v>1648</v>
      </c>
      <c r="AE316" s="79" t="s">
        <v>1648</v>
      </c>
      <c r="AF316" s="81">
        <v>104</v>
      </c>
    </row>
    <row r="317" spans="1:32" ht="15.75" thickBot="1" x14ac:dyDescent="0.3">
      <c r="A317" s="79" t="s">
        <v>666</v>
      </c>
      <c r="B317" s="93" t="s">
        <v>187</v>
      </c>
      <c r="C317" s="79" t="s">
        <v>39</v>
      </c>
      <c r="D317" s="81">
        <v>40186</v>
      </c>
      <c r="E317" s="81">
        <v>13966</v>
      </c>
      <c r="F317" s="81">
        <v>153004</v>
      </c>
      <c r="G317" s="81">
        <v>97160</v>
      </c>
      <c r="H317" s="81">
        <v>106914</v>
      </c>
      <c r="I317" s="81">
        <v>159466</v>
      </c>
      <c r="J317" s="81">
        <v>60690</v>
      </c>
      <c r="K317" s="81">
        <v>327070</v>
      </c>
      <c r="L317" s="81">
        <v>2071</v>
      </c>
      <c r="M317" s="81">
        <v>266380</v>
      </c>
      <c r="N317" s="81">
        <v>62761</v>
      </c>
      <c r="O317" s="81">
        <v>329141</v>
      </c>
      <c r="P317" s="94">
        <f>O317/D317</f>
        <v>8.1904394565271481</v>
      </c>
      <c r="Q317" s="94">
        <f>H317/D317</f>
        <v>2.6604787737022844</v>
      </c>
      <c r="R317" s="94">
        <f>I317/D317</f>
        <v>3.9681978798586575</v>
      </c>
      <c r="S317" s="94">
        <f>J317/D317</f>
        <v>1.5102274423928732</v>
      </c>
      <c r="T317" s="94">
        <f>K317/D317</f>
        <v>8.1389040959538139</v>
      </c>
      <c r="U317" s="94">
        <f>K317/E317</f>
        <v>23.419017614205927</v>
      </c>
      <c r="V317" s="81">
        <v>56746</v>
      </c>
      <c r="W317" s="79" t="s">
        <v>1648</v>
      </c>
      <c r="X317" s="79" t="s">
        <v>1651</v>
      </c>
      <c r="Y317" s="81">
        <v>21231</v>
      </c>
      <c r="Z317" s="81">
        <v>26621</v>
      </c>
      <c r="AA317" s="81">
        <v>13125</v>
      </c>
      <c r="AB317" s="79" t="s">
        <v>1648</v>
      </c>
      <c r="AC317" s="81">
        <v>20893</v>
      </c>
      <c r="AD317" s="79" t="s">
        <v>1648</v>
      </c>
      <c r="AE317" s="79" t="s">
        <v>1649</v>
      </c>
      <c r="AF317" s="77">
        <v>0</v>
      </c>
    </row>
    <row r="318" spans="1:32" ht="15.75" thickBot="1" x14ac:dyDescent="0.3">
      <c r="A318" s="79" t="s">
        <v>668</v>
      </c>
      <c r="B318" s="93" t="s">
        <v>189</v>
      </c>
      <c r="C318" s="79" t="s">
        <v>39</v>
      </c>
      <c r="D318" s="81">
        <v>28263</v>
      </c>
      <c r="E318" s="81">
        <v>4575</v>
      </c>
      <c r="F318" s="81">
        <v>52063</v>
      </c>
      <c r="G318" s="79" t="s">
        <v>1613</v>
      </c>
      <c r="H318" s="81">
        <v>26124</v>
      </c>
      <c r="I318" s="81">
        <v>26064</v>
      </c>
      <c r="J318" s="81">
        <v>13500</v>
      </c>
      <c r="K318" s="81">
        <v>65688</v>
      </c>
      <c r="L318" s="81">
        <v>14798</v>
      </c>
      <c r="M318" s="81">
        <v>52188</v>
      </c>
      <c r="N318" s="81">
        <v>28298</v>
      </c>
      <c r="O318" s="81">
        <v>80486</v>
      </c>
      <c r="P318" s="94">
        <f>O318/D318</f>
        <v>2.8477514771963346</v>
      </c>
      <c r="Q318" s="94">
        <f>H318/D318</f>
        <v>0.92431801294979299</v>
      </c>
      <c r="R318" s="94">
        <f>I318/D318</f>
        <v>0.92219509606198913</v>
      </c>
      <c r="S318" s="94">
        <f>J318/D318</f>
        <v>0.47765629975586454</v>
      </c>
      <c r="T318" s="94">
        <f>K318/D318</f>
        <v>2.3241694087676468</v>
      </c>
      <c r="U318" s="94">
        <f>K318/E318</f>
        <v>14.358032786885246</v>
      </c>
      <c r="V318" s="81">
        <v>9520</v>
      </c>
      <c r="W318" s="79" t="s">
        <v>1649</v>
      </c>
      <c r="X318" s="79" t="s">
        <v>1651</v>
      </c>
      <c r="Y318" s="81">
        <v>9020</v>
      </c>
      <c r="Z318" s="81">
        <v>11159</v>
      </c>
      <c r="AA318" s="81">
        <v>7537</v>
      </c>
      <c r="AB318" s="79" t="s">
        <v>1648</v>
      </c>
      <c r="AC318" s="81">
        <v>2904</v>
      </c>
      <c r="AD318" s="79" t="s">
        <v>1649</v>
      </c>
      <c r="AE318" s="79" t="s">
        <v>1648</v>
      </c>
      <c r="AF318" s="81">
        <v>5</v>
      </c>
    </row>
    <row r="319" spans="1:32" ht="15.75" thickBot="1" x14ac:dyDescent="0.3">
      <c r="A319" s="79" t="s">
        <v>670</v>
      </c>
      <c r="B319" s="93" t="s">
        <v>199</v>
      </c>
      <c r="C319" s="79" t="s">
        <v>39</v>
      </c>
      <c r="D319" s="81">
        <v>26391</v>
      </c>
      <c r="E319" s="81">
        <v>11125</v>
      </c>
      <c r="F319" s="81">
        <v>86794</v>
      </c>
      <c r="G319" s="81">
        <v>142052</v>
      </c>
      <c r="H319" s="81">
        <v>46848</v>
      </c>
      <c r="I319" s="81">
        <v>120174</v>
      </c>
      <c r="J319" s="81">
        <v>47047</v>
      </c>
      <c r="K319" s="81">
        <v>214069</v>
      </c>
      <c r="L319" s="81">
        <v>45294</v>
      </c>
      <c r="M319" s="81">
        <v>167022</v>
      </c>
      <c r="N319" s="81">
        <v>92341</v>
      </c>
      <c r="O319" s="81">
        <v>259363</v>
      </c>
      <c r="P319" s="94">
        <f>O319/D319</f>
        <v>9.8277064150657427</v>
      </c>
      <c r="Q319" s="94">
        <f>H319/D319</f>
        <v>1.7751506195293849</v>
      </c>
      <c r="R319" s="94">
        <f>I319/D319</f>
        <v>4.5535978174377627</v>
      </c>
      <c r="S319" s="94">
        <f>J319/D319</f>
        <v>1.7826910689250124</v>
      </c>
      <c r="T319" s="94">
        <f>K319/D319</f>
        <v>8.1114395058921609</v>
      </c>
      <c r="U319" s="94">
        <f>K319/E319</f>
        <v>19.242157303370785</v>
      </c>
      <c r="V319" s="81">
        <v>20500</v>
      </c>
      <c r="W319" s="79" t="s">
        <v>1648</v>
      </c>
      <c r="X319" s="79" t="s">
        <v>1650</v>
      </c>
      <c r="Y319" s="81">
        <v>21600</v>
      </c>
      <c r="Z319" s="81">
        <v>12124</v>
      </c>
      <c r="AA319" s="81">
        <v>27156</v>
      </c>
      <c r="AB319" s="79" t="s">
        <v>1648</v>
      </c>
      <c r="AC319" s="81">
        <v>21682</v>
      </c>
      <c r="AD319" s="79" t="s">
        <v>1649</v>
      </c>
      <c r="AE319" s="79" t="s">
        <v>1648</v>
      </c>
      <c r="AF319" s="81">
        <v>337</v>
      </c>
    </row>
    <row r="320" spans="1:32" ht="15.75" thickBot="1" x14ac:dyDescent="0.3">
      <c r="A320" s="79" t="s">
        <v>672</v>
      </c>
      <c r="B320" s="93" t="s">
        <v>217</v>
      </c>
      <c r="C320" s="79" t="s">
        <v>39</v>
      </c>
      <c r="D320" s="81">
        <v>32799</v>
      </c>
      <c r="E320" s="81">
        <v>31413</v>
      </c>
      <c r="F320" s="81">
        <v>148092</v>
      </c>
      <c r="G320" s="81">
        <v>80299</v>
      </c>
      <c r="H320" s="81">
        <v>92217</v>
      </c>
      <c r="I320" s="81">
        <v>121181</v>
      </c>
      <c r="J320" s="81">
        <v>50249</v>
      </c>
      <c r="K320" s="81">
        <v>263647</v>
      </c>
      <c r="L320" s="81">
        <v>15016</v>
      </c>
      <c r="M320" s="81">
        <v>213398</v>
      </c>
      <c r="N320" s="81">
        <v>65265</v>
      </c>
      <c r="O320" s="81">
        <v>278663</v>
      </c>
      <c r="P320" s="94">
        <f>O320/D320</f>
        <v>8.4960821976279757</v>
      </c>
      <c r="Q320" s="94">
        <f>H320/D320</f>
        <v>2.8115796213299187</v>
      </c>
      <c r="R320" s="94">
        <f>I320/D320</f>
        <v>3.694655324857465</v>
      </c>
      <c r="S320" s="94">
        <f>J320/D320</f>
        <v>1.5320284155004726</v>
      </c>
      <c r="T320" s="94">
        <f>K320/D320</f>
        <v>8.0382633616878572</v>
      </c>
      <c r="U320" s="94">
        <f>K320/E320</f>
        <v>8.392926495399994</v>
      </c>
      <c r="V320" s="81">
        <v>21408</v>
      </c>
      <c r="W320" s="79" t="s">
        <v>1648</v>
      </c>
      <c r="X320" s="79" t="s">
        <v>1650</v>
      </c>
      <c r="Y320" s="81">
        <v>13007</v>
      </c>
      <c r="Z320" s="81">
        <v>14111</v>
      </c>
      <c r="AA320" s="81">
        <v>20951</v>
      </c>
      <c r="AB320" s="79" t="s">
        <v>1648</v>
      </c>
      <c r="AC320" s="81">
        <v>43206</v>
      </c>
      <c r="AD320" s="79" t="s">
        <v>1648</v>
      </c>
      <c r="AE320" s="79" t="s">
        <v>1648</v>
      </c>
      <c r="AF320" s="81">
        <v>192</v>
      </c>
    </row>
    <row r="321" spans="1:32" ht="15.75" thickBot="1" x14ac:dyDescent="0.3">
      <c r="A321" s="79" t="s">
        <v>674</v>
      </c>
      <c r="B321" s="93" t="s">
        <v>227</v>
      </c>
      <c r="C321" s="79" t="s">
        <v>39</v>
      </c>
      <c r="D321" s="81">
        <v>26168</v>
      </c>
      <c r="E321" s="81">
        <v>11562</v>
      </c>
      <c r="F321" s="81">
        <v>105295</v>
      </c>
      <c r="G321" s="81">
        <v>34531</v>
      </c>
      <c r="H321" s="81">
        <v>33581</v>
      </c>
      <c r="I321" s="81">
        <v>117351</v>
      </c>
      <c r="J321" s="81">
        <v>10090</v>
      </c>
      <c r="K321" s="81">
        <v>161022</v>
      </c>
      <c r="L321" s="81">
        <v>1723</v>
      </c>
      <c r="M321" s="81">
        <v>150932</v>
      </c>
      <c r="N321" s="81">
        <v>11813</v>
      </c>
      <c r="O321" s="81">
        <v>162745</v>
      </c>
      <c r="P321" s="94">
        <f>O321/D321</f>
        <v>6.2192372363191684</v>
      </c>
      <c r="Q321" s="94">
        <f>H321/D321</f>
        <v>1.2832849281565271</v>
      </c>
      <c r="R321" s="94">
        <f>I321/D321</f>
        <v>4.4845230816264143</v>
      </c>
      <c r="S321" s="94">
        <f>J321/D321</f>
        <v>0.3855854478752675</v>
      </c>
      <c r="T321" s="94">
        <f>K321/D321</f>
        <v>6.1533934576582086</v>
      </c>
      <c r="U321" s="94">
        <f>K321/E321</f>
        <v>13.926829268292684</v>
      </c>
      <c r="V321" s="81">
        <v>20470</v>
      </c>
      <c r="W321" s="79" t="s">
        <v>1648</v>
      </c>
      <c r="X321" s="79" t="s">
        <v>1651</v>
      </c>
      <c r="Y321" s="81">
        <v>15522</v>
      </c>
      <c r="Z321" s="81">
        <v>11433</v>
      </c>
      <c r="AA321" s="81">
        <v>13057</v>
      </c>
      <c r="AB321" s="79" t="s">
        <v>1648</v>
      </c>
      <c r="AC321" s="81">
        <v>18576</v>
      </c>
      <c r="AD321" s="79" t="s">
        <v>1648</v>
      </c>
      <c r="AE321" s="79" t="s">
        <v>1648</v>
      </c>
      <c r="AF321" s="81">
        <v>3</v>
      </c>
    </row>
    <row r="322" spans="1:32" ht="15.75" thickBot="1" x14ac:dyDescent="0.3">
      <c r="A322" s="79" t="s">
        <v>676</v>
      </c>
      <c r="B322" s="93" t="s">
        <v>239</v>
      </c>
      <c r="C322" s="79" t="s">
        <v>39</v>
      </c>
      <c r="D322" s="81">
        <v>48579</v>
      </c>
      <c r="E322" s="81">
        <v>11173</v>
      </c>
      <c r="F322" s="81">
        <v>66000</v>
      </c>
      <c r="G322" s="81">
        <v>184639</v>
      </c>
      <c r="H322" s="81">
        <v>69262</v>
      </c>
      <c r="I322" s="81">
        <v>115784</v>
      </c>
      <c r="J322" s="81">
        <v>109719</v>
      </c>
      <c r="K322" s="81">
        <v>294765</v>
      </c>
      <c r="L322" s="81">
        <v>1785</v>
      </c>
      <c r="M322" s="81">
        <v>185046</v>
      </c>
      <c r="N322" s="81">
        <v>111504</v>
      </c>
      <c r="O322" s="81">
        <v>296550</v>
      </c>
      <c r="P322" s="94">
        <f>O322/D322</f>
        <v>6.1044895942691291</v>
      </c>
      <c r="Q322" s="94">
        <f>H322/D322</f>
        <v>1.4257601021017312</v>
      </c>
      <c r="R322" s="94">
        <f>I322/D322</f>
        <v>2.3834167026904631</v>
      </c>
      <c r="S322" s="94">
        <f>J322/D322</f>
        <v>2.2585685172605445</v>
      </c>
      <c r="T322" s="94">
        <f>K322/D322</f>
        <v>6.0677453220527386</v>
      </c>
      <c r="U322" s="94">
        <f>K322/E322</f>
        <v>26.381902801396222</v>
      </c>
      <c r="V322" s="81">
        <v>20000</v>
      </c>
      <c r="W322" s="79" t="s">
        <v>1648</v>
      </c>
      <c r="X322" s="79" t="s">
        <v>1650</v>
      </c>
      <c r="Y322" s="81">
        <v>10016</v>
      </c>
      <c r="Z322" s="81">
        <v>8824</v>
      </c>
      <c r="AA322" s="81">
        <v>17695</v>
      </c>
      <c r="AB322" s="79" t="s">
        <v>1648</v>
      </c>
      <c r="AC322" s="81">
        <v>62135</v>
      </c>
      <c r="AD322" s="79" t="s">
        <v>1648</v>
      </c>
      <c r="AE322" s="79" t="s">
        <v>1648</v>
      </c>
      <c r="AF322" s="81">
        <v>163</v>
      </c>
    </row>
    <row r="323" spans="1:32" ht="15.75" thickBot="1" x14ac:dyDescent="0.3">
      <c r="A323" s="79" t="s">
        <v>678</v>
      </c>
      <c r="B323" s="93" t="s">
        <v>241</v>
      </c>
      <c r="C323" s="79" t="s">
        <v>39</v>
      </c>
      <c r="D323" s="81">
        <v>32442</v>
      </c>
      <c r="E323" s="81">
        <v>16740</v>
      </c>
      <c r="F323" s="81">
        <v>54680</v>
      </c>
      <c r="G323" s="81">
        <v>11627</v>
      </c>
      <c r="H323" s="81">
        <v>23629</v>
      </c>
      <c r="I323" s="81">
        <v>47255</v>
      </c>
      <c r="J323" s="81">
        <v>9231</v>
      </c>
      <c r="K323" s="81">
        <v>80115</v>
      </c>
      <c r="L323" s="81">
        <v>3843</v>
      </c>
      <c r="M323" s="81">
        <v>70884</v>
      </c>
      <c r="N323" s="81">
        <v>13074</v>
      </c>
      <c r="O323" s="81">
        <v>83958</v>
      </c>
      <c r="P323" s="94">
        <f>O323/D323</f>
        <v>2.5879415572406139</v>
      </c>
      <c r="Q323" s="94">
        <f>H323/D323</f>
        <v>0.72834597127180811</v>
      </c>
      <c r="R323" s="94">
        <f>I323/D323</f>
        <v>1.4565994698230689</v>
      </c>
      <c r="S323" s="94">
        <f>J323/D323</f>
        <v>0.28453856112446829</v>
      </c>
      <c r="T323" s="94">
        <f>K323/D323</f>
        <v>2.4694840022193452</v>
      </c>
      <c r="U323" s="94">
        <f>K323/E323</f>
        <v>4.7858422939068097</v>
      </c>
      <c r="V323" s="81">
        <v>11213</v>
      </c>
      <c r="W323" s="79" t="s">
        <v>1648</v>
      </c>
      <c r="X323" s="79" t="s">
        <v>1651</v>
      </c>
      <c r="Y323" s="81">
        <v>15098</v>
      </c>
      <c r="Z323" s="81">
        <v>15036</v>
      </c>
      <c r="AA323" s="81">
        <v>12193</v>
      </c>
      <c r="AB323" s="79" t="s">
        <v>1648</v>
      </c>
      <c r="AC323" s="81">
        <v>11627</v>
      </c>
      <c r="AD323" s="79" t="s">
        <v>1648</v>
      </c>
      <c r="AE323" s="79" t="s">
        <v>1649</v>
      </c>
      <c r="AF323" s="95">
        <v>0</v>
      </c>
    </row>
    <row r="324" spans="1:32" ht="15.75" thickBot="1" x14ac:dyDescent="0.3">
      <c r="A324" s="79" t="s">
        <v>680</v>
      </c>
      <c r="B324" s="93" t="s">
        <v>299</v>
      </c>
      <c r="C324" s="79" t="s">
        <v>39</v>
      </c>
      <c r="D324" s="81">
        <v>27692</v>
      </c>
      <c r="E324" s="81">
        <v>6934</v>
      </c>
      <c r="F324" s="81">
        <v>46036</v>
      </c>
      <c r="G324" s="81">
        <v>44533</v>
      </c>
      <c r="H324" s="81">
        <v>25932</v>
      </c>
      <c r="I324" s="81">
        <v>30689</v>
      </c>
      <c r="J324" s="81">
        <v>10909</v>
      </c>
      <c r="K324" s="81">
        <v>67530</v>
      </c>
      <c r="L324" s="81">
        <v>0</v>
      </c>
      <c r="M324" s="81">
        <v>56621</v>
      </c>
      <c r="N324" s="81">
        <v>10909</v>
      </c>
      <c r="O324" s="81">
        <v>67530</v>
      </c>
      <c r="P324" s="94">
        <f>O324/D324</f>
        <v>2.4386104290047665</v>
      </c>
      <c r="Q324" s="94">
        <f>H324/D324</f>
        <v>0.93644373826375849</v>
      </c>
      <c r="R324" s="94">
        <f>I324/D324</f>
        <v>1.1082262025133613</v>
      </c>
      <c r="S324" s="94">
        <f>J324/D324</f>
        <v>0.39394048822764699</v>
      </c>
      <c r="T324" s="94">
        <f>K324/D324</f>
        <v>2.4386104290047665</v>
      </c>
      <c r="U324" s="94">
        <f>K324/E324</f>
        <v>9.7389674069800982</v>
      </c>
      <c r="V324" s="81">
        <v>4300</v>
      </c>
      <c r="W324" s="79" t="s">
        <v>1648</v>
      </c>
      <c r="X324" s="79" t="s">
        <v>1650</v>
      </c>
      <c r="Y324" s="81">
        <v>12876</v>
      </c>
      <c r="Z324" s="81">
        <v>5739</v>
      </c>
      <c r="AA324" s="81">
        <v>7843</v>
      </c>
      <c r="AB324" s="79" t="s">
        <v>1648</v>
      </c>
      <c r="AC324" s="81">
        <v>21254</v>
      </c>
      <c r="AD324" s="79" t="s">
        <v>1648</v>
      </c>
      <c r="AE324" s="79" t="s">
        <v>1649</v>
      </c>
      <c r="AF324" s="77">
        <v>0</v>
      </c>
    </row>
    <row r="325" spans="1:32" ht="15.75" thickBot="1" x14ac:dyDescent="0.3">
      <c r="A325" s="79" t="s">
        <v>682</v>
      </c>
      <c r="B325" s="93" t="s">
        <v>307</v>
      </c>
      <c r="C325" s="79" t="s">
        <v>39</v>
      </c>
      <c r="D325" s="81">
        <v>46985</v>
      </c>
      <c r="E325" s="81">
        <v>24737</v>
      </c>
      <c r="F325" s="81">
        <v>147174</v>
      </c>
      <c r="G325" s="81">
        <v>133649</v>
      </c>
      <c r="H325" s="81">
        <v>250964</v>
      </c>
      <c r="I325" s="81">
        <v>194975</v>
      </c>
      <c r="J325" s="81">
        <v>74332</v>
      </c>
      <c r="K325" s="81">
        <v>520271</v>
      </c>
      <c r="L325" s="81">
        <v>0</v>
      </c>
      <c r="M325" s="81">
        <v>445939</v>
      </c>
      <c r="N325" s="81">
        <v>74332</v>
      </c>
      <c r="O325" s="81">
        <v>520271</v>
      </c>
      <c r="P325" s="94">
        <f>O325/D325</f>
        <v>11.073129722251782</v>
      </c>
      <c r="Q325" s="94">
        <f>H325/D325</f>
        <v>5.341364265191018</v>
      </c>
      <c r="R325" s="94">
        <f>I325/D325</f>
        <v>4.1497286367989785</v>
      </c>
      <c r="S325" s="94">
        <f>J325/D325</f>
        <v>1.5820368202617856</v>
      </c>
      <c r="T325" s="94">
        <f>K325/D325</f>
        <v>11.073129722251782</v>
      </c>
      <c r="U325" s="94">
        <f>K325/E325</f>
        <v>21.032097667461699</v>
      </c>
      <c r="V325" s="81">
        <v>108443</v>
      </c>
      <c r="W325" s="79" t="s">
        <v>1649</v>
      </c>
      <c r="X325" s="79" t="s">
        <v>1650</v>
      </c>
      <c r="Y325" s="81">
        <v>15375</v>
      </c>
      <c r="Z325" s="81">
        <v>22280</v>
      </c>
      <c r="AA325" s="81">
        <v>4491</v>
      </c>
      <c r="AB325" s="79" t="s">
        <v>1648</v>
      </c>
      <c r="AC325" s="81">
        <v>9072</v>
      </c>
      <c r="AD325" s="79" t="s">
        <v>1649</v>
      </c>
      <c r="AE325" s="79" t="s">
        <v>1649</v>
      </c>
      <c r="AF325" s="95">
        <v>0</v>
      </c>
    </row>
    <row r="326" spans="1:32" ht="15.75" thickBot="1" x14ac:dyDescent="0.3">
      <c r="A326" s="79" t="s">
        <v>684</v>
      </c>
      <c r="B326" s="93" t="s">
        <v>327</v>
      </c>
      <c r="C326" s="79" t="s">
        <v>39</v>
      </c>
      <c r="D326" s="81">
        <v>40898</v>
      </c>
      <c r="E326" s="81">
        <v>14162</v>
      </c>
      <c r="F326" s="81">
        <v>163134</v>
      </c>
      <c r="G326" s="81">
        <v>127021</v>
      </c>
      <c r="H326" s="81">
        <v>25261</v>
      </c>
      <c r="I326" s="81">
        <v>65666</v>
      </c>
      <c r="J326" s="81">
        <v>10575</v>
      </c>
      <c r="K326" s="81">
        <v>101502</v>
      </c>
      <c r="L326" s="81">
        <v>12405</v>
      </c>
      <c r="M326" s="81">
        <v>90927</v>
      </c>
      <c r="N326" s="81">
        <v>22980</v>
      </c>
      <c r="O326" s="81">
        <v>113907</v>
      </c>
      <c r="P326" s="94">
        <f>O326/D326</f>
        <v>2.785148418015551</v>
      </c>
      <c r="Q326" s="94">
        <f>H326/D326</f>
        <v>0.61765856521101281</v>
      </c>
      <c r="R326" s="94">
        <f>I326/D326</f>
        <v>1.6056041860237664</v>
      </c>
      <c r="S326" s="94">
        <f>J326/D326</f>
        <v>0.25857010122744389</v>
      </c>
      <c r="T326" s="94">
        <f>K326/D326</f>
        <v>2.4818328524622233</v>
      </c>
      <c r="U326" s="94">
        <f>K326/E326</f>
        <v>7.1672080214658944</v>
      </c>
      <c r="V326" s="81">
        <v>45023</v>
      </c>
      <c r="W326" s="79" t="s">
        <v>1648</v>
      </c>
      <c r="X326" s="79" t="s">
        <v>1650</v>
      </c>
      <c r="Y326" s="81">
        <v>9363</v>
      </c>
      <c r="Z326" s="81">
        <v>3725</v>
      </c>
      <c r="AA326" s="81">
        <v>66332</v>
      </c>
      <c r="AB326" s="79" t="s">
        <v>1648</v>
      </c>
      <c r="AC326" s="81">
        <v>53927</v>
      </c>
      <c r="AD326" s="79" t="s">
        <v>1648</v>
      </c>
      <c r="AE326" s="79" t="s">
        <v>1648</v>
      </c>
      <c r="AF326" s="81">
        <v>48</v>
      </c>
    </row>
    <row r="327" spans="1:32" ht="15.75" thickBot="1" x14ac:dyDescent="0.3">
      <c r="A327" s="79" t="s">
        <v>686</v>
      </c>
      <c r="B327" s="93" t="s">
        <v>385</v>
      </c>
      <c r="C327" s="79" t="s">
        <v>39</v>
      </c>
      <c r="D327" s="81">
        <v>41786</v>
      </c>
      <c r="E327" s="81">
        <v>12997</v>
      </c>
      <c r="F327" s="81">
        <v>108000</v>
      </c>
      <c r="G327" s="81">
        <v>76000</v>
      </c>
      <c r="H327" s="81">
        <v>12180</v>
      </c>
      <c r="I327" s="81">
        <v>55634</v>
      </c>
      <c r="J327" s="81">
        <v>25414</v>
      </c>
      <c r="K327" s="81">
        <v>93228</v>
      </c>
      <c r="L327" s="81">
        <v>0</v>
      </c>
      <c r="M327" s="81">
        <v>67814</v>
      </c>
      <c r="N327" s="81">
        <v>25414</v>
      </c>
      <c r="O327" s="81">
        <v>93228</v>
      </c>
      <c r="P327" s="94">
        <f>O327/D327</f>
        <v>2.2310821806346621</v>
      </c>
      <c r="Q327" s="94">
        <f>H327/D327</f>
        <v>0.29148518642607574</v>
      </c>
      <c r="R327" s="94">
        <f>I327/D327</f>
        <v>1.3314028622026517</v>
      </c>
      <c r="S327" s="94">
        <f>J327/D327</f>
        <v>0.60819413200593497</v>
      </c>
      <c r="T327" s="94">
        <f>K327/D327</f>
        <v>2.2310821806346621</v>
      </c>
      <c r="U327" s="94">
        <f>K327/E327</f>
        <v>7.1730399322920677</v>
      </c>
      <c r="V327" s="81">
        <v>19422</v>
      </c>
      <c r="W327" s="79" t="s">
        <v>1648</v>
      </c>
      <c r="X327" s="79" t="s">
        <v>1650</v>
      </c>
      <c r="Y327" s="81">
        <v>11040</v>
      </c>
      <c r="Z327" s="81">
        <v>10749</v>
      </c>
      <c r="AA327" s="81">
        <v>13832</v>
      </c>
      <c r="AB327" s="79" t="s">
        <v>1648</v>
      </c>
      <c r="AC327" s="81">
        <v>81484</v>
      </c>
      <c r="AD327" s="79" t="s">
        <v>1648</v>
      </c>
      <c r="AE327" s="79" t="s">
        <v>1649</v>
      </c>
      <c r="AF327" s="95">
        <v>0</v>
      </c>
    </row>
    <row r="328" spans="1:32" ht="15.75" thickBot="1" x14ac:dyDescent="0.3">
      <c r="A328" s="79" t="s">
        <v>688</v>
      </c>
      <c r="B328" s="93" t="s">
        <v>430</v>
      </c>
      <c r="C328" s="79" t="s">
        <v>39</v>
      </c>
      <c r="D328" s="81">
        <v>40771</v>
      </c>
      <c r="E328" s="81">
        <v>7224</v>
      </c>
      <c r="F328" s="81">
        <v>120000</v>
      </c>
      <c r="G328" s="81">
        <v>10500</v>
      </c>
      <c r="H328" s="81">
        <v>54255</v>
      </c>
      <c r="I328" s="81">
        <v>93030</v>
      </c>
      <c r="J328" s="81">
        <v>24282</v>
      </c>
      <c r="K328" s="81">
        <v>171567</v>
      </c>
      <c r="L328" s="77" t="s">
        <v>1660</v>
      </c>
      <c r="M328" s="81">
        <v>147285</v>
      </c>
      <c r="N328" s="81">
        <v>24282</v>
      </c>
      <c r="O328" s="81">
        <v>171567</v>
      </c>
      <c r="P328" s="94">
        <f>O328/D328</f>
        <v>4.2080645556890923</v>
      </c>
      <c r="Q328" s="94">
        <f>H328/D328</f>
        <v>1.3307252704127934</v>
      </c>
      <c r="R328" s="94">
        <f>I328/D328</f>
        <v>2.2817689043683012</v>
      </c>
      <c r="S328" s="94">
        <f>J328/D328</f>
        <v>0.5955703809079983</v>
      </c>
      <c r="T328" s="94">
        <f>K328/D328</f>
        <v>4.2080645556890923</v>
      </c>
      <c r="U328" s="94">
        <f>K328/E328</f>
        <v>23.749584717607974</v>
      </c>
      <c r="V328" s="81">
        <v>8750</v>
      </c>
      <c r="W328" s="79" t="s">
        <v>1649</v>
      </c>
      <c r="X328" s="79" t="s">
        <v>1650</v>
      </c>
      <c r="Y328" s="81">
        <v>6432</v>
      </c>
      <c r="Z328" s="81">
        <v>9689</v>
      </c>
      <c r="AA328" s="81">
        <v>11228</v>
      </c>
      <c r="AB328" s="79" t="s">
        <v>1648</v>
      </c>
      <c r="AC328" s="81">
        <v>8476</v>
      </c>
      <c r="AD328" s="79" t="s">
        <v>1649</v>
      </c>
      <c r="AE328" s="79" t="s">
        <v>1649</v>
      </c>
      <c r="AF328" s="95">
        <v>0</v>
      </c>
    </row>
    <row r="329" spans="1:32" ht="15.75" thickBot="1" x14ac:dyDescent="0.3">
      <c r="A329" s="79" t="s">
        <v>690</v>
      </c>
      <c r="B329" s="93" t="s">
        <v>436</v>
      </c>
      <c r="C329" s="79" t="s">
        <v>39</v>
      </c>
      <c r="D329" s="81">
        <v>38144</v>
      </c>
      <c r="E329" s="81">
        <v>7379</v>
      </c>
      <c r="F329" s="81">
        <v>8788</v>
      </c>
      <c r="G329" s="81">
        <v>7267</v>
      </c>
      <c r="H329" s="81">
        <v>8212</v>
      </c>
      <c r="I329" s="81">
        <v>13846</v>
      </c>
      <c r="J329" s="81">
        <v>5948</v>
      </c>
      <c r="K329" s="81">
        <v>28006</v>
      </c>
      <c r="L329" s="81">
        <v>2753</v>
      </c>
      <c r="M329" s="81">
        <v>22058</v>
      </c>
      <c r="N329" s="81">
        <v>8701</v>
      </c>
      <c r="O329" s="81">
        <v>30759</v>
      </c>
      <c r="P329" s="94">
        <f>O329/D329</f>
        <v>0.80639156879194629</v>
      </c>
      <c r="Q329" s="94">
        <f>H329/D329</f>
        <v>0.21528942953020133</v>
      </c>
      <c r="R329" s="94">
        <f>I329/D329</f>
        <v>0.36299286912751677</v>
      </c>
      <c r="S329" s="94">
        <f>J329/D329</f>
        <v>0.15593540268456377</v>
      </c>
      <c r="T329" s="94">
        <f>K329/D329</f>
        <v>0.73421770134228193</v>
      </c>
      <c r="U329" s="94">
        <f>K329/E329</f>
        <v>3.7953652256403307</v>
      </c>
      <c r="V329" s="81">
        <v>951</v>
      </c>
      <c r="W329" s="79" t="s">
        <v>1648</v>
      </c>
      <c r="X329" s="79" t="s">
        <v>1651</v>
      </c>
      <c r="Y329" s="81">
        <v>8676</v>
      </c>
      <c r="Z329" s="81">
        <v>5102</v>
      </c>
      <c r="AA329" s="81">
        <v>6371</v>
      </c>
      <c r="AB329" s="79" t="s">
        <v>1648</v>
      </c>
      <c r="AC329" s="81">
        <v>993</v>
      </c>
      <c r="AD329" s="79" t="s">
        <v>1649</v>
      </c>
      <c r="AE329" s="79" t="s">
        <v>1649</v>
      </c>
      <c r="AF329" s="95">
        <v>0</v>
      </c>
    </row>
    <row r="330" spans="1:32" ht="15.75" thickBot="1" x14ac:dyDescent="0.3">
      <c r="A330" s="96" t="s">
        <v>692</v>
      </c>
      <c r="B330" s="93" t="s">
        <v>447</v>
      </c>
      <c r="C330" s="79" t="s">
        <v>39</v>
      </c>
      <c r="D330" s="81">
        <v>35540</v>
      </c>
      <c r="E330" s="81">
        <v>21158</v>
      </c>
      <c r="F330" s="81">
        <v>111966</v>
      </c>
      <c r="G330" s="81">
        <v>44122</v>
      </c>
      <c r="H330" s="81">
        <v>109898</v>
      </c>
      <c r="I330" s="81">
        <v>268184</v>
      </c>
      <c r="J330" s="81">
        <v>88594</v>
      </c>
      <c r="K330" s="81">
        <v>466676</v>
      </c>
      <c r="L330" s="81">
        <v>58883</v>
      </c>
      <c r="M330" s="81">
        <v>378082</v>
      </c>
      <c r="N330" s="81">
        <v>147477</v>
      </c>
      <c r="O330" s="81">
        <v>525559</v>
      </c>
      <c r="P330" s="94">
        <f>O330/D330</f>
        <v>14.787816544738323</v>
      </c>
      <c r="Q330" s="94">
        <f>H330/D330</f>
        <v>3.0922341024198086</v>
      </c>
      <c r="R330" s="94">
        <f>I330/D330</f>
        <v>7.5459763646595386</v>
      </c>
      <c r="S330" s="94">
        <f>J330/D330</f>
        <v>2.4927968486212717</v>
      </c>
      <c r="T330" s="94">
        <f>K330/D330</f>
        <v>13.13100731570062</v>
      </c>
      <c r="U330" s="94">
        <f>K330/E330</f>
        <v>22.056716135740619</v>
      </c>
      <c r="V330" s="81">
        <v>19413</v>
      </c>
      <c r="W330" s="79" t="s">
        <v>1648</v>
      </c>
      <c r="X330" s="79" t="s">
        <v>1651</v>
      </c>
      <c r="Y330" s="81">
        <v>12146</v>
      </c>
      <c r="Z330" s="81">
        <v>10582</v>
      </c>
      <c r="AA330" s="81">
        <v>12678</v>
      </c>
      <c r="AB330" s="79" t="s">
        <v>1648</v>
      </c>
      <c r="AC330" s="81">
        <v>224294</v>
      </c>
      <c r="AD330" s="79" t="s">
        <v>1648</v>
      </c>
      <c r="AE330" s="79" t="s">
        <v>1648</v>
      </c>
      <c r="AF330" s="81">
        <v>253</v>
      </c>
    </row>
    <row r="331" spans="1:32" ht="15.75" thickBot="1" x14ac:dyDescent="0.3">
      <c r="A331" s="79" t="s">
        <v>694</v>
      </c>
      <c r="B331" s="93" t="s">
        <v>463</v>
      </c>
      <c r="C331" s="79" t="s">
        <v>39</v>
      </c>
      <c r="D331" s="81">
        <v>29694</v>
      </c>
      <c r="E331" s="81">
        <v>2297</v>
      </c>
      <c r="F331" s="81">
        <v>69506</v>
      </c>
      <c r="G331" s="81">
        <v>13642</v>
      </c>
      <c r="H331" s="81">
        <v>19582</v>
      </c>
      <c r="I331" s="81">
        <v>27708</v>
      </c>
      <c r="J331" s="81">
        <v>13584</v>
      </c>
      <c r="K331" s="81">
        <v>60874</v>
      </c>
      <c r="L331" s="81">
        <v>475</v>
      </c>
      <c r="M331" s="81">
        <v>47290</v>
      </c>
      <c r="N331" s="81">
        <v>14059</v>
      </c>
      <c r="O331" s="81">
        <v>61349</v>
      </c>
      <c r="P331" s="94">
        <f>O331/D331</f>
        <v>2.0660402774971374</v>
      </c>
      <c r="Q331" s="94">
        <f>H331/D331</f>
        <v>0.65945982353337373</v>
      </c>
      <c r="R331" s="94">
        <f>I331/D331</f>
        <v>0.93311780157607593</v>
      </c>
      <c r="S331" s="94">
        <f>J331/D331</f>
        <v>0.45746615477874319</v>
      </c>
      <c r="T331" s="94">
        <f>K331/D331</f>
        <v>2.0500437798881928</v>
      </c>
      <c r="U331" s="94">
        <f>K331/E331</f>
        <v>26.501523726599913</v>
      </c>
      <c r="V331" s="81">
        <v>5161</v>
      </c>
      <c r="W331" s="79" t="s">
        <v>1648</v>
      </c>
      <c r="X331" s="79" t="s">
        <v>1650</v>
      </c>
      <c r="Y331" s="81">
        <v>13396</v>
      </c>
      <c r="Z331" s="81">
        <v>8825</v>
      </c>
      <c r="AA331" s="81">
        <v>24472</v>
      </c>
      <c r="AB331" s="79" t="s">
        <v>1648</v>
      </c>
      <c r="AC331" s="81">
        <v>4737</v>
      </c>
      <c r="AD331" s="79" t="s">
        <v>1649</v>
      </c>
      <c r="AE331" s="79" t="s">
        <v>1648</v>
      </c>
      <c r="AF331" s="81">
        <v>0</v>
      </c>
    </row>
    <row r="332" spans="1:32" ht="15.75" thickBot="1" x14ac:dyDescent="0.3">
      <c r="A332" s="79" t="s">
        <v>696</v>
      </c>
      <c r="B332" s="93" t="s">
        <v>483</v>
      </c>
      <c r="C332" s="79" t="s">
        <v>39</v>
      </c>
      <c r="D332" s="81">
        <v>28646</v>
      </c>
      <c r="E332" s="81">
        <v>15011</v>
      </c>
      <c r="F332" s="81">
        <v>224349</v>
      </c>
      <c r="G332" s="81">
        <v>47035</v>
      </c>
      <c r="H332" s="81">
        <v>81831</v>
      </c>
      <c r="I332" s="81">
        <v>197567</v>
      </c>
      <c r="J332" s="81">
        <v>79445</v>
      </c>
      <c r="K332" s="81">
        <v>358843</v>
      </c>
      <c r="L332" s="81">
        <v>4454</v>
      </c>
      <c r="M332" s="81">
        <v>279398</v>
      </c>
      <c r="N332" s="81">
        <v>83899</v>
      </c>
      <c r="O332" s="81">
        <v>363297</v>
      </c>
      <c r="P332" s="94">
        <f>O332/D332</f>
        <v>12.682294212106402</v>
      </c>
      <c r="Q332" s="94">
        <f>H332/D332</f>
        <v>2.8566291977937581</v>
      </c>
      <c r="R332" s="94">
        <f>I332/D332</f>
        <v>6.8968442365426235</v>
      </c>
      <c r="S332" s="94">
        <f>J332/D332</f>
        <v>2.7733365914961947</v>
      </c>
      <c r="T332" s="94">
        <f>K332/D332</f>
        <v>12.526810025832576</v>
      </c>
      <c r="U332" s="94">
        <f>K332/E332</f>
        <v>23.905336086869628</v>
      </c>
      <c r="V332" s="81">
        <v>520</v>
      </c>
      <c r="W332" s="79" t="s">
        <v>1648</v>
      </c>
      <c r="X332" s="79" t="s">
        <v>1650</v>
      </c>
      <c r="Y332" s="81">
        <v>8842</v>
      </c>
      <c r="Z332" s="81">
        <v>6245</v>
      </c>
      <c r="AA332" s="81">
        <v>29957</v>
      </c>
      <c r="AB332" s="79" t="s">
        <v>1648</v>
      </c>
      <c r="AC332" s="81">
        <v>105262</v>
      </c>
      <c r="AD332" s="79" t="s">
        <v>1648</v>
      </c>
      <c r="AE332" s="79" t="s">
        <v>1648</v>
      </c>
      <c r="AF332" s="81">
        <v>13</v>
      </c>
    </row>
    <row r="333" spans="1:32" ht="15.75" thickBot="1" x14ac:dyDescent="0.3">
      <c r="A333" s="79" t="s">
        <v>698</v>
      </c>
      <c r="B333" s="93" t="s">
        <v>537</v>
      </c>
      <c r="C333" s="79" t="s">
        <v>39</v>
      </c>
      <c r="D333" s="81">
        <v>34467</v>
      </c>
      <c r="E333" s="81">
        <v>15787</v>
      </c>
      <c r="F333" s="81">
        <v>78137</v>
      </c>
      <c r="G333" s="81">
        <v>198586</v>
      </c>
      <c r="H333" s="81">
        <v>68050</v>
      </c>
      <c r="I333" s="81">
        <v>90498</v>
      </c>
      <c r="J333" s="81">
        <v>44324</v>
      </c>
      <c r="K333" s="81">
        <v>202872</v>
      </c>
      <c r="L333" s="81">
        <v>53290</v>
      </c>
      <c r="M333" s="81">
        <v>158548</v>
      </c>
      <c r="N333" s="81">
        <v>97614</v>
      </c>
      <c r="O333" s="81">
        <v>256162</v>
      </c>
      <c r="P333" s="94">
        <f>O333/D333</f>
        <v>7.4320944671714972</v>
      </c>
      <c r="Q333" s="94">
        <f>H333/D333</f>
        <v>1.9743522789914991</v>
      </c>
      <c r="R333" s="94">
        <f>I333/D333</f>
        <v>2.6256419183566888</v>
      </c>
      <c r="S333" s="94">
        <f>J333/D333</f>
        <v>1.2859836945484087</v>
      </c>
      <c r="T333" s="94">
        <f>K333/D333</f>
        <v>5.885977891896597</v>
      </c>
      <c r="U333" s="94">
        <f>K333/E333</f>
        <v>12.850573256476848</v>
      </c>
      <c r="V333" s="81">
        <v>18765</v>
      </c>
      <c r="W333" s="79" t="s">
        <v>1648</v>
      </c>
      <c r="X333" s="79" t="s">
        <v>1651</v>
      </c>
      <c r="Y333" s="81">
        <v>8046</v>
      </c>
      <c r="Z333" s="81">
        <v>28356</v>
      </c>
      <c r="AA333" s="81">
        <v>5145</v>
      </c>
      <c r="AB333" s="79" t="s">
        <v>1648</v>
      </c>
      <c r="AC333" s="81">
        <v>5783</v>
      </c>
      <c r="AD333" s="79" t="s">
        <v>1648</v>
      </c>
      <c r="AE333" s="79" t="s">
        <v>1648</v>
      </c>
      <c r="AF333" s="81">
        <v>95</v>
      </c>
    </row>
    <row r="334" spans="1:32" ht="15.75" thickBot="1" x14ac:dyDescent="0.3">
      <c r="A334" s="79" t="s">
        <v>700</v>
      </c>
      <c r="B334" s="93" t="s">
        <v>543</v>
      </c>
      <c r="C334" s="79" t="s">
        <v>39</v>
      </c>
      <c r="D334" s="81">
        <v>29319</v>
      </c>
      <c r="E334" s="81">
        <v>10123</v>
      </c>
      <c r="F334" s="81">
        <v>128000</v>
      </c>
      <c r="G334" s="81">
        <v>9312</v>
      </c>
      <c r="H334" s="81">
        <v>28985</v>
      </c>
      <c r="I334" s="81">
        <v>32987</v>
      </c>
      <c r="J334" s="81">
        <v>7804</v>
      </c>
      <c r="K334" s="81">
        <v>69776</v>
      </c>
      <c r="L334" s="81">
        <v>0</v>
      </c>
      <c r="M334" s="81">
        <v>61972</v>
      </c>
      <c r="N334" s="81">
        <v>7804</v>
      </c>
      <c r="O334" s="81">
        <v>69776</v>
      </c>
      <c r="P334" s="94">
        <f>O334/D334</f>
        <v>2.3798901736075582</v>
      </c>
      <c r="Q334" s="94">
        <f>H334/D334</f>
        <v>0.9886080698523142</v>
      </c>
      <c r="R334" s="94">
        <f>I334/D334</f>
        <v>1.1251065861727889</v>
      </c>
      <c r="S334" s="94">
        <f>J334/D334</f>
        <v>0.26617551758245506</v>
      </c>
      <c r="T334" s="94">
        <f>K334/D334</f>
        <v>2.3798901736075582</v>
      </c>
      <c r="U334" s="94">
        <f>K334/E334</f>
        <v>6.892818334485824</v>
      </c>
      <c r="V334" s="81">
        <v>1852</v>
      </c>
      <c r="W334" s="79" t="s">
        <v>1648</v>
      </c>
      <c r="X334" s="79" t="s">
        <v>1651</v>
      </c>
      <c r="Y334" s="81">
        <v>8456</v>
      </c>
      <c r="Z334" s="81">
        <v>8204</v>
      </c>
      <c r="AA334" s="81">
        <v>17516</v>
      </c>
      <c r="AB334" s="79" t="s">
        <v>1648</v>
      </c>
      <c r="AC334" s="81">
        <v>7568</v>
      </c>
      <c r="AD334" s="79" t="s">
        <v>1648</v>
      </c>
      <c r="AE334" s="79" t="s">
        <v>1649</v>
      </c>
      <c r="AF334" s="95">
        <v>0</v>
      </c>
    </row>
    <row r="335" spans="1:32" ht="15.75" thickBot="1" x14ac:dyDescent="0.3">
      <c r="A335" s="79" t="s">
        <v>702</v>
      </c>
      <c r="B335" s="93" t="s">
        <v>549</v>
      </c>
      <c r="C335" s="79" t="s">
        <v>39</v>
      </c>
      <c r="D335" s="81">
        <v>35394</v>
      </c>
      <c r="E335" s="81">
        <v>23087</v>
      </c>
      <c r="F335" s="81">
        <v>184746</v>
      </c>
      <c r="G335" s="81">
        <v>278982</v>
      </c>
      <c r="H335" s="81">
        <v>173612</v>
      </c>
      <c r="I335" s="81">
        <v>197737</v>
      </c>
      <c r="J335" s="81">
        <v>117808</v>
      </c>
      <c r="K335" s="81">
        <v>489157</v>
      </c>
      <c r="L335" s="81">
        <v>96935</v>
      </c>
      <c r="M335" s="81">
        <v>371349</v>
      </c>
      <c r="N335" s="81">
        <v>214743</v>
      </c>
      <c r="O335" s="81">
        <v>586092</v>
      </c>
      <c r="P335" s="94">
        <f>O335/D335</f>
        <v>16.559077809798271</v>
      </c>
      <c r="Q335" s="94">
        <f>H335/D335</f>
        <v>4.9051251624569137</v>
      </c>
      <c r="R335" s="94">
        <f>I335/D335</f>
        <v>5.5867378651748885</v>
      </c>
      <c r="S335" s="94">
        <f>J335/D335</f>
        <v>3.3284737526134371</v>
      </c>
      <c r="T335" s="94">
        <f>K335/D335</f>
        <v>13.82033678024524</v>
      </c>
      <c r="U335" s="94">
        <f>K335/E335</f>
        <v>21.187551435873001</v>
      </c>
      <c r="V335" s="81">
        <v>31928</v>
      </c>
      <c r="W335" s="79" t="s">
        <v>1648</v>
      </c>
      <c r="X335" s="79" t="s">
        <v>1650</v>
      </c>
      <c r="Y335" s="81">
        <v>9732</v>
      </c>
      <c r="Z335" s="81">
        <v>9259</v>
      </c>
      <c r="AA335" s="81">
        <v>19189</v>
      </c>
      <c r="AB335" s="79" t="s">
        <v>1648</v>
      </c>
      <c r="AC335" s="81">
        <v>13669</v>
      </c>
      <c r="AD335" s="79" t="s">
        <v>1648</v>
      </c>
      <c r="AE335" s="79" t="s">
        <v>1649</v>
      </c>
      <c r="AF335" s="95">
        <v>0</v>
      </c>
    </row>
    <row r="336" spans="1:32" ht="15.75" thickBot="1" x14ac:dyDescent="0.3">
      <c r="A336" s="79" t="s">
        <v>704</v>
      </c>
      <c r="B336" s="93" t="s">
        <v>577</v>
      </c>
      <c r="C336" s="79" t="s">
        <v>39</v>
      </c>
      <c r="D336" s="81">
        <v>36441</v>
      </c>
      <c r="E336" s="81">
        <v>20598</v>
      </c>
      <c r="F336" s="81">
        <v>80703</v>
      </c>
      <c r="G336" s="81">
        <v>139586</v>
      </c>
      <c r="H336" s="81">
        <v>58173</v>
      </c>
      <c r="I336" s="81">
        <v>73262</v>
      </c>
      <c r="J336" s="81">
        <v>42116</v>
      </c>
      <c r="K336" s="81">
        <v>173551</v>
      </c>
      <c r="L336" s="81">
        <v>14545</v>
      </c>
      <c r="M336" s="81">
        <v>131435</v>
      </c>
      <c r="N336" s="81">
        <v>56661</v>
      </c>
      <c r="O336" s="81">
        <v>188096</v>
      </c>
      <c r="P336" s="94">
        <f>O336/D336</f>
        <v>5.1616585713893688</v>
      </c>
      <c r="Q336" s="94">
        <f>H336/D336</f>
        <v>1.5963612414587964</v>
      </c>
      <c r="R336" s="94">
        <f>I336/D336</f>
        <v>2.010427814823962</v>
      </c>
      <c r="S336" s="94">
        <f>J336/D336</f>
        <v>1.1557311819104854</v>
      </c>
      <c r="T336" s="94">
        <f>K336/D336</f>
        <v>4.7625202381932441</v>
      </c>
      <c r="U336" s="94">
        <f>K336/E336</f>
        <v>8.4256238469754337</v>
      </c>
      <c r="V336" s="81">
        <v>18733</v>
      </c>
      <c r="W336" s="79" t="s">
        <v>1648</v>
      </c>
      <c r="X336" s="79" t="s">
        <v>1651</v>
      </c>
      <c r="Y336" s="81">
        <v>5613</v>
      </c>
      <c r="Z336" s="81">
        <v>6172</v>
      </c>
      <c r="AA336" s="81">
        <v>10624</v>
      </c>
      <c r="AB336" s="79" t="s">
        <v>1648</v>
      </c>
      <c r="AC336" s="81">
        <v>9922</v>
      </c>
      <c r="AD336" s="79" t="s">
        <v>1648</v>
      </c>
      <c r="AE336" s="79" t="s">
        <v>1649</v>
      </c>
      <c r="AF336" s="95">
        <v>0</v>
      </c>
    </row>
    <row r="337" spans="1:32" ht="15.75" thickBot="1" x14ac:dyDescent="0.3">
      <c r="A337" s="79" t="s">
        <v>706</v>
      </c>
      <c r="B337" s="93" t="s">
        <v>587</v>
      </c>
      <c r="C337" s="79" t="s">
        <v>39</v>
      </c>
      <c r="D337" s="81">
        <v>36656</v>
      </c>
      <c r="E337" s="81">
        <v>65918</v>
      </c>
      <c r="F337" s="81">
        <v>314364</v>
      </c>
      <c r="G337" s="81">
        <v>2785484</v>
      </c>
      <c r="H337" s="81">
        <v>277164</v>
      </c>
      <c r="I337" s="81">
        <v>392656</v>
      </c>
      <c r="J337" s="81">
        <v>95249</v>
      </c>
      <c r="K337" s="81">
        <v>765069</v>
      </c>
      <c r="L337" s="81">
        <v>81919</v>
      </c>
      <c r="M337" s="81">
        <v>669820</v>
      </c>
      <c r="N337" s="81">
        <v>177168</v>
      </c>
      <c r="O337" s="81">
        <v>846988</v>
      </c>
      <c r="P337" s="94">
        <f>O337/D337</f>
        <v>23.10639458751637</v>
      </c>
      <c r="Q337" s="94">
        <f>H337/D337</f>
        <v>7.5612178088171103</v>
      </c>
      <c r="R337" s="94">
        <f>I337/D337</f>
        <v>10.711916193801834</v>
      </c>
      <c r="S337" s="94">
        <f>J337/D337</f>
        <v>2.5984559144478392</v>
      </c>
      <c r="T337" s="94">
        <f>K337/D337</f>
        <v>20.871589917066782</v>
      </c>
      <c r="U337" s="94">
        <f>K337/E337</f>
        <v>11.606374586607604</v>
      </c>
      <c r="V337" s="81">
        <v>48548</v>
      </c>
      <c r="W337" s="79" t="s">
        <v>1648</v>
      </c>
      <c r="X337" s="79" t="s">
        <v>1651</v>
      </c>
      <c r="Y337" s="81">
        <v>15273</v>
      </c>
      <c r="Z337" s="81">
        <v>15501</v>
      </c>
      <c r="AA337" s="81">
        <v>30326</v>
      </c>
      <c r="AB337" s="79" t="s">
        <v>1648</v>
      </c>
      <c r="AC337" s="81">
        <v>152924</v>
      </c>
      <c r="AD337" s="79" t="s">
        <v>1648</v>
      </c>
      <c r="AE337" s="79" t="s">
        <v>1649</v>
      </c>
      <c r="AF337" s="95">
        <v>0</v>
      </c>
    </row>
    <row r="338" spans="1:32" ht="15.75" thickBot="1" x14ac:dyDescent="0.3">
      <c r="A338" s="79" t="s">
        <v>708</v>
      </c>
      <c r="B338" s="93" t="s">
        <v>615</v>
      </c>
      <c r="C338" s="79" t="s">
        <v>39</v>
      </c>
      <c r="D338" s="81">
        <v>48362</v>
      </c>
      <c r="E338" s="81">
        <v>14570</v>
      </c>
      <c r="F338" s="81">
        <v>156054</v>
      </c>
      <c r="G338" s="81">
        <v>57706</v>
      </c>
      <c r="H338" s="81">
        <v>80073</v>
      </c>
      <c r="I338" s="81">
        <v>136499</v>
      </c>
      <c r="J338" s="81">
        <v>33529</v>
      </c>
      <c r="K338" s="81">
        <v>250101</v>
      </c>
      <c r="L338" s="81">
        <v>28966</v>
      </c>
      <c r="M338" s="81">
        <v>216572</v>
      </c>
      <c r="N338" s="81">
        <v>62495</v>
      </c>
      <c r="O338" s="81">
        <v>279067</v>
      </c>
      <c r="P338" s="94">
        <f>O338/D338</f>
        <v>5.7703775691658743</v>
      </c>
      <c r="Q338" s="94">
        <f>H338/D338</f>
        <v>1.655700756792523</v>
      </c>
      <c r="R338" s="94">
        <f>I338/D338</f>
        <v>2.8224432405607707</v>
      </c>
      <c r="S338" s="94">
        <f>J338/D338</f>
        <v>0.69329225424920393</v>
      </c>
      <c r="T338" s="94">
        <f>K338/D338</f>
        <v>5.1714362516024979</v>
      </c>
      <c r="U338" s="94">
        <f>K338/E338</f>
        <v>17.165477007549761</v>
      </c>
      <c r="V338" s="81">
        <v>19444</v>
      </c>
      <c r="W338" s="79" t="s">
        <v>1648</v>
      </c>
      <c r="X338" s="79" t="s">
        <v>1651</v>
      </c>
      <c r="Y338" s="81">
        <v>37928</v>
      </c>
      <c r="Z338" s="81">
        <v>12653</v>
      </c>
      <c r="AA338" s="81">
        <v>33553</v>
      </c>
      <c r="AB338" s="79" t="s">
        <v>1648</v>
      </c>
      <c r="AC338" s="81">
        <v>122951</v>
      </c>
      <c r="AD338" s="79" t="s">
        <v>1648</v>
      </c>
      <c r="AE338" s="79" t="s">
        <v>1648</v>
      </c>
      <c r="AF338" s="81">
        <v>15</v>
      </c>
    </row>
    <row r="339" spans="1:32" ht="15.75" thickBot="1" x14ac:dyDescent="0.3">
      <c r="A339" s="79" t="s">
        <v>710</v>
      </c>
      <c r="B339" s="93" t="s">
        <v>639</v>
      </c>
      <c r="C339" s="79" t="s">
        <v>39</v>
      </c>
      <c r="D339" s="81">
        <v>33839</v>
      </c>
      <c r="E339" s="81">
        <v>13286</v>
      </c>
      <c r="F339" s="81">
        <v>110268</v>
      </c>
      <c r="G339" s="81">
        <v>44403</v>
      </c>
      <c r="H339" s="81">
        <v>103603</v>
      </c>
      <c r="I339" s="81">
        <v>153967</v>
      </c>
      <c r="J339" s="81">
        <v>43302</v>
      </c>
      <c r="K339" s="81">
        <v>300872</v>
      </c>
      <c r="L339" s="81">
        <v>0</v>
      </c>
      <c r="M339" s="81">
        <v>257570</v>
      </c>
      <c r="N339" s="81">
        <v>43302</v>
      </c>
      <c r="O339" s="81">
        <v>300872</v>
      </c>
      <c r="P339" s="94">
        <f>O339/D339</f>
        <v>8.8912792931233184</v>
      </c>
      <c r="Q339" s="94">
        <f>H339/D339</f>
        <v>3.061644847660983</v>
      </c>
      <c r="R339" s="94">
        <f>I339/D339</f>
        <v>4.5499867017346851</v>
      </c>
      <c r="S339" s="94">
        <f>J339/D339</f>
        <v>1.2796477437276514</v>
      </c>
      <c r="T339" s="94">
        <f>K339/D339</f>
        <v>8.8912792931233184</v>
      </c>
      <c r="U339" s="94">
        <f>K339/E339</f>
        <v>22.645792563600782</v>
      </c>
      <c r="V339" s="81">
        <v>7319</v>
      </c>
      <c r="W339" s="79" t="s">
        <v>1648</v>
      </c>
      <c r="X339" s="79" t="s">
        <v>1651</v>
      </c>
      <c r="Y339" s="81">
        <v>16765</v>
      </c>
      <c r="Z339" s="81">
        <v>15606</v>
      </c>
      <c r="AA339" s="81">
        <v>10506</v>
      </c>
      <c r="AB339" s="79" t="s">
        <v>1648</v>
      </c>
      <c r="AC339" s="81">
        <v>36935</v>
      </c>
      <c r="AD339" s="79" t="s">
        <v>1648</v>
      </c>
      <c r="AE339" s="79" t="s">
        <v>1648</v>
      </c>
      <c r="AF339" s="81">
        <v>24</v>
      </c>
    </row>
    <row r="340" spans="1:32" ht="15.75" thickBot="1" x14ac:dyDescent="0.3">
      <c r="A340" s="79" t="s">
        <v>712</v>
      </c>
      <c r="B340" s="93" t="s">
        <v>641</v>
      </c>
      <c r="C340" s="79" t="s">
        <v>39</v>
      </c>
      <c r="D340" s="81">
        <v>39868</v>
      </c>
      <c r="E340" s="81">
        <v>8850</v>
      </c>
      <c r="F340" s="81">
        <v>48357</v>
      </c>
      <c r="G340" s="81">
        <v>142679</v>
      </c>
      <c r="H340" s="81">
        <v>14714</v>
      </c>
      <c r="I340" s="81">
        <v>14606</v>
      </c>
      <c r="J340" s="81">
        <v>11577</v>
      </c>
      <c r="K340" s="81">
        <v>40897</v>
      </c>
      <c r="L340" s="81">
        <v>2364</v>
      </c>
      <c r="M340" s="81">
        <v>29320</v>
      </c>
      <c r="N340" s="81">
        <v>13941</v>
      </c>
      <c r="O340" s="81">
        <v>43261</v>
      </c>
      <c r="P340" s="94">
        <f>O340/D340</f>
        <v>1.0851058493026988</v>
      </c>
      <c r="Q340" s="94">
        <f>H340/D340</f>
        <v>0.36906792414969397</v>
      </c>
      <c r="R340" s="94">
        <f>I340/D340</f>
        <v>0.36635898464934286</v>
      </c>
      <c r="S340" s="94">
        <f>J340/D340</f>
        <v>0.29038326477375337</v>
      </c>
      <c r="T340" s="94">
        <f>K340/D340</f>
        <v>1.0258101735727903</v>
      </c>
      <c r="U340" s="94">
        <f>K340/E340</f>
        <v>4.621129943502825</v>
      </c>
      <c r="V340" s="81">
        <v>5554</v>
      </c>
      <c r="W340" s="79" t="s">
        <v>1648</v>
      </c>
      <c r="X340" s="79" t="s">
        <v>1651</v>
      </c>
      <c r="Y340" s="81">
        <v>9236</v>
      </c>
      <c r="Z340" s="81">
        <v>5648</v>
      </c>
      <c r="AA340" s="81">
        <v>3533</v>
      </c>
      <c r="AB340" s="79" t="s">
        <v>1648</v>
      </c>
      <c r="AC340" s="81">
        <v>3466</v>
      </c>
      <c r="AD340" s="79" t="s">
        <v>1648</v>
      </c>
      <c r="AE340" s="79" t="s">
        <v>1648</v>
      </c>
      <c r="AF340" s="81">
        <v>3</v>
      </c>
    </row>
    <row r="341" spans="1:32" ht="15.75" thickBot="1" x14ac:dyDescent="0.3">
      <c r="A341" s="79" t="s">
        <v>714</v>
      </c>
      <c r="B341" s="93" t="s">
        <v>645</v>
      </c>
      <c r="C341" s="79" t="s">
        <v>39</v>
      </c>
      <c r="D341" s="81">
        <v>47299</v>
      </c>
      <c r="E341" s="81">
        <v>17302</v>
      </c>
      <c r="F341" s="81">
        <v>67203</v>
      </c>
      <c r="G341" s="81">
        <v>61667</v>
      </c>
      <c r="H341" s="81">
        <v>26393</v>
      </c>
      <c r="I341" s="81">
        <v>70503</v>
      </c>
      <c r="J341" s="81">
        <v>16933</v>
      </c>
      <c r="K341" s="81">
        <v>113829</v>
      </c>
      <c r="L341" s="81">
        <v>2205</v>
      </c>
      <c r="M341" s="81">
        <v>96896</v>
      </c>
      <c r="N341" s="81">
        <v>19138</v>
      </c>
      <c r="O341" s="81">
        <v>116034</v>
      </c>
      <c r="P341" s="94">
        <f>O341/D341</f>
        <v>2.4532019704433496</v>
      </c>
      <c r="Q341" s="94">
        <f>H341/D341</f>
        <v>0.55800334045117228</v>
      </c>
      <c r="R341" s="94">
        <f>I341/D341</f>
        <v>1.4905811962197932</v>
      </c>
      <c r="S341" s="94">
        <f>J341/D341</f>
        <v>0.35799911203196683</v>
      </c>
      <c r="T341" s="94">
        <f>K341/D341</f>
        <v>2.4065836487029326</v>
      </c>
      <c r="U341" s="94">
        <f>K341/E341</f>
        <v>6.5789504103571845</v>
      </c>
      <c r="V341" s="81">
        <v>12747</v>
      </c>
      <c r="W341" s="79" t="s">
        <v>1648</v>
      </c>
      <c r="X341" s="79" t="s">
        <v>1650</v>
      </c>
      <c r="Y341" s="81">
        <v>12220</v>
      </c>
      <c r="Z341" s="81">
        <v>11350</v>
      </c>
      <c r="AA341" s="81">
        <v>13449</v>
      </c>
      <c r="AB341" s="79" t="s">
        <v>1648</v>
      </c>
      <c r="AC341" s="81">
        <v>31181</v>
      </c>
      <c r="AD341" s="79" t="s">
        <v>1648</v>
      </c>
      <c r="AE341" s="79" t="s">
        <v>1649</v>
      </c>
      <c r="AF341" s="95">
        <v>0</v>
      </c>
    </row>
    <row r="342" spans="1:32" ht="15.75" thickBot="1" x14ac:dyDescent="0.3">
      <c r="A342" s="79" t="s">
        <v>716</v>
      </c>
      <c r="B342" s="93" t="s">
        <v>663</v>
      </c>
      <c r="C342" s="79" t="s">
        <v>39</v>
      </c>
      <c r="D342" s="81">
        <v>26376</v>
      </c>
      <c r="E342" s="81">
        <v>13397</v>
      </c>
      <c r="F342" s="81">
        <v>197484</v>
      </c>
      <c r="G342" s="81">
        <v>158963</v>
      </c>
      <c r="H342" s="81">
        <v>131226</v>
      </c>
      <c r="I342" s="81">
        <v>149833</v>
      </c>
      <c r="J342" s="81">
        <v>57788</v>
      </c>
      <c r="K342" s="81">
        <v>338847</v>
      </c>
      <c r="L342" s="81">
        <v>61612</v>
      </c>
      <c r="M342" s="81">
        <v>281059</v>
      </c>
      <c r="N342" s="81">
        <v>119400</v>
      </c>
      <c r="O342" s="81">
        <v>400459</v>
      </c>
      <c r="P342" s="94">
        <f>O342/D342</f>
        <v>15.182703973309069</v>
      </c>
      <c r="Q342" s="94">
        <f>H342/D342</f>
        <v>4.9752047315741583</v>
      </c>
      <c r="R342" s="94">
        <f>I342/D342</f>
        <v>5.6806566575674857</v>
      </c>
      <c r="S342" s="94">
        <f>J342/D342</f>
        <v>2.1909311495298756</v>
      </c>
      <c r="T342" s="94">
        <f>K342/D342</f>
        <v>12.846792538671519</v>
      </c>
      <c r="U342" s="94">
        <f>K342/E342</f>
        <v>25.292752108681047</v>
      </c>
      <c r="V342" s="81">
        <v>18959</v>
      </c>
      <c r="W342" s="79" t="s">
        <v>1648</v>
      </c>
      <c r="X342" s="79" t="s">
        <v>1651</v>
      </c>
      <c r="Y342" s="81">
        <v>11580</v>
      </c>
      <c r="Z342" s="81">
        <v>11490</v>
      </c>
      <c r="AA342" s="81">
        <v>20712</v>
      </c>
      <c r="AB342" s="79" t="s">
        <v>1648</v>
      </c>
      <c r="AC342" s="81">
        <v>40589</v>
      </c>
      <c r="AD342" s="79" t="s">
        <v>1648</v>
      </c>
      <c r="AE342" s="79" t="s">
        <v>1648</v>
      </c>
      <c r="AF342" s="77" t="s">
        <v>1660</v>
      </c>
    </row>
    <row r="343" spans="1:32" ht="15.75" thickBot="1" x14ac:dyDescent="0.3">
      <c r="A343" s="79" t="s">
        <v>718</v>
      </c>
      <c r="B343" s="93" t="s">
        <v>687</v>
      </c>
      <c r="C343" s="79" t="s">
        <v>39</v>
      </c>
      <c r="D343" s="81">
        <v>27920</v>
      </c>
      <c r="E343" s="81">
        <v>7148</v>
      </c>
      <c r="F343" s="81">
        <v>30229</v>
      </c>
      <c r="G343" s="81">
        <v>30000</v>
      </c>
      <c r="H343" s="81">
        <v>16657</v>
      </c>
      <c r="I343" s="81">
        <v>21057</v>
      </c>
      <c r="J343" s="81">
        <v>11169</v>
      </c>
      <c r="K343" s="81">
        <v>48883</v>
      </c>
      <c r="L343" s="77" t="s">
        <v>1660</v>
      </c>
      <c r="M343" s="81">
        <v>37714</v>
      </c>
      <c r="N343" s="81">
        <v>11169</v>
      </c>
      <c r="O343" s="81">
        <v>48883</v>
      </c>
      <c r="P343" s="94">
        <f>O343/D343</f>
        <v>1.750823782234957</v>
      </c>
      <c r="Q343" s="94">
        <f>H343/D343</f>
        <v>0.59659742120343839</v>
      </c>
      <c r="R343" s="94">
        <f>I343/D343</f>
        <v>0.75419054441260747</v>
      </c>
      <c r="S343" s="94">
        <f>J343/D343</f>
        <v>0.40003581661891119</v>
      </c>
      <c r="T343" s="94">
        <f>K343/D343</f>
        <v>1.750823782234957</v>
      </c>
      <c r="U343" s="94">
        <f>K343/E343</f>
        <v>6.8386961387800786</v>
      </c>
      <c r="V343" s="81">
        <v>6767</v>
      </c>
      <c r="W343" s="79" t="s">
        <v>1648</v>
      </c>
      <c r="X343" s="79" t="s">
        <v>1650</v>
      </c>
      <c r="Y343" s="81">
        <v>1914</v>
      </c>
      <c r="Z343" s="81">
        <v>1937</v>
      </c>
      <c r="AA343" s="81">
        <v>5134</v>
      </c>
      <c r="AB343" s="79" t="s">
        <v>1648</v>
      </c>
      <c r="AC343" s="81">
        <v>2532</v>
      </c>
      <c r="AD343" s="79" t="s">
        <v>1648</v>
      </c>
      <c r="AE343" s="79" t="s">
        <v>1649</v>
      </c>
      <c r="AF343" s="95">
        <v>0</v>
      </c>
    </row>
    <row r="344" spans="1:32" ht="15.75" thickBot="1" x14ac:dyDescent="0.3">
      <c r="A344" s="79" t="s">
        <v>720</v>
      </c>
      <c r="B344" s="93" t="s">
        <v>697</v>
      </c>
      <c r="C344" s="79" t="s">
        <v>39</v>
      </c>
      <c r="D344" s="81">
        <v>30047</v>
      </c>
      <c r="E344" s="81">
        <v>5509</v>
      </c>
      <c r="F344" s="81">
        <v>63031</v>
      </c>
      <c r="G344" s="81">
        <v>18157</v>
      </c>
      <c r="H344" s="81">
        <v>12301</v>
      </c>
      <c r="I344" s="81">
        <v>53812</v>
      </c>
      <c r="J344" s="81">
        <v>11657</v>
      </c>
      <c r="K344" s="81">
        <v>77770</v>
      </c>
      <c r="L344" s="81">
        <v>770</v>
      </c>
      <c r="M344" s="81">
        <v>66113</v>
      </c>
      <c r="N344" s="81">
        <v>12427</v>
      </c>
      <c r="O344" s="81">
        <v>78540</v>
      </c>
      <c r="P344" s="94">
        <f>O344/D344</f>
        <v>2.6139048823509836</v>
      </c>
      <c r="Q344" s="94">
        <f>H344/D344</f>
        <v>0.40939195260758143</v>
      </c>
      <c r="R344" s="94">
        <f>I344/D344</f>
        <v>1.7909275468432788</v>
      </c>
      <c r="S344" s="94">
        <f>J344/D344</f>
        <v>0.38795886444570171</v>
      </c>
      <c r="T344" s="94">
        <f>K344/D344</f>
        <v>2.5882783638965621</v>
      </c>
      <c r="U344" s="94">
        <f>K344/E344</f>
        <v>14.11689961880559</v>
      </c>
      <c r="V344" s="81">
        <v>3264</v>
      </c>
      <c r="W344" s="79" t="s">
        <v>1648</v>
      </c>
      <c r="X344" s="79" t="s">
        <v>1650</v>
      </c>
      <c r="Y344" s="81">
        <v>8546</v>
      </c>
      <c r="Z344" s="81">
        <v>10493</v>
      </c>
      <c r="AA344" s="81">
        <v>11171</v>
      </c>
      <c r="AB344" s="79" t="s">
        <v>1648</v>
      </c>
      <c r="AC344" s="81">
        <v>3959</v>
      </c>
      <c r="AD344" s="79" t="s">
        <v>1648</v>
      </c>
      <c r="AE344" s="79" t="s">
        <v>1649</v>
      </c>
      <c r="AF344" s="95">
        <v>0</v>
      </c>
    </row>
    <row r="345" spans="1:32" ht="15.75" thickBot="1" x14ac:dyDescent="0.3">
      <c r="A345" s="79" t="s">
        <v>722</v>
      </c>
      <c r="B345" s="93" t="s">
        <v>715</v>
      </c>
      <c r="C345" s="79" t="s">
        <v>39</v>
      </c>
      <c r="D345" s="81">
        <v>43031</v>
      </c>
      <c r="E345" s="81">
        <v>18378</v>
      </c>
      <c r="F345" s="81">
        <v>242385</v>
      </c>
      <c r="G345" s="81">
        <v>170809</v>
      </c>
      <c r="H345" s="81">
        <v>53152</v>
      </c>
      <c r="I345" s="81">
        <v>51057</v>
      </c>
      <c r="J345" s="81">
        <v>13721</v>
      </c>
      <c r="K345" s="81">
        <v>117930</v>
      </c>
      <c r="L345" s="81">
        <v>94</v>
      </c>
      <c r="M345" s="81">
        <v>104209</v>
      </c>
      <c r="N345" s="81">
        <v>13815</v>
      </c>
      <c r="O345" s="81">
        <v>118024</v>
      </c>
      <c r="P345" s="94">
        <f>O345/D345</f>
        <v>2.7427668425088889</v>
      </c>
      <c r="Q345" s="94">
        <f>H345/D345</f>
        <v>1.2352025284097512</v>
      </c>
      <c r="R345" s="94">
        <f>I345/D345</f>
        <v>1.1865166972647627</v>
      </c>
      <c r="S345" s="94">
        <f>J345/D345</f>
        <v>0.31886314517440917</v>
      </c>
      <c r="T345" s="94">
        <f>K345/D345</f>
        <v>2.740582370848923</v>
      </c>
      <c r="U345" s="94">
        <f>K345/E345</f>
        <v>6.4169115246490369</v>
      </c>
      <c r="V345" s="81">
        <v>43680</v>
      </c>
      <c r="W345" s="79" t="s">
        <v>1648</v>
      </c>
      <c r="X345" s="79" t="s">
        <v>1650</v>
      </c>
      <c r="Y345" s="81">
        <v>7516</v>
      </c>
      <c r="Z345" s="81">
        <v>8876</v>
      </c>
      <c r="AA345" s="81">
        <v>33930</v>
      </c>
      <c r="AB345" s="79" t="s">
        <v>1648</v>
      </c>
      <c r="AC345" s="81">
        <v>34200</v>
      </c>
      <c r="AD345" s="79" t="s">
        <v>1648</v>
      </c>
      <c r="AE345" s="79" t="s">
        <v>1649</v>
      </c>
      <c r="AF345" s="95">
        <v>0</v>
      </c>
    </row>
    <row r="346" spans="1:32" ht="15.75" thickBot="1" x14ac:dyDescent="0.3">
      <c r="A346" s="79" t="s">
        <v>724</v>
      </c>
      <c r="B346" s="93" t="s">
        <v>759</v>
      </c>
      <c r="C346" s="79" t="s">
        <v>39</v>
      </c>
      <c r="D346" s="81">
        <v>44265</v>
      </c>
      <c r="E346" s="81">
        <v>16265</v>
      </c>
      <c r="F346" s="81">
        <v>184306</v>
      </c>
      <c r="G346" s="81">
        <v>55521</v>
      </c>
      <c r="H346" s="81">
        <v>104878</v>
      </c>
      <c r="I346" s="81">
        <v>135497</v>
      </c>
      <c r="J346" s="81">
        <v>29957</v>
      </c>
      <c r="K346" s="81">
        <v>270332</v>
      </c>
      <c r="L346" s="81">
        <v>24653</v>
      </c>
      <c r="M346" s="81">
        <v>240375</v>
      </c>
      <c r="N346" s="81">
        <v>54610</v>
      </c>
      <c r="O346" s="81">
        <v>294985</v>
      </c>
      <c r="P346" s="94">
        <f>O346/D346</f>
        <v>6.6640686772845363</v>
      </c>
      <c r="Q346" s="94">
        <f>H346/D346</f>
        <v>2.3693211340788434</v>
      </c>
      <c r="R346" s="94">
        <f>I346/D346</f>
        <v>3.0610414548740539</v>
      </c>
      <c r="S346" s="94">
        <f>J346/D346</f>
        <v>0.67676493843894725</v>
      </c>
      <c r="T346" s="94">
        <f>K346/D346</f>
        <v>6.1071275273918442</v>
      </c>
      <c r="U346" s="94">
        <f>K346/E346</f>
        <v>16.620473409160773</v>
      </c>
      <c r="V346" s="81">
        <v>36982</v>
      </c>
      <c r="W346" s="79" t="s">
        <v>1649</v>
      </c>
      <c r="X346" s="79" t="s">
        <v>1650</v>
      </c>
      <c r="Y346" s="81">
        <v>15924</v>
      </c>
      <c r="Z346" s="81">
        <v>17701</v>
      </c>
      <c r="AA346" s="81">
        <v>21316</v>
      </c>
      <c r="AB346" s="79" t="s">
        <v>1648</v>
      </c>
      <c r="AC346" s="81">
        <v>37448</v>
      </c>
      <c r="AD346" s="79" t="s">
        <v>1648</v>
      </c>
      <c r="AE346" s="79" t="s">
        <v>1649</v>
      </c>
      <c r="AF346" s="95">
        <v>0</v>
      </c>
    </row>
    <row r="347" spans="1:32" ht="15.75" thickBot="1" x14ac:dyDescent="0.3">
      <c r="A347" s="79" t="s">
        <v>726</v>
      </c>
      <c r="B347" s="93" t="s">
        <v>799</v>
      </c>
      <c r="C347" s="79" t="s">
        <v>39</v>
      </c>
      <c r="D347" s="81">
        <v>30019</v>
      </c>
      <c r="E347" s="81">
        <v>9753</v>
      </c>
      <c r="F347" s="81">
        <v>75709</v>
      </c>
      <c r="G347" s="81">
        <v>65405</v>
      </c>
      <c r="H347" s="81">
        <v>65193</v>
      </c>
      <c r="I347" s="81">
        <v>60809</v>
      </c>
      <c r="J347" s="81">
        <v>34896</v>
      </c>
      <c r="K347" s="81">
        <v>160898</v>
      </c>
      <c r="L347" s="81">
        <v>2702</v>
      </c>
      <c r="M347" s="81">
        <v>126002</v>
      </c>
      <c r="N347" s="81">
        <v>37598</v>
      </c>
      <c r="O347" s="81">
        <v>163600</v>
      </c>
      <c r="P347" s="94">
        <f>O347/D347</f>
        <v>5.4498817415636767</v>
      </c>
      <c r="Q347" s="94">
        <f>H347/D347</f>
        <v>2.1717245744361904</v>
      </c>
      <c r="R347" s="94">
        <f>I347/D347</f>
        <v>2.0256837336353644</v>
      </c>
      <c r="S347" s="94">
        <f>J347/D347</f>
        <v>1.1624637729438023</v>
      </c>
      <c r="T347" s="94">
        <f>K347/D347</f>
        <v>5.3598720810153573</v>
      </c>
      <c r="U347" s="94">
        <f>K347/E347</f>
        <v>16.497282887316722</v>
      </c>
      <c r="V347" s="81">
        <v>13893</v>
      </c>
      <c r="W347" s="79" t="s">
        <v>1648</v>
      </c>
      <c r="X347" s="79" t="s">
        <v>1651</v>
      </c>
      <c r="Y347" s="81">
        <v>19786</v>
      </c>
      <c r="Z347" s="81">
        <v>13587</v>
      </c>
      <c r="AA347" s="81">
        <v>14849</v>
      </c>
      <c r="AB347" s="79" t="s">
        <v>1648</v>
      </c>
      <c r="AC347" s="81">
        <v>4751</v>
      </c>
      <c r="AD347" s="79" t="s">
        <v>1648</v>
      </c>
      <c r="AE347" s="79" t="s">
        <v>1649</v>
      </c>
      <c r="AF347" s="95">
        <v>0</v>
      </c>
    </row>
    <row r="348" spans="1:32" ht="15.75" thickBot="1" x14ac:dyDescent="0.3">
      <c r="A348" s="96" t="s">
        <v>728</v>
      </c>
      <c r="B348" s="93" t="s">
        <v>52</v>
      </c>
      <c r="C348" s="79" t="s">
        <v>54</v>
      </c>
      <c r="D348" s="81">
        <v>163590</v>
      </c>
      <c r="E348" s="81">
        <v>59935</v>
      </c>
      <c r="F348" s="81">
        <v>1223413</v>
      </c>
      <c r="G348" s="81">
        <v>2361692</v>
      </c>
      <c r="H348" s="81">
        <v>1387713</v>
      </c>
      <c r="I348" s="81">
        <v>3548048</v>
      </c>
      <c r="J348" s="81">
        <v>936633</v>
      </c>
      <c r="K348" s="81">
        <v>5872394</v>
      </c>
      <c r="L348" s="81">
        <v>77719</v>
      </c>
      <c r="M348" s="81">
        <v>4935761</v>
      </c>
      <c r="N348" s="81">
        <v>1014352</v>
      </c>
      <c r="O348" s="81">
        <v>5950113</v>
      </c>
      <c r="P348" s="94">
        <f>O348/D348</f>
        <v>36.372107097010819</v>
      </c>
      <c r="Q348" s="94">
        <f>H348/D348</f>
        <v>8.4828718136805428</v>
      </c>
      <c r="R348" s="94">
        <f>I348/D348</f>
        <v>21.688660676080445</v>
      </c>
      <c r="S348" s="94">
        <f>J348/D348</f>
        <v>5.7254905556574363</v>
      </c>
      <c r="T348" s="94">
        <f>K348/D348</f>
        <v>35.897023045418422</v>
      </c>
      <c r="U348" s="94">
        <f>K348/E348</f>
        <v>97.979377659130719</v>
      </c>
      <c r="V348" s="81">
        <v>0</v>
      </c>
      <c r="W348" s="79" t="s">
        <v>1648</v>
      </c>
      <c r="X348" s="79" t="s">
        <v>1650</v>
      </c>
      <c r="Y348" s="81">
        <v>19596</v>
      </c>
      <c r="Z348" s="81">
        <v>25897</v>
      </c>
      <c r="AA348" s="81">
        <v>88089</v>
      </c>
      <c r="AB348" s="79" t="s">
        <v>1648</v>
      </c>
      <c r="AC348" s="81">
        <v>2565500</v>
      </c>
      <c r="AD348" s="79" t="s">
        <v>1649</v>
      </c>
      <c r="AE348" s="79" t="s">
        <v>1649</v>
      </c>
      <c r="AF348" s="95">
        <v>0</v>
      </c>
    </row>
    <row r="349" spans="1:32" ht="15.75" thickBot="1" x14ac:dyDescent="0.3">
      <c r="A349" s="79" t="s">
        <v>730</v>
      </c>
      <c r="B349" s="93" t="s">
        <v>77</v>
      </c>
      <c r="C349" s="79" t="s">
        <v>54</v>
      </c>
      <c r="D349" s="81">
        <v>107681</v>
      </c>
      <c r="E349" s="81">
        <v>54084</v>
      </c>
      <c r="F349" s="81">
        <v>306869</v>
      </c>
      <c r="G349" s="81">
        <v>229009</v>
      </c>
      <c r="H349" s="81">
        <v>219664</v>
      </c>
      <c r="I349" s="81">
        <v>335620</v>
      </c>
      <c r="J349" s="81">
        <v>74864</v>
      </c>
      <c r="K349" s="81">
        <v>630148</v>
      </c>
      <c r="L349" s="81">
        <v>120370</v>
      </c>
      <c r="M349" s="81">
        <v>555284</v>
      </c>
      <c r="N349" s="81">
        <v>195234</v>
      </c>
      <c r="O349" s="81">
        <v>750518</v>
      </c>
      <c r="P349" s="94">
        <f>O349/D349</f>
        <v>6.9698275461780632</v>
      </c>
      <c r="Q349" s="94">
        <f>H349/D349</f>
        <v>2.0399513377476062</v>
      </c>
      <c r="R349" s="94">
        <f>I349/D349</f>
        <v>3.1167986924341342</v>
      </c>
      <c r="S349" s="94">
        <f>J349/D349</f>
        <v>0.69523871435072115</v>
      </c>
      <c r="T349" s="94">
        <f>K349/D349</f>
        <v>5.8519887445324619</v>
      </c>
      <c r="U349" s="94">
        <f>K349/E349</f>
        <v>11.651283189113231</v>
      </c>
      <c r="V349" s="81">
        <v>60458</v>
      </c>
      <c r="W349" s="79" t="s">
        <v>1648</v>
      </c>
      <c r="X349" s="79" t="s">
        <v>1650</v>
      </c>
      <c r="Y349" s="81">
        <v>58648</v>
      </c>
      <c r="Z349" s="81">
        <v>55390</v>
      </c>
      <c r="AA349" s="81">
        <v>50084</v>
      </c>
      <c r="AB349" s="79" t="s">
        <v>1648</v>
      </c>
      <c r="AC349" s="81">
        <v>0</v>
      </c>
      <c r="AD349" s="79" t="s">
        <v>1649</v>
      </c>
      <c r="AE349" s="79" t="s">
        <v>1648</v>
      </c>
      <c r="AF349" s="81">
        <v>0</v>
      </c>
    </row>
    <row r="350" spans="1:32" ht="15.75" thickBot="1" x14ac:dyDescent="0.3">
      <c r="A350" s="79" t="s">
        <v>732</v>
      </c>
      <c r="B350" s="93" t="s">
        <v>139</v>
      </c>
      <c r="C350" s="79" t="s">
        <v>54</v>
      </c>
      <c r="D350" s="81">
        <v>90173</v>
      </c>
      <c r="E350" s="81">
        <v>69358</v>
      </c>
      <c r="F350" s="81">
        <v>489998</v>
      </c>
      <c r="G350" s="81">
        <v>493531</v>
      </c>
      <c r="H350" s="81">
        <v>610163</v>
      </c>
      <c r="I350" s="81">
        <v>811013</v>
      </c>
      <c r="J350" s="81">
        <v>180309</v>
      </c>
      <c r="K350" s="81">
        <v>1601485</v>
      </c>
      <c r="L350" s="81">
        <v>47572</v>
      </c>
      <c r="M350" s="81">
        <v>1421176</v>
      </c>
      <c r="N350" s="81">
        <v>227881</v>
      </c>
      <c r="O350" s="81">
        <v>1649057</v>
      </c>
      <c r="P350" s="94">
        <f>O350/D350</f>
        <v>18.287702527364068</v>
      </c>
      <c r="Q350" s="94">
        <f>H350/D350</f>
        <v>6.7665820145719895</v>
      </c>
      <c r="R350" s="94">
        <f>I350/D350</f>
        <v>8.9939671520299864</v>
      </c>
      <c r="S350" s="94">
        <f>J350/D350</f>
        <v>1.9995896776196866</v>
      </c>
      <c r="T350" s="94">
        <f>K350/D350</f>
        <v>17.760138844221665</v>
      </c>
      <c r="U350" s="94">
        <f>K350/E350</f>
        <v>23.090126589578709</v>
      </c>
      <c r="V350" s="81">
        <v>57974</v>
      </c>
      <c r="W350" s="79" t="s">
        <v>1648</v>
      </c>
      <c r="X350" s="79" t="s">
        <v>1651</v>
      </c>
      <c r="Y350" s="81">
        <v>18788</v>
      </c>
      <c r="Z350" s="81">
        <v>13072</v>
      </c>
      <c r="AA350" s="81">
        <v>0</v>
      </c>
      <c r="AB350" s="79" t="s">
        <v>1648</v>
      </c>
      <c r="AC350" s="81">
        <v>127443</v>
      </c>
      <c r="AD350" s="79" t="s">
        <v>1649</v>
      </c>
      <c r="AE350" s="79" t="s">
        <v>1649</v>
      </c>
      <c r="AF350" s="95">
        <v>0</v>
      </c>
    </row>
    <row r="351" spans="1:32" ht="15.75" thickBot="1" x14ac:dyDescent="0.3">
      <c r="A351" s="79" t="s">
        <v>734</v>
      </c>
      <c r="B351" s="93" t="s">
        <v>141</v>
      </c>
      <c r="C351" s="79" t="s">
        <v>54</v>
      </c>
      <c r="D351" s="81">
        <v>238859</v>
      </c>
      <c r="E351" s="81">
        <v>76472</v>
      </c>
      <c r="F351" s="81">
        <v>1071352</v>
      </c>
      <c r="G351" s="81">
        <v>1336809</v>
      </c>
      <c r="H351" s="81">
        <v>671789</v>
      </c>
      <c r="I351" s="81">
        <v>1252848</v>
      </c>
      <c r="J351" s="81">
        <v>576849</v>
      </c>
      <c r="K351" s="81">
        <v>2501486</v>
      </c>
      <c r="L351" s="81">
        <v>46525</v>
      </c>
      <c r="M351" s="81">
        <v>1924637</v>
      </c>
      <c r="N351" s="81">
        <v>623374</v>
      </c>
      <c r="O351" s="81">
        <v>2548011</v>
      </c>
      <c r="P351" s="94">
        <f>O351/D351</f>
        <v>10.667427226941417</v>
      </c>
      <c r="Q351" s="94">
        <f>H351/D351</f>
        <v>2.8124918885200056</v>
      </c>
      <c r="R351" s="94">
        <f>I351/D351</f>
        <v>5.2451362519310551</v>
      </c>
      <c r="S351" s="94">
        <f>J351/D351</f>
        <v>2.4150189023649937</v>
      </c>
      <c r="T351" s="94">
        <f>K351/D351</f>
        <v>10.472647042816055</v>
      </c>
      <c r="U351" s="94">
        <f>K351/E351</f>
        <v>32.711136102102728</v>
      </c>
      <c r="V351" s="81">
        <v>125000</v>
      </c>
      <c r="W351" s="79" t="s">
        <v>1648</v>
      </c>
      <c r="X351" s="79" t="s">
        <v>1650</v>
      </c>
      <c r="Y351" s="81">
        <v>48313</v>
      </c>
      <c r="Z351" s="81">
        <v>53851</v>
      </c>
      <c r="AA351" s="81">
        <v>193876</v>
      </c>
      <c r="AB351" s="79" t="s">
        <v>1648</v>
      </c>
      <c r="AC351" s="81">
        <v>213940</v>
      </c>
      <c r="AD351" s="79" t="s">
        <v>1648</v>
      </c>
      <c r="AE351" s="79" t="s">
        <v>1648</v>
      </c>
      <c r="AF351" s="81">
        <v>207</v>
      </c>
    </row>
    <row r="352" spans="1:32" ht="15.75" thickBot="1" x14ac:dyDescent="0.3">
      <c r="A352" s="79" t="s">
        <v>736</v>
      </c>
      <c r="B352" s="93" t="s">
        <v>171</v>
      </c>
      <c r="C352" s="79" t="s">
        <v>54</v>
      </c>
      <c r="D352" s="81">
        <v>51640</v>
      </c>
      <c r="E352" s="81">
        <v>10571</v>
      </c>
      <c r="F352" s="81">
        <v>224002</v>
      </c>
      <c r="G352" s="81">
        <v>237296</v>
      </c>
      <c r="H352" s="81">
        <v>126599</v>
      </c>
      <c r="I352" s="81">
        <v>147412</v>
      </c>
      <c r="J352" s="81">
        <v>23526</v>
      </c>
      <c r="K352" s="81">
        <v>297537</v>
      </c>
      <c r="L352" s="81">
        <v>0</v>
      </c>
      <c r="M352" s="81">
        <v>274011</v>
      </c>
      <c r="N352" s="81">
        <v>23526</v>
      </c>
      <c r="O352" s="81">
        <v>297537</v>
      </c>
      <c r="P352" s="94">
        <f>O352/D352</f>
        <v>5.7617544539116965</v>
      </c>
      <c r="Q352" s="94">
        <f>H352/D352</f>
        <v>2.4515685515104568</v>
      </c>
      <c r="R352" s="94">
        <f>I352/D352</f>
        <v>2.8546088303640587</v>
      </c>
      <c r="S352" s="94">
        <f>J352/D352</f>
        <v>0.45557707203718045</v>
      </c>
      <c r="T352" s="94">
        <f>K352/D352</f>
        <v>5.7617544539116965</v>
      </c>
      <c r="U352" s="94">
        <f>K352/E352</f>
        <v>28.146532967552737</v>
      </c>
      <c r="V352" s="81">
        <v>74713</v>
      </c>
      <c r="W352" s="79" t="s">
        <v>1648</v>
      </c>
      <c r="X352" s="79" t="s">
        <v>1650</v>
      </c>
      <c r="Y352" s="81">
        <v>15413</v>
      </c>
      <c r="Z352" s="81">
        <v>16944</v>
      </c>
      <c r="AA352" s="81">
        <v>42030</v>
      </c>
      <c r="AB352" s="79" t="s">
        <v>1648</v>
      </c>
      <c r="AC352" s="81">
        <v>55266</v>
      </c>
      <c r="AD352" s="79" t="s">
        <v>1648</v>
      </c>
      <c r="AE352" s="79" t="s">
        <v>1648</v>
      </c>
      <c r="AF352" s="81">
        <v>4</v>
      </c>
    </row>
    <row r="353" spans="1:32" ht="15.75" thickBot="1" x14ac:dyDescent="0.3">
      <c r="A353" s="79" t="s">
        <v>738</v>
      </c>
      <c r="B353" s="93" t="s">
        <v>177</v>
      </c>
      <c r="C353" s="79" t="s">
        <v>54</v>
      </c>
      <c r="D353" s="81">
        <v>169833</v>
      </c>
      <c r="E353" s="81">
        <v>150799</v>
      </c>
      <c r="F353" s="81">
        <v>622143</v>
      </c>
      <c r="G353" s="81">
        <v>1215223</v>
      </c>
      <c r="H353" s="81">
        <v>801148</v>
      </c>
      <c r="I353" s="81">
        <v>909423</v>
      </c>
      <c r="J353" s="81">
        <v>112635</v>
      </c>
      <c r="K353" s="81">
        <v>1823206</v>
      </c>
      <c r="L353" s="81">
        <v>45622</v>
      </c>
      <c r="M353" s="81">
        <v>1710571</v>
      </c>
      <c r="N353" s="81">
        <v>158257</v>
      </c>
      <c r="O353" s="81">
        <v>1868828</v>
      </c>
      <c r="P353" s="94">
        <f>O353/D353</f>
        <v>11.00391561121808</v>
      </c>
      <c r="Q353" s="94">
        <f>H353/D353</f>
        <v>4.7172693175060205</v>
      </c>
      <c r="R353" s="94">
        <f>I353/D353</f>
        <v>5.354807369592482</v>
      </c>
      <c r="S353" s="94">
        <f>J353/D353</f>
        <v>0.66321033014785113</v>
      </c>
      <c r="T353" s="94">
        <f>K353/D353</f>
        <v>10.735287017246353</v>
      </c>
      <c r="U353" s="94">
        <f>K353/E353</f>
        <v>12.090305638631555</v>
      </c>
      <c r="V353" s="81">
        <v>0</v>
      </c>
      <c r="W353" s="79" t="s">
        <v>1648</v>
      </c>
      <c r="X353" s="79" t="s">
        <v>1650</v>
      </c>
      <c r="Y353" s="81">
        <v>16349</v>
      </c>
      <c r="Z353" s="81">
        <v>11868</v>
      </c>
      <c r="AA353" s="81">
        <v>110469</v>
      </c>
      <c r="AB353" s="79" t="s">
        <v>1648</v>
      </c>
      <c r="AC353" s="81">
        <v>79310</v>
      </c>
      <c r="AD353" s="79" t="s">
        <v>1648</v>
      </c>
      <c r="AE353" s="79" t="s">
        <v>1648</v>
      </c>
      <c r="AF353" s="81">
        <v>358</v>
      </c>
    </row>
    <row r="354" spans="1:32" ht="15.75" thickBot="1" x14ac:dyDescent="0.3">
      <c r="A354" s="79" t="s">
        <v>740</v>
      </c>
      <c r="B354" s="93" t="s">
        <v>211</v>
      </c>
      <c r="C354" s="79" t="s">
        <v>54</v>
      </c>
      <c r="D354" s="81">
        <v>57774</v>
      </c>
      <c r="E354" s="81">
        <v>11019</v>
      </c>
      <c r="F354" s="81">
        <v>186120</v>
      </c>
      <c r="G354" s="81">
        <v>36000</v>
      </c>
      <c r="H354" s="81">
        <v>34702</v>
      </c>
      <c r="I354" s="81">
        <v>89232</v>
      </c>
      <c r="J354" s="81">
        <v>8331</v>
      </c>
      <c r="K354" s="81">
        <v>132265</v>
      </c>
      <c r="L354" s="81">
        <v>602</v>
      </c>
      <c r="M354" s="81">
        <v>123934</v>
      </c>
      <c r="N354" s="81">
        <v>8933</v>
      </c>
      <c r="O354" s="81">
        <v>132867</v>
      </c>
      <c r="P354" s="94">
        <f>O354/D354</f>
        <v>2.2997715235226917</v>
      </c>
      <c r="Q354" s="94">
        <f>H354/D354</f>
        <v>0.60065081178384738</v>
      </c>
      <c r="R354" s="94">
        <f>I354/D354</f>
        <v>1.5445009866029702</v>
      </c>
      <c r="S354" s="94">
        <f>J354/D354</f>
        <v>0.14419981306470039</v>
      </c>
      <c r="T354" s="94">
        <f>K354/D354</f>
        <v>2.2893516114515178</v>
      </c>
      <c r="U354" s="94">
        <f>K354/E354</f>
        <v>12.003357836464289</v>
      </c>
      <c r="V354" s="81">
        <v>12621</v>
      </c>
      <c r="W354" s="79" t="s">
        <v>1648</v>
      </c>
      <c r="X354" s="79" t="s">
        <v>1650</v>
      </c>
      <c r="Y354" s="81">
        <v>23367</v>
      </c>
      <c r="Z354" s="81">
        <v>16891</v>
      </c>
      <c r="AA354" s="81">
        <v>33741</v>
      </c>
      <c r="AB354" s="79" t="s">
        <v>1648</v>
      </c>
      <c r="AC354" s="81">
        <v>21243</v>
      </c>
      <c r="AD354" s="79" t="s">
        <v>1648</v>
      </c>
      <c r="AE354" s="79" t="s">
        <v>1648</v>
      </c>
      <c r="AF354" s="81">
        <v>45</v>
      </c>
    </row>
    <row r="355" spans="1:32" ht="15.75" thickBot="1" x14ac:dyDescent="0.3">
      <c r="A355" s="79" t="s">
        <v>742</v>
      </c>
      <c r="B355" s="93" t="s">
        <v>213</v>
      </c>
      <c r="C355" s="79" t="s">
        <v>54</v>
      </c>
      <c r="D355" s="81">
        <v>98153</v>
      </c>
      <c r="E355" s="81">
        <v>32383</v>
      </c>
      <c r="F355" s="81">
        <v>147080</v>
      </c>
      <c r="G355" s="81">
        <v>188604</v>
      </c>
      <c r="H355" s="81">
        <v>83493</v>
      </c>
      <c r="I355" s="81">
        <v>119354</v>
      </c>
      <c r="J355" s="81">
        <v>114177</v>
      </c>
      <c r="K355" s="81">
        <v>317024</v>
      </c>
      <c r="L355" s="81">
        <v>46766</v>
      </c>
      <c r="M355" s="81">
        <v>202847</v>
      </c>
      <c r="N355" s="81">
        <v>160943</v>
      </c>
      <c r="O355" s="81">
        <v>363790</v>
      </c>
      <c r="P355" s="94">
        <f>O355/D355</f>
        <v>3.7063564027589582</v>
      </c>
      <c r="Q355" s="94">
        <f>H355/D355</f>
        <v>0.85064134565423366</v>
      </c>
      <c r="R355" s="94">
        <f>I355/D355</f>
        <v>1.215999510967571</v>
      </c>
      <c r="S355" s="94">
        <f>J355/D355</f>
        <v>1.1632553258687968</v>
      </c>
      <c r="T355" s="94">
        <f>K355/D355</f>
        <v>3.2298961824906014</v>
      </c>
      <c r="U355" s="94">
        <f>K355/E355</f>
        <v>9.7898279961708301</v>
      </c>
      <c r="V355" s="81">
        <v>30000</v>
      </c>
      <c r="W355" s="79" t="s">
        <v>1648</v>
      </c>
      <c r="X355" s="79" t="s">
        <v>1650</v>
      </c>
      <c r="Y355" s="81">
        <v>7198</v>
      </c>
      <c r="Z355" s="81">
        <v>3872</v>
      </c>
      <c r="AA355" s="81">
        <v>94118</v>
      </c>
      <c r="AB355" s="79" t="s">
        <v>1648</v>
      </c>
      <c r="AC355" s="81">
        <v>11890</v>
      </c>
      <c r="AD355" s="79" t="s">
        <v>1648</v>
      </c>
      <c r="AE355" s="79" t="s">
        <v>1648</v>
      </c>
      <c r="AF355" s="81">
        <v>72</v>
      </c>
    </row>
    <row r="356" spans="1:32" ht="15.75" thickBot="1" x14ac:dyDescent="0.3">
      <c r="A356" s="79" t="s">
        <v>744</v>
      </c>
      <c r="B356" s="93" t="s">
        <v>221</v>
      </c>
      <c r="C356" s="79" t="s">
        <v>54</v>
      </c>
      <c r="D356" s="81">
        <v>713777</v>
      </c>
      <c r="E356" s="81">
        <v>112034</v>
      </c>
      <c r="F356" s="81">
        <v>2214811</v>
      </c>
      <c r="G356" s="81">
        <v>2772437</v>
      </c>
      <c r="H356" s="81">
        <v>54329</v>
      </c>
      <c r="I356" s="81">
        <v>203081</v>
      </c>
      <c r="J356" s="81">
        <v>170349</v>
      </c>
      <c r="K356" s="81">
        <v>427759</v>
      </c>
      <c r="L356" s="81">
        <v>725894</v>
      </c>
      <c r="M356" s="81">
        <v>257410</v>
      </c>
      <c r="N356" s="81">
        <v>896243</v>
      </c>
      <c r="O356" s="81">
        <v>1153653</v>
      </c>
      <c r="P356" s="94">
        <f>O356/D356</f>
        <v>1.6162653041496153</v>
      </c>
      <c r="Q356" s="94">
        <f>H356/D356</f>
        <v>7.6114808966946265E-2</v>
      </c>
      <c r="R356" s="94">
        <f>I356/D356</f>
        <v>0.28451603231821704</v>
      </c>
      <c r="S356" s="94">
        <f>J356/D356</f>
        <v>0.23865857263543094</v>
      </c>
      <c r="T356" s="94">
        <f>K356/D356</f>
        <v>0.59928941392059421</v>
      </c>
      <c r="U356" s="94">
        <f>K356/E356</f>
        <v>3.8181177142653122</v>
      </c>
      <c r="V356" s="81">
        <v>379138</v>
      </c>
      <c r="W356" s="79" t="s">
        <v>1648</v>
      </c>
      <c r="X356" s="79" t="s">
        <v>1651</v>
      </c>
      <c r="Y356" s="81">
        <v>321</v>
      </c>
      <c r="Z356" s="81">
        <v>166</v>
      </c>
      <c r="AA356" s="81">
        <v>174088</v>
      </c>
      <c r="AB356" s="79" t="s">
        <v>1648</v>
      </c>
      <c r="AC356" s="81">
        <v>170888</v>
      </c>
      <c r="AD356" s="79" t="s">
        <v>1648</v>
      </c>
      <c r="AE356" s="79" t="s">
        <v>1648</v>
      </c>
      <c r="AF356" s="81">
        <v>178</v>
      </c>
    </row>
    <row r="357" spans="1:32" ht="15.75" thickBot="1" x14ac:dyDescent="0.3">
      <c r="A357" s="79" t="s">
        <v>746</v>
      </c>
      <c r="B357" s="93" t="s">
        <v>265</v>
      </c>
      <c r="C357" s="79" t="s">
        <v>54</v>
      </c>
      <c r="D357" s="81">
        <v>90112</v>
      </c>
      <c r="E357" s="81">
        <v>44398</v>
      </c>
      <c r="F357" s="81">
        <v>398806</v>
      </c>
      <c r="G357" s="81">
        <v>2165207</v>
      </c>
      <c r="H357" s="81">
        <v>312050</v>
      </c>
      <c r="I357" s="81">
        <v>373927</v>
      </c>
      <c r="J357" s="81">
        <v>85699</v>
      </c>
      <c r="K357" s="81">
        <v>771676</v>
      </c>
      <c r="L357" s="81">
        <v>132432</v>
      </c>
      <c r="M357" s="81">
        <v>685977</v>
      </c>
      <c r="N357" s="81">
        <v>218131</v>
      </c>
      <c r="O357" s="81">
        <v>904108</v>
      </c>
      <c r="P357" s="94">
        <f>O357/D357</f>
        <v>10.033158735795455</v>
      </c>
      <c r="Q357" s="94">
        <f>H357/D357</f>
        <v>3.4629128196022729</v>
      </c>
      <c r="R357" s="94">
        <f>I357/D357</f>
        <v>4.1495805220170459</v>
      </c>
      <c r="S357" s="94">
        <f>J357/D357</f>
        <v>0.95102761008522729</v>
      </c>
      <c r="T357" s="94">
        <f>K357/D357</f>
        <v>8.563520951704545</v>
      </c>
      <c r="U357" s="94">
        <f>K357/E357</f>
        <v>17.380873012297851</v>
      </c>
      <c r="V357" s="81">
        <v>127247</v>
      </c>
      <c r="W357" s="79" t="s">
        <v>1648</v>
      </c>
      <c r="X357" s="79" t="s">
        <v>1651</v>
      </c>
      <c r="Y357" s="81">
        <v>8943</v>
      </c>
      <c r="Z357" s="81">
        <v>5394</v>
      </c>
      <c r="AA357" s="81">
        <v>82275</v>
      </c>
      <c r="AB357" s="79" t="s">
        <v>1648</v>
      </c>
      <c r="AC357" s="81">
        <v>310158</v>
      </c>
      <c r="AD357" s="79" t="s">
        <v>1648</v>
      </c>
      <c r="AE357" s="79" t="s">
        <v>1648</v>
      </c>
      <c r="AF357" s="81">
        <v>314</v>
      </c>
    </row>
    <row r="358" spans="1:32" ht="15.75" thickBot="1" x14ac:dyDescent="0.3">
      <c r="A358" s="79" t="s">
        <v>748</v>
      </c>
      <c r="B358" s="93" t="s">
        <v>277</v>
      </c>
      <c r="C358" s="79" t="s">
        <v>54</v>
      </c>
      <c r="D358" s="81">
        <v>102434</v>
      </c>
      <c r="E358" s="81">
        <v>21023</v>
      </c>
      <c r="F358" s="81">
        <v>92581</v>
      </c>
      <c r="G358" s="81">
        <v>98613</v>
      </c>
      <c r="H358" s="81">
        <v>28524</v>
      </c>
      <c r="I358" s="81">
        <v>93053</v>
      </c>
      <c r="J358" s="81">
        <v>20396</v>
      </c>
      <c r="K358" s="81">
        <v>141973</v>
      </c>
      <c r="L358" s="81">
        <v>72731</v>
      </c>
      <c r="M358" s="81">
        <v>121577</v>
      </c>
      <c r="N358" s="81">
        <v>93127</v>
      </c>
      <c r="O358" s="81">
        <v>214704</v>
      </c>
      <c r="P358" s="94">
        <f>O358/D358</f>
        <v>2.0960228049280514</v>
      </c>
      <c r="Q358" s="94">
        <f>H358/D358</f>
        <v>0.27846222933791515</v>
      </c>
      <c r="R358" s="94">
        <f>I358/D358</f>
        <v>0.9084190796024757</v>
      </c>
      <c r="S358" s="94">
        <f>J358/D358</f>
        <v>0.19911357557061132</v>
      </c>
      <c r="T358" s="94">
        <f>K358/D358</f>
        <v>1.3859948845110022</v>
      </c>
      <c r="U358" s="94">
        <f>K358/E358</f>
        <v>6.7532226608952097</v>
      </c>
      <c r="V358" s="81">
        <v>18675</v>
      </c>
      <c r="W358" s="79" t="s">
        <v>1648</v>
      </c>
      <c r="X358" s="79" t="s">
        <v>1650</v>
      </c>
      <c r="Y358" s="81">
        <v>0</v>
      </c>
      <c r="Z358" s="81">
        <v>0</v>
      </c>
      <c r="AA358" s="81">
        <v>11568</v>
      </c>
      <c r="AB358" s="79" t="s">
        <v>1648</v>
      </c>
      <c r="AC358" s="81">
        <v>7500</v>
      </c>
      <c r="AD358" s="79" t="s">
        <v>1649</v>
      </c>
      <c r="AE358" s="79" t="s">
        <v>1649</v>
      </c>
      <c r="AF358" s="95">
        <v>0</v>
      </c>
    </row>
    <row r="359" spans="1:32" ht="15.75" thickBot="1" x14ac:dyDescent="0.3">
      <c r="A359" s="79" t="s">
        <v>750</v>
      </c>
      <c r="B359" s="93" t="s">
        <v>303</v>
      </c>
      <c r="C359" s="79" t="s">
        <v>54</v>
      </c>
      <c r="D359" s="81">
        <v>332567</v>
      </c>
      <c r="E359" s="81">
        <v>142664</v>
      </c>
      <c r="F359" s="81">
        <v>938777</v>
      </c>
      <c r="G359" s="81">
        <v>488802</v>
      </c>
      <c r="H359" s="81">
        <v>330514</v>
      </c>
      <c r="I359" s="81">
        <v>747338</v>
      </c>
      <c r="J359" s="81">
        <v>363728</v>
      </c>
      <c r="K359" s="81">
        <v>1441580</v>
      </c>
      <c r="L359" s="81">
        <v>310090</v>
      </c>
      <c r="M359" s="81">
        <v>1077852</v>
      </c>
      <c r="N359" s="81">
        <v>673818</v>
      </c>
      <c r="O359" s="81">
        <v>1751670</v>
      </c>
      <c r="P359" s="94">
        <f>O359/D359</f>
        <v>5.2671191068265939</v>
      </c>
      <c r="Q359" s="94">
        <f>H359/D359</f>
        <v>0.99382680783120392</v>
      </c>
      <c r="R359" s="94">
        <f>I359/D359</f>
        <v>2.2471802674348327</v>
      </c>
      <c r="S359" s="94">
        <f>J359/D359</f>
        <v>1.0936984126506839</v>
      </c>
      <c r="T359" s="94">
        <f>K359/D359</f>
        <v>4.3347054879167208</v>
      </c>
      <c r="U359" s="94">
        <f>K359/E359</f>
        <v>10.104721583581002</v>
      </c>
      <c r="V359" s="81">
        <v>321535</v>
      </c>
      <c r="W359" s="79" t="s">
        <v>1649</v>
      </c>
      <c r="X359" s="79" t="s">
        <v>1650</v>
      </c>
      <c r="Y359" s="81">
        <v>28468</v>
      </c>
      <c r="Z359" s="81">
        <v>30499</v>
      </c>
      <c r="AA359" s="81">
        <v>144021</v>
      </c>
      <c r="AB359" s="79" t="s">
        <v>1648</v>
      </c>
      <c r="AC359" s="81">
        <v>62209</v>
      </c>
      <c r="AD359" s="79" t="s">
        <v>1649</v>
      </c>
      <c r="AE359" s="79" t="s">
        <v>1649</v>
      </c>
      <c r="AF359" s="95">
        <v>0</v>
      </c>
    </row>
    <row r="360" spans="1:32" ht="15.75" thickBot="1" x14ac:dyDescent="0.3">
      <c r="A360" s="79" t="s">
        <v>752</v>
      </c>
      <c r="B360" s="93" t="s">
        <v>317</v>
      </c>
      <c r="C360" s="79" t="s">
        <v>54</v>
      </c>
      <c r="D360" s="81">
        <v>76707</v>
      </c>
      <c r="E360" s="81">
        <v>37947</v>
      </c>
      <c r="F360" s="81">
        <v>102608</v>
      </c>
      <c r="G360" s="81">
        <v>75881</v>
      </c>
      <c r="H360" s="81">
        <v>212230</v>
      </c>
      <c r="I360" s="81">
        <v>187682</v>
      </c>
      <c r="J360" s="81">
        <v>109070</v>
      </c>
      <c r="K360" s="81">
        <v>508982</v>
      </c>
      <c r="L360" s="81">
        <v>84544</v>
      </c>
      <c r="M360" s="81">
        <v>399912</v>
      </c>
      <c r="N360" s="81">
        <v>193614</v>
      </c>
      <c r="O360" s="81">
        <v>593526</v>
      </c>
      <c r="P360" s="94">
        <f>O360/D360</f>
        <v>7.7375728421134964</v>
      </c>
      <c r="Q360" s="94">
        <f>H360/D360</f>
        <v>2.7667618339916826</v>
      </c>
      <c r="R360" s="94">
        <f>I360/D360</f>
        <v>2.4467388895407201</v>
      </c>
      <c r="S360" s="94">
        <f>J360/D360</f>
        <v>1.4219041286975114</v>
      </c>
      <c r="T360" s="94">
        <f>K360/D360</f>
        <v>6.6354048522299136</v>
      </c>
      <c r="U360" s="94">
        <f>K360/E360</f>
        <v>13.412970722323241</v>
      </c>
      <c r="V360" s="81">
        <v>34385</v>
      </c>
      <c r="W360" s="79" t="s">
        <v>1648</v>
      </c>
      <c r="X360" s="79" t="s">
        <v>1651</v>
      </c>
      <c r="Y360" s="81">
        <v>9542</v>
      </c>
      <c r="Z360" s="81">
        <v>11226</v>
      </c>
      <c r="AA360" s="81">
        <v>13202</v>
      </c>
      <c r="AB360" s="79" t="s">
        <v>1648</v>
      </c>
      <c r="AC360" s="81">
        <v>0</v>
      </c>
      <c r="AD360" s="79" t="s">
        <v>1648</v>
      </c>
      <c r="AE360" s="79" t="s">
        <v>1649</v>
      </c>
      <c r="AF360" s="95">
        <v>0</v>
      </c>
    </row>
    <row r="361" spans="1:32" ht="15.75" thickBot="1" x14ac:dyDescent="0.3">
      <c r="A361" s="79" t="s">
        <v>754</v>
      </c>
      <c r="B361" s="93" t="s">
        <v>321</v>
      </c>
      <c r="C361" s="79" t="s">
        <v>54</v>
      </c>
      <c r="D361" s="81">
        <v>188040</v>
      </c>
      <c r="E361" s="81">
        <v>59906</v>
      </c>
      <c r="F361" s="81">
        <v>452094</v>
      </c>
      <c r="G361" s="81">
        <v>586189</v>
      </c>
      <c r="H361" s="81">
        <v>279701</v>
      </c>
      <c r="I361" s="81">
        <v>466412</v>
      </c>
      <c r="J361" s="81">
        <v>424512</v>
      </c>
      <c r="K361" s="81">
        <v>1170625</v>
      </c>
      <c r="L361" s="81">
        <v>371315</v>
      </c>
      <c r="M361" s="81">
        <v>746113</v>
      </c>
      <c r="N361" s="81">
        <v>795827</v>
      </c>
      <c r="O361" s="81">
        <v>1541940</v>
      </c>
      <c r="P361" s="94">
        <f>O361/D361</f>
        <v>8.2000638162093171</v>
      </c>
      <c r="Q361" s="94">
        <f>H361/D361</f>
        <v>1.4874547968517338</v>
      </c>
      <c r="R361" s="94">
        <f>I361/D361</f>
        <v>2.4803871516698575</v>
      </c>
      <c r="S361" s="94">
        <f>J361/D361</f>
        <v>2.2575622208040844</v>
      </c>
      <c r="T361" s="94">
        <f>K361/D361</f>
        <v>6.2254041693256754</v>
      </c>
      <c r="U361" s="94">
        <f>K361/E361</f>
        <v>19.541030948485961</v>
      </c>
      <c r="V361" s="81">
        <v>74776</v>
      </c>
      <c r="W361" s="79" t="s">
        <v>1648</v>
      </c>
      <c r="X361" s="79" t="s">
        <v>1650</v>
      </c>
      <c r="Y361" s="81">
        <v>7458</v>
      </c>
      <c r="Z361" s="81">
        <v>4956</v>
      </c>
      <c r="AA361" s="81">
        <v>67738</v>
      </c>
      <c r="AB361" s="79" t="s">
        <v>1648</v>
      </c>
      <c r="AC361" s="81">
        <v>194241</v>
      </c>
      <c r="AD361" s="79" t="s">
        <v>1648</v>
      </c>
      <c r="AE361" s="79" t="s">
        <v>1649</v>
      </c>
      <c r="AF361" s="95">
        <v>0</v>
      </c>
    </row>
    <row r="362" spans="1:32" ht="15.75" thickBot="1" x14ac:dyDescent="0.3">
      <c r="A362" s="79" t="s">
        <v>756</v>
      </c>
      <c r="B362" s="93" t="s">
        <v>325</v>
      </c>
      <c r="C362" s="79" t="s">
        <v>54</v>
      </c>
      <c r="D362" s="81">
        <v>51133</v>
      </c>
      <c r="E362" s="81">
        <v>28596</v>
      </c>
      <c r="F362" s="81">
        <v>365738</v>
      </c>
      <c r="G362" s="81">
        <v>283467</v>
      </c>
      <c r="H362" s="81">
        <v>125559</v>
      </c>
      <c r="I362" s="81">
        <v>214860</v>
      </c>
      <c r="J362" s="81">
        <v>221433</v>
      </c>
      <c r="K362" s="81">
        <v>561852</v>
      </c>
      <c r="L362" s="81">
        <v>95083</v>
      </c>
      <c r="M362" s="81">
        <v>340419</v>
      </c>
      <c r="N362" s="81">
        <v>316516</v>
      </c>
      <c r="O362" s="81">
        <v>656935</v>
      </c>
      <c r="P362" s="94">
        <f>O362/D362</f>
        <v>12.847573973754718</v>
      </c>
      <c r="Q362" s="94">
        <f>H362/D362</f>
        <v>2.4555375198013025</v>
      </c>
      <c r="R362" s="94">
        <f>I362/D362</f>
        <v>4.2019830637748612</v>
      </c>
      <c r="S362" s="94">
        <f>J362/D362</f>
        <v>4.3305301859855669</v>
      </c>
      <c r="T362" s="94">
        <f>K362/D362</f>
        <v>10.988050769561731</v>
      </c>
      <c r="U362" s="94">
        <f>K362/E362</f>
        <v>19.647922786403694</v>
      </c>
      <c r="V362" s="81">
        <v>45077</v>
      </c>
      <c r="W362" s="79" t="s">
        <v>1648</v>
      </c>
      <c r="X362" s="79" t="s">
        <v>1651</v>
      </c>
      <c r="Y362" s="81">
        <v>11742</v>
      </c>
      <c r="Z362" s="81">
        <v>12396</v>
      </c>
      <c r="AA362" s="81">
        <v>30872</v>
      </c>
      <c r="AB362" s="79" t="s">
        <v>1648</v>
      </c>
      <c r="AC362" s="81">
        <v>127507</v>
      </c>
      <c r="AD362" s="79" t="s">
        <v>1648</v>
      </c>
      <c r="AE362" s="79" t="s">
        <v>1648</v>
      </c>
      <c r="AF362" s="81">
        <v>49</v>
      </c>
    </row>
    <row r="363" spans="1:32" ht="15.75" thickBot="1" x14ac:dyDescent="0.3">
      <c r="A363" s="79" t="s">
        <v>758</v>
      </c>
      <c r="B363" s="93" t="s">
        <v>351</v>
      </c>
      <c r="C363" s="79" t="s">
        <v>54</v>
      </c>
      <c r="D363" s="81">
        <v>102423</v>
      </c>
      <c r="E363" s="81">
        <v>36171</v>
      </c>
      <c r="F363" s="81">
        <v>295248</v>
      </c>
      <c r="G363" s="81">
        <v>2140187</v>
      </c>
      <c r="H363" s="81">
        <v>482617</v>
      </c>
      <c r="I363" s="81">
        <v>469248</v>
      </c>
      <c r="J363" s="81">
        <v>364196</v>
      </c>
      <c r="K363" s="81">
        <v>1316061</v>
      </c>
      <c r="L363" s="81">
        <v>100033</v>
      </c>
      <c r="M363" s="81">
        <v>951865</v>
      </c>
      <c r="N363" s="81">
        <v>464229</v>
      </c>
      <c r="O363" s="81">
        <v>1416094</v>
      </c>
      <c r="P363" s="94">
        <f>O363/D363</f>
        <v>13.825937533561797</v>
      </c>
      <c r="Q363" s="94">
        <f>H363/D363</f>
        <v>4.7119982816359602</v>
      </c>
      <c r="R363" s="94">
        <f>I363/D363</f>
        <v>4.5814709586713924</v>
      </c>
      <c r="S363" s="94">
        <f>J363/D363</f>
        <v>3.5558028958339434</v>
      </c>
      <c r="T363" s="94">
        <f>K363/D363</f>
        <v>12.849272136141296</v>
      </c>
      <c r="U363" s="94">
        <f>K363/E363</f>
        <v>36.384423986066189</v>
      </c>
      <c r="V363" s="81">
        <v>139672</v>
      </c>
      <c r="W363" s="79" t="s">
        <v>1648</v>
      </c>
      <c r="X363" s="79" t="s">
        <v>1650</v>
      </c>
      <c r="Y363" s="81">
        <v>32176</v>
      </c>
      <c r="Z363" s="81">
        <v>30094</v>
      </c>
      <c r="AA363" s="81">
        <v>43135</v>
      </c>
      <c r="AB363" s="79" t="s">
        <v>1648</v>
      </c>
      <c r="AC363" s="81">
        <v>50776</v>
      </c>
      <c r="AD363" s="79" t="s">
        <v>1648</v>
      </c>
      <c r="AE363" s="79" t="s">
        <v>1648</v>
      </c>
      <c r="AF363" s="81">
        <v>957</v>
      </c>
    </row>
    <row r="364" spans="1:32" ht="15.75" thickBot="1" x14ac:dyDescent="0.3">
      <c r="A364" s="79" t="s">
        <v>760</v>
      </c>
      <c r="B364" s="93" t="s">
        <v>373</v>
      </c>
      <c r="C364" s="79" t="s">
        <v>54</v>
      </c>
      <c r="D364" s="81">
        <v>52529</v>
      </c>
      <c r="E364" s="81">
        <v>27030</v>
      </c>
      <c r="F364" s="81">
        <v>89281</v>
      </c>
      <c r="G364" s="81">
        <v>69844</v>
      </c>
      <c r="H364" s="81">
        <v>128520</v>
      </c>
      <c r="I364" s="81">
        <v>123377</v>
      </c>
      <c r="J364" s="81">
        <v>138053</v>
      </c>
      <c r="K364" s="81">
        <v>389950</v>
      </c>
      <c r="L364" s="81">
        <v>66810</v>
      </c>
      <c r="M364" s="81">
        <v>251897</v>
      </c>
      <c r="N364" s="81">
        <v>204863</v>
      </c>
      <c r="O364" s="81">
        <v>456760</v>
      </c>
      <c r="P364" s="94">
        <f>O364/D364</f>
        <v>8.6953873098669305</v>
      </c>
      <c r="Q364" s="94">
        <f>H364/D364</f>
        <v>2.4466485179615072</v>
      </c>
      <c r="R364" s="94">
        <f>I364/D364</f>
        <v>2.348740695615755</v>
      </c>
      <c r="S364" s="94">
        <f>J364/D364</f>
        <v>2.628129223857298</v>
      </c>
      <c r="T364" s="94">
        <f>K364/D364</f>
        <v>7.4235184374345602</v>
      </c>
      <c r="U364" s="94">
        <f>K364/E364</f>
        <v>14.426563078061413</v>
      </c>
      <c r="V364" s="81">
        <v>39890</v>
      </c>
      <c r="W364" s="79" t="s">
        <v>1648</v>
      </c>
      <c r="X364" s="79" t="s">
        <v>1650</v>
      </c>
      <c r="Y364" s="81">
        <v>6793</v>
      </c>
      <c r="Z364" s="81">
        <v>7399</v>
      </c>
      <c r="AA364" s="81">
        <v>11984</v>
      </c>
      <c r="AB364" s="79" t="s">
        <v>1648</v>
      </c>
      <c r="AC364" s="81">
        <v>42595</v>
      </c>
      <c r="AD364" s="79" t="s">
        <v>1648</v>
      </c>
      <c r="AE364" s="79" t="s">
        <v>1648</v>
      </c>
      <c r="AF364" s="81">
        <v>160</v>
      </c>
    </row>
    <row r="365" spans="1:32" ht="15.75" thickBot="1" x14ac:dyDescent="0.3">
      <c r="A365" s="79" t="s">
        <v>762</v>
      </c>
      <c r="B365" s="93" t="s">
        <v>393</v>
      </c>
      <c r="C365" s="79" t="s">
        <v>54</v>
      </c>
      <c r="D365" s="81">
        <v>160248</v>
      </c>
      <c r="E365" s="81">
        <v>54906</v>
      </c>
      <c r="F365" s="81">
        <v>529562</v>
      </c>
      <c r="G365" s="81">
        <v>393295</v>
      </c>
      <c r="H365" s="81">
        <v>319933</v>
      </c>
      <c r="I365" s="81">
        <v>1251851</v>
      </c>
      <c r="J365" s="81">
        <v>216860</v>
      </c>
      <c r="K365" s="81">
        <v>1788644</v>
      </c>
      <c r="L365" s="81">
        <v>101955</v>
      </c>
      <c r="M365" s="81">
        <v>1571784</v>
      </c>
      <c r="N365" s="81">
        <v>318815</v>
      </c>
      <c r="O365" s="81">
        <v>1890599</v>
      </c>
      <c r="P365" s="94">
        <f>O365/D365</f>
        <v>11.797956916778993</v>
      </c>
      <c r="Q365" s="94">
        <f>H365/D365</f>
        <v>1.9964866956217862</v>
      </c>
      <c r="R365" s="94">
        <f>I365/D365</f>
        <v>7.8119602116719085</v>
      </c>
      <c r="S365" s="94">
        <f>J365/D365</f>
        <v>1.3532774199990016</v>
      </c>
      <c r="T365" s="94">
        <f>K365/D365</f>
        <v>11.161724327292696</v>
      </c>
      <c r="U365" s="94">
        <f>K365/E365</f>
        <v>32.576476159254</v>
      </c>
      <c r="V365" s="81">
        <v>77467</v>
      </c>
      <c r="W365" s="79" t="s">
        <v>1648</v>
      </c>
      <c r="X365" s="79" t="s">
        <v>1650</v>
      </c>
      <c r="Y365" s="81">
        <v>24570</v>
      </c>
      <c r="Z365" s="81">
        <v>27694</v>
      </c>
      <c r="AA365" s="81">
        <v>160675</v>
      </c>
      <c r="AB365" s="79" t="s">
        <v>1648</v>
      </c>
      <c r="AC365" s="81">
        <v>59014</v>
      </c>
      <c r="AD365" s="79" t="s">
        <v>1648</v>
      </c>
      <c r="AE365" s="79" t="s">
        <v>1648</v>
      </c>
      <c r="AF365" s="81">
        <v>250</v>
      </c>
    </row>
    <row r="366" spans="1:32" ht="15.75" thickBot="1" x14ac:dyDescent="0.3">
      <c r="A366" s="79" t="s">
        <v>764</v>
      </c>
      <c r="B366" s="93" t="s">
        <v>401</v>
      </c>
      <c r="C366" s="79" t="s">
        <v>54</v>
      </c>
      <c r="D366" s="81">
        <v>123979</v>
      </c>
      <c r="E366" s="81">
        <v>46937</v>
      </c>
      <c r="F366" s="81">
        <v>398039</v>
      </c>
      <c r="G366" s="81">
        <v>671196</v>
      </c>
      <c r="H366" s="81">
        <v>286547</v>
      </c>
      <c r="I366" s="81">
        <v>858322</v>
      </c>
      <c r="J366" s="81">
        <v>247165</v>
      </c>
      <c r="K366" s="81">
        <v>1392034</v>
      </c>
      <c r="L366" s="81">
        <v>47617</v>
      </c>
      <c r="M366" s="81">
        <v>1144869</v>
      </c>
      <c r="N366" s="81">
        <v>294782</v>
      </c>
      <c r="O366" s="81">
        <v>1439651</v>
      </c>
      <c r="P366" s="94">
        <f>O366/D366</f>
        <v>11.612055267424322</v>
      </c>
      <c r="Q366" s="94">
        <f>H366/D366</f>
        <v>2.3112543253292896</v>
      </c>
      <c r="R366" s="94">
        <f>I366/D366</f>
        <v>6.923124077464732</v>
      </c>
      <c r="S366" s="94">
        <f>J366/D366</f>
        <v>1.9936037554747175</v>
      </c>
      <c r="T366" s="94">
        <f>K366/D366</f>
        <v>11.227982158268739</v>
      </c>
      <c r="U366" s="94">
        <f>K366/E366</f>
        <v>29.657498348850588</v>
      </c>
      <c r="V366" s="81">
        <v>153342</v>
      </c>
      <c r="W366" s="79" t="s">
        <v>1648</v>
      </c>
      <c r="X366" s="79" t="s">
        <v>1651</v>
      </c>
      <c r="Y366" s="81">
        <v>12699</v>
      </c>
      <c r="Z366" s="81">
        <v>12966</v>
      </c>
      <c r="AA366" s="81">
        <v>77762</v>
      </c>
      <c r="AB366" s="79" t="s">
        <v>1648</v>
      </c>
      <c r="AC366" s="81">
        <v>22149</v>
      </c>
      <c r="AD366" s="79" t="s">
        <v>1649</v>
      </c>
      <c r="AE366" s="79" t="s">
        <v>1648</v>
      </c>
      <c r="AF366" s="81">
        <v>711</v>
      </c>
    </row>
    <row r="367" spans="1:32" ht="15.75" thickBot="1" x14ac:dyDescent="0.3">
      <c r="A367" s="79" t="s">
        <v>766</v>
      </c>
      <c r="B367" s="93" t="s">
        <v>405</v>
      </c>
      <c r="C367" s="79" t="s">
        <v>54</v>
      </c>
      <c r="D367" s="81">
        <v>395660</v>
      </c>
      <c r="E367" s="81">
        <v>174795</v>
      </c>
      <c r="F367" s="81">
        <v>2597751</v>
      </c>
      <c r="G367" s="81">
        <v>1411248</v>
      </c>
      <c r="H367" s="81">
        <v>2613561</v>
      </c>
      <c r="I367" s="81">
        <v>4032737</v>
      </c>
      <c r="J367" s="81">
        <v>1010852</v>
      </c>
      <c r="K367" s="81">
        <v>7657150</v>
      </c>
      <c r="L367" s="81">
        <v>348584</v>
      </c>
      <c r="M367" s="81">
        <v>6646298</v>
      </c>
      <c r="N367" s="81">
        <v>1359436</v>
      </c>
      <c r="O367" s="81">
        <v>8005734</v>
      </c>
      <c r="P367" s="94">
        <f>O367/D367</f>
        <v>20.233872516807359</v>
      </c>
      <c r="Q367" s="94">
        <f>H367/D367</f>
        <v>6.6055729666885714</v>
      </c>
      <c r="R367" s="94">
        <f>I367/D367</f>
        <v>10.192430369509175</v>
      </c>
      <c r="S367" s="94">
        <f>J367/D367</f>
        <v>2.5548501238437042</v>
      </c>
      <c r="T367" s="94">
        <f>K367/D367</f>
        <v>19.352853460041448</v>
      </c>
      <c r="U367" s="94">
        <f>K367/E367</f>
        <v>43.806458994822506</v>
      </c>
      <c r="V367" s="81">
        <v>447372</v>
      </c>
      <c r="W367" s="79" t="s">
        <v>1648</v>
      </c>
      <c r="X367" s="79" t="s">
        <v>1650</v>
      </c>
      <c r="Y367" s="81">
        <v>32962</v>
      </c>
      <c r="Z367" s="81">
        <v>36570</v>
      </c>
      <c r="AA367" s="81">
        <v>347635</v>
      </c>
      <c r="AB367" s="79" t="s">
        <v>1648</v>
      </c>
      <c r="AC367" s="81">
        <v>906673</v>
      </c>
      <c r="AD367" s="79" t="s">
        <v>1648</v>
      </c>
      <c r="AE367" s="79" t="s">
        <v>1648</v>
      </c>
      <c r="AF367" s="81">
        <v>1300</v>
      </c>
    </row>
    <row r="368" spans="1:32" ht="15.75" thickBot="1" x14ac:dyDescent="0.3">
      <c r="A368" s="79" t="s">
        <v>768</v>
      </c>
      <c r="B368" s="93" t="s">
        <v>416</v>
      </c>
      <c r="C368" s="79" t="s">
        <v>54</v>
      </c>
      <c r="D368" s="81">
        <v>60006</v>
      </c>
      <c r="E368" s="81">
        <v>18909</v>
      </c>
      <c r="F368" s="81">
        <v>103386</v>
      </c>
      <c r="G368" s="81">
        <v>99206</v>
      </c>
      <c r="H368" s="81">
        <v>57619</v>
      </c>
      <c r="I368" s="81">
        <v>96812</v>
      </c>
      <c r="J368" s="81">
        <v>27744</v>
      </c>
      <c r="K368" s="81">
        <v>182175</v>
      </c>
      <c r="L368" s="81">
        <v>2214</v>
      </c>
      <c r="M368" s="81">
        <v>154431</v>
      </c>
      <c r="N368" s="81">
        <v>29958</v>
      </c>
      <c r="O368" s="81">
        <v>184389</v>
      </c>
      <c r="P368" s="94">
        <f>O368/D368</f>
        <v>3.0728427157284273</v>
      </c>
      <c r="Q368" s="94">
        <f>H368/D368</f>
        <v>0.96022064460220646</v>
      </c>
      <c r="R368" s="94">
        <f>I368/D368</f>
        <v>1.6133719961337201</v>
      </c>
      <c r="S368" s="94">
        <f>J368/D368</f>
        <v>0.46235376462353767</v>
      </c>
      <c r="T368" s="94">
        <f>K368/D368</f>
        <v>3.0359464053594643</v>
      </c>
      <c r="U368" s="94">
        <f>K368/E368</f>
        <v>9.6343011264477241</v>
      </c>
      <c r="V368" s="81">
        <v>8487</v>
      </c>
      <c r="W368" s="79" t="s">
        <v>1649</v>
      </c>
      <c r="X368" s="79" t="s">
        <v>1651</v>
      </c>
      <c r="Y368" s="81">
        <v>10355</v>
      </c>
      <c r="Z368" s="81">
        <v>21577</v>
      </c>
      <c r="AA368" s="81">
        <v>17881</v>
      </c>
      <c r="AB368" s="79" t="s">
        <v>1648</v>
      </c>
      <c r="AC368" s="81">
        <v>38017</v>
      </c>
      <c r="AD368" s="79" t="s">
        <v>1648</v>
      </c>
      <c r="AE368" s="79" t="s">
        <v>1649</v>
      </c>
      <c r="AF368" s="95">
        <v>0</v>
      </c>
    </row>
    <row r="369" spans="1:32" ht="15.75" thickBot="1" x14ac:dyDescent="0.3">
      <c r="A369" s="79" t="s">
        <v>770</v>
      </c>
      <c r="B369" s="93" t="s">
        <v>442</v>
      </c>
      <c r="C369" s="79" t="s">
        <v>54</v>
      </c>
      <c r="D369" s="81">
        <v>96942</v>
      </c>
      <c r="E369" s="81">
        <v>27487</v>
      </c>
      <c r="F369" s="81">
        <v>258181</v>
      </c>
      <c r="G369" s="81">
        <v>9798385</v>
      </c>
      <c r="H369" s="81">
        <v>140290</v>
      </c>
      <c r="I369" s="81">
        <v>209408</v>
      </c>
      <c r="J369" s="81">
        <v>85839</v>
      </c>
      <c r="K369" s="81">
        <v>435537</v>
      </c>
      <c r="L369" s="81">
        <v>1640</v>
      </c>
      <c r="M369" s="81">
        <v>349698</v>
      </c>
      <c r="N369" s="81">
        <v>87479</v>
      </c>
      <c r="O369" s="81">
        <v>437177</v>
      </c>
      <c r="P369" s="94">
        <f>O369/D369</f>
        <v>4.5096758886757033</v>
      </c>
      <c r="Q369" s="94">
        <f>H369/D369</f>
        <v>1.4471539683522106</v>
      </c>
      <c r="R369" s="94">
        <f>I369/D369</f>
        <v>2.1601369891275195</v>
      </c>
      <c r="S369" s="94">
        <f>J369/D369</f>
        <v>0.88546759918301665</v>
      </c>
      <c r="T369" s="94">
        <f>K369/D369</f>
        <v>4.4927585566627464</v>
      </c>
      <c r="U369" s="94">
        <f>K369/E369</f>
        <v>15.845199548877652</v>
      </c>
      <c r="V369" s="81">
        <v>144275</v>
      </c>
      <c r="W369" s="79" t="s">
        <v>1648</v>
      </c>
      <c r="X369" s="79" t="s">
        <v>1650</v>
      </c>
      <c r="Y369" s="81">
        <v>51386</v>
      </c>
      <c r="Z369" s="81">
        <v>53781</v>
      </c>
      <c r="AA369" s="81">
        <v>27879</v>
      </c>
      <c r="AB369" s="79" t="s">
        <v>1648</v>
      </c>
      <c r="AC369" s="81">
        <v>56893</v>
      </c>
      <c r="AD369" s="79" t="s">
        <v>1648</v>
      </c>
      <c r="AE369" s="79" t="s">
        <v>1649</v>
      </c>
      <c r="AF369" s="95">
        <v>0</v>
      </c>
    </row>
    <row r="370" spans="1:32" ht="15.75" thickBot="1" x14ac:dyDescent="0.3">
      <c r="A370" s="96" t="s">
        <v>772</v>
      </c>
      <c r="B370" s="93" t="s">
        <v>507</v>
      </c>
      <c r="C370" s="79" t="s">
        <v>54</v>
      </c>
      <c r="D370" s="81">
        <v>149955</v>
      </c>
      <c r="E370" s="81">
        <v>25015</v>
      </c>
      <c r="F370" s="81">
        <v>146120</v>
      </c>
      <c r="G370" s="81">
        <v>599726</v>
      </c>
      <c r="H370" s="81">
        <v>335347</v>
      </c>
      <c r="I370" s="81">
        <v>571236</v>
      </c>
      <c r="J370" s="81">
        <v>139681</v>
      </c>
      <c r="K370" s="81">
        <v>1046264</v>
      </c>
      <c r="L370" s="81">
        <v>79829</v>
      </c>
      <c r="M370" s="81">
        <v>906583</v>
      </c>
      <c r="N370" s="81">
        <v>219510</v>
      </c>
      <c r="O370" s="81">
        <v>1126093</v>
      </c>
      <c r="P370" s="94">
        <f>O370/D370</f>
        <v>7.5095395285252247</v>
      </c>
      <c r="Q370" s="94">
        <f>H370/D370</f>
        <v>2.2363175619352473</v>
      </c>
      <c r="R370" s="94">
        <f>I370/D370</f>
        <v>3.8093828148444535</v>
      </c>
      <c r="S370" s="94">
        <f>J370/D370</f>
        <v>0.9314861125004168</v>
      </c>
      <c r="T370" s="94">
        <f>K370/D370</f>
        <v>6.9771864892801174</v>
      </c>
      <c r="U370" s="94">
        <f>K370/E370</f>
        <v>41.8254647211673</v>
      </c>
      <c r="V370" s="81">
        <v>21814</v>
      </c>
      <c r="W370" s="79" t="s">
        <v>1648</v>
      </c>
      <c r="X370" s="79" t="s">
        <v>1651</v>
      </c>
      <c r="Y370" s="81">
        <v>35601</v>
      </c>
      <c r="Z370" s="81">
        <v>36253</v>
      </c>
      <c r="AA370" s="81">
        <v>167432</v>
      </c>
      <c r="AB370" s="79" t="s">
        <v>1648</v>
      </c>
      <c r="AC370" s="81">
        <v>45634</v>
      </c>
      <c r="AD370" s="79" t="s">
        <v>1648</v>
      </c>
      <c r="AE370" s="79" t="s">
        <v>1649</v>
      </c>
      <c r="AF370" s="95">
        <v>0</v>
      </c>
    </row>
    <row r="371" spans="1:32" ht="15.75" thickBot="1" x14ac:dyDescent="0.3">
      <c r="A371" s="79" t="s">
        <v>774</v>
      </c>
      <c r="B371" s="93" t="s">
        <v>521</v>
      </c>
      <c r="C371" s="79" t="s">
        <v>54</v>
      </c>
      <c r="D371" s="81">
        <v>105852</v>
      </c>
      <c r="E371" s="81">
        <v>23236</v>
      </c>
      <c r="F371" s="81">
        <v>370199</v>
      </c>
      <c r="G371" s="81">
        <v>119742</v>
      </c>
      <c r="H371" s="81">
        <v>177351</v>
      </c>
      <c r="I371" s="81">
        <v>374003</v>
      </c>
      <c r="J371" s="81">
        <v>83295</v>
      </c>
      <c r="K371" s="81">
        <v>634649</v>
      </c>
      <c r="L371" s="81">
        <v>19082</v>
      </c>
      <c r="M371" s="81">
        <v>551354</v>
      </c>
      <c r="N371" s="81">
        <v>102377</v>
      </c>
      <c r="O371" s="81">
        <v>653731</v>
      </c>
      <c r="P371" s="94">
        <f>O371/D371</f>
        <v>6.1758965347844157</v>
      </c>
      <c r="Q371" s="94">
        <f>H371/D371</f>
        <v>1.6754619657635188</v>
      </c>
      <c r="R371" s="94">
        <f>I371/D371</f>
        <v>3.5332634244038847</v>
      </c>
      <c r="S371" s="94">
        <f>J371/D371</f>
        <v>0.78690057816574088</v>
      </c>
      <c r="T371" s="94">
        <f>K371/D371</f>
        <v>5.9956259683331448</v>
      </c>
      <c r="U371" s="94">
        <f>K371/E371</f>
        <v>27.313177827509037</v>
      </c>
      <c r="V371" s="81">
        <v>66946</v>
      </c>
      <c r="W371" s="79" t="s">
        <v>1648</v>
      </c>
      <c r="X371" s="79" t="s">
        <v>1651</v>
      </c>
      <c r="Y371" s="81">
        <v>47947</v>
      </c>
      <c r="Z371" s="81">
        <v>49525</v>
      </c>
      <c r="AA371" s="81">
        <v>62131</v>
      </c>
      <c r="AB371" s="79" t="s">
        <v>1648</v>
      </c>
      <c r="AC371" s="81">
        <v>22230</v>
      </c>
      <c r="AD371" s="79" t="s">
        <v>1648</v>
      </c>
      <c r="AE371" s="79" t="s">
        <v>1648</v>
      </c>
      <c r="AF371" s="81">
        <v>39</v>
      </c>
    </row>
    <row r="372" spans="1:32" ht="15.75" thickBot="1" x14ac:dyDescent="0.3">
      <c r="A372" s="79" t="s">
        <v>776</v>
      </c>
      <c r="B372" s="93" t="s">
        <v>541</v>
      </c>
      <c r="C372" s="79" t="s">
        <v>54</v>
      </c>
      <c r="D372" s="81">
        <v>55374</v>
      </c>
      <c r="E372" s="81">
        <v>24916</v>
      </c>
      <c r="F372" s="81">
        <v>325645</v>
      </c>
      <c r="G372" s="81">
        <v>1353193</v>
      </c>
      <c r="H372" s="81">
        <v>291694</v>
      </c>
      <c r="I372" s="81">
        <v>322116</v>
      </c>
      <c r="J372" s="81">
        <v>106897</v>
      </c>
      <c r="K372" s="81">
        <v>720707</v>
      </c>
      <c r="L372" s="81">
        <v>19562</v>
      </c>
      <c r="M372" s="81">
        <v>613810</v>
      </c>
      <c r="N372" s="81">
        <v>126459</v>
      </c>
      <c r="O372" s="81">
        <v>740269</v>
      </c>
      <c r="P372" s="94">
        <f>O372/D372</f>
        <v>13.368530357207353</v>
      </c>
      <c r="Q372" s="94">
        <f>H372/D372</f>
        <v>5.2677068660382131</v>
      </c>
      <c r="R372" s="94">
        <f>I372/D372</f>
        <v>5.8170982771697908</v>
      </c>
      <c r="S372" s="94">
        <f>J372/D372</f>
        <v>1.930454726044714</v>
      </c>
      <c r="T372" s="94">
        <f>K372/D372</f>
        <v>13.015259869252718</v>
      </c>
      <c r="U372" s="94">
        <f>K372/E372</f>
        <v>28.925469577781346</v>
      </c>
      <c r="V372" s="81">
        <v>88345</v>
      </c>
      <c r="W372" s="79" t="s">
        <v>1649</v>
      </c>
      <c r="X372" s="79" t="s">
        <v>1650</v>
      </c>
      <c r="Y372" s="81">
        <v>31240</v>
      </c>
      <c r="Z372" s="81">
        <v>43508</v>
      </c>
      <c r="AA372" s="81">
        <v>25359</v>
      </c>
      <c r="AB372" s="79" t="s">
        <v>1648</v>
      </c>
      <c r="AC372" s="81">
        <v>580697</v>
      </c>
      <c r="AD372" s="79" t="s">
        <v>1649</v>
      </c>
      <c r="AE372" s="79" t="s">
        <v>1648</v>
      </c>
      <c r="AF372" s="81">
        <v>0</v>
      </c>
    </row>
    <row r="373" spans="1:32" ht="15.75" thickBot="1" x14ac:dyDescent="0.3">
      <c r="A373" s="79" t="s">
        <v>778</v>
      </c>
      <c r="B373" s="93" t="s">
        <v>589</v>
      </c>
      <c r="C373" s="79" t="s">
        <v>54</v>
      </c>
      <c r="D373" s="81">
        <v>59515</v>
      </c>
      <c r="E373" s="81">
        <v>10240</v>
      </c>
      <c r="F373" s="81">
        <v>15594</v>
      </c>
      <c r="G373" s="81">
        <v>6982</v>
      </c>
      <c r="H373" s="81">
        <v>15170</v>
      </c>
      <c r="I373" s="81">
        <v>88812</v>
      </c>
      <c r="J373" s="81">
        <v>7802</v>
      </c>
      <c r="K373" s="81">
        <v>111784</v>
      </c>
      <c r="L373" s="81">
        <v>4596</v>
      </c>
      <c r="M373" s="81">
        <v>103982</v>
      </c>
      <c r="N373" s="81">
        <v>12398</v>
      </c>
      <c r="O373" s="81">
        <v>116380</v>
      </c>
      <c r="P373" s="94">
        <f>O373/D373</f>
        <v>1.9554734100646896</v>
      </c>
      <c r="Q373" s="94">
        <f>H373/D373</f>
        <v>0.25489372427119211</v>
      </c>
      <c r="R373" s="94">
        <f>I373/D373</f>
        <v>1.4922624548433168</v>
      </c>
      <c r="S373" s="94">
        <f>J373/D373</f>
        <v>0.13109300176426111</v>
      </c>
      <c r="T373" s="94">
        <f>K373/D373</f>
        <v>1.87824918087877</v>
      </c>
      <c r="U373" s="94">
        <f>K373/E373</f>
        <v>10.91640625</v>
      </c>
      <c r="V373" s="81">
        <v>14414</v>
      </c>
      <c r="W373" s="79" t="s">
        <v>1648</v>
      </c>
      <c r="X373" s="79" t="s">
        <v>1651</v>
      </c>
      <c r="Y373" s="81">
        <v>29960</v>
      </c>
      <c r="Z373" s="81">
        <v>22536</v>
      </c>
      <c r="AA373" s="81">
        <v>31104</v>
      </c>
      <c r="AB373" s="79" t="s">
        <v>1648</v>
      </c>
      <c r="AC373" s="77" t="s">
        <v>1660</v>
      </c>
      <c r="AD373" s="79" t="s">
        <v>1648</v>
      </c>
      <c r="AE373" s="79" t="s">
        <v>1648</v>
      </c>
      <c r="AF373" s="81">
        <v>14</v>
      </c>
    </row>
    <row r="374" spans="1:32" ht="15.75" thickBot="1" x14ac:dyDescent="0.3">
      <c r="A374" s="79" t="s">
        <v>780</v>
      </c>
      <c r="B374" s="93" t="s">
        <v>593</v>
      </c>
      <c r="C374" s="79" t="s">
        <v>54</v>
      </c>
      <c r="D374" s="81">
        <v>52170</v>
      </c>
      <c r="E374" s="81">
        <v>40335</v>
      </c>
      <c r="F374" s="81">
        <v>688143</v>
      </c>
      <c r="G374" s="81">
        <v>420805</v>
      </c>
      <c r="H374" s="81">
        <v>335050</v>
      </c>
      <c r="I374" s="81">
        <v>310945</v>
      </c>
      <c r="J374" s="81">
        <v>140609</v>
      </c>
      <c r="K374" s="81">
        <v>786604</v>
      </c>
      <c r="L374" s="81">
        <v>49579</v>
      </c>
      <c r="M374" s="81">
        <v>645995</v>
      </c>
      <c r="N374" s="81">
        <v>190188</v>
      </c>
      <c r="O374" s="81">
        <v>836183</v>
      </c>
      <c r="P374" s="94">
        <f>O374/D374</f>
        <v>16.028042936553575</v>
      </c>
      <c r="Q374" s="94">
        <f>H374/D374</f>
        <v>6.4222733371669545</v>
      </c>
      <c r="R374" s="94">
        <f>I374/D374</f>
        <v>5.9602261836304393</v>
      </c>
      <c r="S374" s="94">
        <f>J374/D374</f>
        <v>2.6952079739313781</v>
      </c>
      <c r="T374" s="94">
        <f>K374/D374</f>
        <v>15.077707494728772</v>
      </c>
      <c r="U374" s="94">
        <f>K374/E374</f>
        <v>19.50177265402256</v>
      </c>
      <c r="V374" s="81">
        <v>99617</v>
      </c>
      <c r="W374" s="79" t="s">
        <v>1648</v>
      </c>
      <c r="X374" s="79" t="s">
        <v>1651</v>
      </c>
      <c r="Y374" s="81">
        <v>13989</v>
      </c>
      <c r="Z374" s="81">
        <v>15146</v>
      </c>
      <c r="AA374" s="81">
        <v>28773</v>
      </c>
      <c r="AB374" s="79" t="s">
        <v>1648</v>
      </c>
      <c r="AC374" s="81">
        <v>97865</v>
      </c>
      <c r="AD374" s="79" t="s">
        <v>1648</v>
      </c>
      <c r="AE374" s="79" t="s">
        <v>1648</v>
      </c>
      <c r="AF374" s="81">
        <v>295</v>
      </c>
    </row>
    <row r="375" spans="1:32" ht="15.75" thickBot="1" x14ac:dyDescent="0.3">
      <c r="A375" s="79" t="s">
        <v>782</v>
      </c>
      <c r="B375" s="93" t="s">
        <v>603</v>
      </c>
      <c r="C375" s="79" t="s">
        <v>54</v>
      </c>
      <c r="D375" s="81">
        <v>124690</v>
      </c>
      <c r="E375" s="81">
        <v>46512</v>
      </c>
      <c r="F375" s="81">
        <v>198742</v>
      </c>
      <c r="G375" s="81">
        <v>209735</v>
      </c>
      <c r="H375" s="81">
        <v>69147</v>
      </c>
      <c r="I375" s="81">
        <v>128415</v>
      </c>
      <c r="J375" s="81">
        <v>41654</v>
      </c>
      <c r="K375" s="81">
        <v>239216</v>
      </c>
      <c r="L375" s="81">
        <v>284954</v>
      </c>
      <c r="M375" s="81">
        <v>197562</v>
      </c>
      <c r="N375" s="81">
        <v>326608</v>
      </c>
      <c r="O375" s="81">
        <v>524170</v>
      </c>
      <c r="P375" s="94">
        <f>O375/D375</f>
        <v>4.2037853877616485</v>
      </c>
      <c r="Q375" s="94">
        <f>H375/D375</f>
        <v>0.55455128719223679</v>
      </c>
      <c r="R375" s="94">
        <f>I375/D375</f>
        <v>1.0298740877375892</v>
      </c>
      <c r="S375" s="94">
        <f>J375/D375</f>
        <v>0.33406046996551447</v>
      </c>
      <c r="T375" s="94">
        <f>K375/D375</f>
        <v>1.9184858448953404</v>
      </c>
      <c r="U375" s="94">
        <f>K375/E375</f>
        <v>5.1431028551771583</v>
      </c>
      <c r="V375" s="81">
        <v>103227</v>
      </c>
      <c r="W375" s="79" t="s">
        <v>1648</v>
      </c>
      <c r="X375" s="79" t="s">
        <v>1650</v>
      </c>
      <c r="Y375" s="81">
        <v>10057</v>
      </c>
      <c r="Z375" s="81">
        <v>12549</v>
      </c>
      <c r="AA375" s="81">
        <v>40852</v>
      </c>
      <c r="AB375" s="79" t="s">
        <v>1648</v>
      </c>
      <c r="AC375" s="81">
        <v>45240</v>
      </c>
      <c r="AD375" s="79" t="s">
        <v>1649</v>
      </c>
      <c r="AE375" s="79" t="s">
        <v>1649</v>
      </c>
      <c r="AF375" s="95">
        <v>0</v>
      </c>
    </row>
    <row r="376" spans="1:32" ht="15.75" thickBot="1" x14ac:dyDescent="0.3">
      <c r="A376" s="79" t="s">
        <v>784</v>
      </c>
      <c r="B376" s="93" t="s">
        <v>637</v>
      </c>
      <c r="C376" s="79" t="s">
        <v>54</v>
      </c>
      <c r="D376" s="81">
        <v>100485</v>
      </c>
      <c r="E376" s="81">
        <v>63778</v>
      </c>
      <c r="F376" s="81">
        <v>496555</v>
      </c>
      <c r="G376" s="81">
        <v>214629</v>
      </c>
      <c r="H376" s="81">
        <v>767026</v>
      </c>
      <c r="I376" s="81">
        <v>1191678</v>
      </c>
      <c r="J376" s="81">
        <v>186105</v>
      </c>
      <c r="K376" s="81">
        <v>2144809</v>
      </c>
      <c r="L376" s="81">
        <v>56292</v>
      </c>
      <c r="M376" s="81">
        <v>1958704</v>
      </c>
      <c r="N376" s="81">
        <v>242397</v>
      </c>
      <c r="O376" s="81">
        <v>2201101</v>
      </c>
      <c r="P376" s="94">
        <f>O376/D376</f>
        <v>21.904771856495994</v>
      </c>
      <c r="Q376" s="94">
        <f>H376/D376</f>
        <v>7.6332387918594815</v>
      </c>
      <c r="R376" s="94">
        <f>I376/D376</f>
        <v>11.859262576503955</v>
      </c>
      <c r="S376" s="94">
        <f>J376/D376</f>
        <v>1.852067472757128</v>
      </c>
      <c r="T376" s="94">
        <f>K376/D376</f>
        <v>21.344568841120566</v>
      </c>
      <c r="U376" s="94">
        <f>K376/E376</f>
        <v>33.629292232431247</v>
      </c>
      <c r="V376" s="81">
        <v>0</v>
      </c>
      <c r="W376" s="79" t="s">
        <v>1648</v>
      </c>
      <c r="X376" s="79" t="s">
        <v>1650</v>
      </c>
      <c r="Y376" s="81">
        <v>19249</v>
      </c>
      <c r="Z376" s="81">
        <v>21396</v>
      </c>
      <c r="AA376" s="81">
        <v>45300</v>
      </c>
      <c r="AB376" s="79" t="s">
        <v>1648</v>
      </c>
      <c r="AC376" s="81">
        <v>102203</v>
      </c>
      <c r="AD376" s="79" t="s">
        <v>1648</v>
      </c>
      <c r="AE376" s="79" t="s">
        <v>1648</v>
      </c>
      <c r="AF376" s="81">
        <v>71</v>
      </c>
    </row>
    <row r="377" spans="1:32" ht="15.75" thickBot="1" x14ac:dyDescent="0.3">
      <c r="A377" s="79" t="s">
        <v>786</v>
      </c>
      <c r="B377" s="93" t="s">
        <v>647</v>
      </c>
      <c r="C377" s="79" t="s">
        <v>54</v>
      </c>
      <c r="D377" s="81">
        <v>57236</v>
      </c>
      <c r="E377" s="81">
        <v>22002</v>
      </c>
      <c r="F377" s="81">
        <v>127211</v>
      </c>
      <c r="G377" s="81">
        <v>102260</v>
      </c>
      <c r="H377" s="81">
        <v>85756</v>
      </c>
      <c r="I377" s="81">
        <v>77765</v>
      </c>
      <c r="J377" s="81">
        <v>120697</v>
      </c>
      <c r="K377" s="81">
        <v>284218</v>
      </c>
      <c r="L377" s="81">
        <v>149502</v>
      </c>
      <c r="M377" s="81">
        <v>163521</v>
      </c>
      <c r="N377" s="81">
        <v>270199</v>
      </c>
      <c r="O377" s="81">
        <v>433720</v>
      </c>
      <c r="P377" s="94">
        <f>O377/D377</f>
        <v>7.577748270319379</v>
      </c>
      <c r="Q377" s="94">
        <f>H377/D377</f>
        <v>1.4982877909008316</v>
      </c>
      <c r="R377" s="94">
        <f>I377/D377</f>
        <v>1.3586728632329304</v>
      </c>
      <c r="S377" s="94">
        <f>J377/D377</f>
        <v>2.1087602208400309</v>
      </c>
      <c r="T377" s="94">
        <f>K377/D377</f>
        <v>4.9657208749737931</v>
      </c>
      <c r="U377" s="94">
        <f>K377/E377</f>
        <v>12.917825652213436</v>
      </c>
      <c r="V377" s="81">
        <v>15952</v>
      </c>
      <c r="W377" s="79" t="s">
        <v>1648</v>
      </c>
      <c r="X377" s="79" t="s">
        <v>1651</v>
      </c>
      <c r="Y377" s="81">
        <v>13336</v>
      </c>
      <c r="Z377" s="81">
        <v>26010</v>
      </c>
      <c r="AA377" s="81">
        <v>21768</v>
      </c>
      <c r="AB377" s="79" t="s">
        <v>1648</v>
      </c>
      <c r="AC377" s="81">
        <v>10903</v>
      </c>
      <c r="AD377" s="79" t="s">
        <v>1648</v>
      </c>
      <c r="AE377" s="79" t="s">
        <v>1648</v>
      </c>
      <c r="AF377" s="81">
        <v>106</v>
      </c>
    </row>
    <row r="378" spans="1:32" ht="15.75" thickBot="1" x14ac:dyDescent="0.3">
      <c r="A378" s="79" t="s">
        <v>788</v>
      </c>
      <c r="B378" s="93" t="s">
        <v>653</v>
      </c>
      <c r="C378" s="79" t="s">
        <v>54</v>
      </c>
      <c r="D378" s="81">
        <v>160312</v>
      </c>
      <c r="E378" s="81">
        <v>58832</v>
      </c>
      <c r="F378" s="81">
        <v>459004</v>
      </c>
      <c r="G378" s="81">
        <v>5255394</v>
      </c>
      <c r="H378" s="81">
        <v>147188</v>
      </c>
      <c r="I378" s="81">
        <v>311059</v>
      </c>
      <c r="J378" s="81">
        <v>70995</v>
      </c>
      <c r="K378" s="81">
        <v>529242</v>
      </c>
      <c r="L378" s="81">
        <v>34654</v>
      </c>
      <c r="M378" s="81">
        <v>458247</v>
      </c>
      <c r="N378" s="81">
        <v>105649</v>
      </c>
      <c r="O378" s="81">
        <v>563896</v>
      </c>
      <c r="P378" s="94">
        <f>O378/D378</f>
        <v>3.5174908927591195</v>
      </c>
      <c r="Q378" s="94">
        <f>H378/D378</f>
        <v>0.91813463745695889</v>
      </c>
      <c r="R378" s="94">
        <f>I378/D378</f>
        <v>1.9403350965617048</v>
      </c>
      <c r="S378" s="94">
        <f>J378/D378</f>
        <v>0.44285518239433108</v>
      </c>
      <c r="T378" s="94">
        <f>K378/D378</f>
        <v>3.3013249164129945</v>
      </c>
      <c r="U378" s="94">
        <f>K378/E378</f>
        <v>8.9958186021212949</v>
      </c>
      <c r="V378" s="81">
        <v>4874</v>
      </c>
      <c r="W378" s="79" t="s">
        <v>1648</v>
      </c>
      <c r="X378" s="79" t="s">
        <v>1650</v>
      </c>
      <c r="Y378" s="81">
        <v>15779</v>
      </c>
      <c r="Z378" s="81">
        <v>12783</v>
      </c>
      <c r="AA378" s="81">
        <v>72290</v>
      </c>
      <c r="AB378" s="79" t="s">
        <v>1648</v>
      </c>
      <c r="AC378" s="81">
        <v>28097</v>
      </c>
      <c r="AD378" s="79" t="s">
        <v>1648</v>
      </c>
      <c r="AE378" s="79" t="s">
        <v>1649</v>
      </c>
      <c r="AF378" s="95">
        <v>0</v>
      </c>
    </row>
    <row r="379" spans="1:32" ht="15.75" thickBot="1" x14ac:dyDescent="0.3">
      <c r="A379" s="79" t="s">
        <v>790</v>
      </c>
      <c r="B379" s="93" t="s">
        <v>655</v>
      </c>
      <c r="C379" s="79" t="s">
        <v>54</v>
      </c>
      <c r="D379" s="81">
        <v>59715</v>
      </c>
      <c r="E379" s="81">
        <v>29679</v>
      </c>
      <c r="F379" s="81">
        <v>100756</v>
      </c>
      <c r="G379" s="81">
        <v>79224</v>
      </c>
      <c r="H379" s="81">
        <v>56447</v>
      </c>
      <c r="I379" s="81">
        <v>131712</v>
      </c>
      <c r="J379" s="81">
        <v>41036</v>
      </c>
      <c r="K379" s="81">
        <v>229195</v>
      </c>
      <c r="L379" s="81">
        <v>55964</v>
      </c>
      <c r="M379" s="81">
        <v>188159</v>
      </c>
      <c r="N379" s="81">
        <v>97000</v>
      </c>
      <c r="O379" s="81">
        <v>285159</v>
      </c>
      <c r="P379" s="94">
        <f>O379/D379</f>
        <v>4.775332830946998</v>
      </c>
      <c r="Q379" s="94">
        <f>H379/D379</f>
        <v>0.94527338189734578</v>
      </c>
      <c r="R379" s="94">
        <f>I379/D379</f>
        <v>2.205676965586536</v>
      </c>
      <c r="S379" s="94">
        <f>J379/D379</f>
        <v>0.68719752156074687</v>
      </c>
      <c r="T379" s="94">
        <f>K379/D379</f>
        <v>3.8381478690446285</v>
      </c>
      <c r="U379" s="94">
        <f>K379/E379</f>
        <v>7.7224636948684253</v>
      </c>
      <c r="V379" s="81">
        <v>10626</v>
      </c>
      <c r="W379" s="79" t="s">
        <v>1648</v>
      </c>
      <c r="X379" s="79" t="s">
        <v>1651</v>
      </c>
      <c r="Y379" s="81">
        <v>15607</v>
      </c>
      <c r="Z379" s="81">
        <v>11408</v>
      </c>
      <c r="AA379" s="81">
        <v>13286</v>
      </c>
      <c r="AB379" s="79" t="s">
        <v>1648</v>
      </c>
      <c r="AC379" s="81">
        <v>39794</v>
      </c>
      <c r="AD379" s="79" t="s">
        <v>1648</v>
      </c>
      <c r="AE379" s="79" t="s">
        <v>1648</v>
      </c>
      <c r="AF379" s="81">
        <v>18</v>
      </c>
    </row>
    <row r="380" spans="1:32" ht="15.75" thickBot="1" x14ac:dyDescent="0.3">
      <c r="A380" s="79" t="s">
        <v>792</v>
      </c>
      <c r="B380" s="93" t="s">
        <v>683</v>
      </c>
      <c r="C380" s="79" t="s">
        <v>54</v>
      </c>
      <c r="D380" s="81">
        <v>73804</v>
      </c>
      <c r="E380" s="81">
        <v>31694</v>
      </c>
      <c r="F380" s="81">
        <v>155754</v>
      </c>
      <c r="G380" s="81">
        <v>121414</v>
      </c>
      <c r="H380" s="81">
        <v>139517</v>
      </c>
      <c r="I380" s="81">
        <v>130998</v>
      </c>
      <c r="J380" s="81">
        <v>46158</v>
      </c>
      <c r="K380" s="81">
        <v>316673</v>
      </c>
      <c r="L380" s="81">
        <v>0</v>
      </c>
      <c r="M380" s="81">
        <v>270515</v>
      </c>
      <c r="N380" s="81">
        <v>46158</v>
      </c>
      <c r="O380" s="81">
        <v>316673</v>
      </c>
      <c r="P380" s="94">
        <f>O380/D380</f>
        <v>4.290729499756111</v>
      </c>
      <c r="Q380" s="94">
        <f>H380/D380</f>
        <v>1.8903717955666359</v>
      </c>
      <c r="R380" s="94">
        <f>I380/D380</f>
        <v>1.7749444474554226</v>
      </c>
      <c r="S380" s="94">
        <f>J380/D380</f>
        <v>0.62541325673405235</v>
      </c>
      <c r="T380" s="94">
        <f>K380/D380</f>
        <v>4.290729499756111</v>
      </c>
      <c r="U380" s="94">
        <f>K380/E380</f>
        <v>9.9915756925601062</v>
      </c>
      <c r="V380" s="81">
        <v>27488</v>
      </c>
      <c r="W380" s="79" t="s">
        <v>1649</v>
      </c>
      <c r="X380" s="79" t="s">
        <v>1651</v>
      </c>
      <c r="Y380" s="81">
        <v>19867</v>
      </c>
      <c r="Z380" s="81">
        <v>34627</v>
      </c>
      <c r="AA380" s="81">
        <v>14405</v>
      </c>
      <c r="AB380" s="79" t="s">
        <v>1648</v>
      </c>
      <c r="AC380" s="81">
        <v>39748</v>
      </c>
      <c r="AD380" s="79" t="s">
        <v>1649</v>
      </c>
      <c r="AE380" s="79" t="s">
        <v>1649</v>
      </c>
      <c r="AF380" s="95">
        <v>0</v>
      </c>
    </row>
    <row r="381" spans="1:32" ht="15.75" thickBot="1" x14ac:dyDescent="0.3">
      <c r="A381" s="96" t="s">
        <v>794</v>
      </c>
      <c r="B381" s="93" t="s">
        <v>695</v>
      </c>
      <c r="C381" s="79" t="s">
        <v>54</v>
      </c>
      <c r="D381" s="81">
        <v>75814</v>
      </c>
      <c r="E381" s="81">
        <v>23850</v>
      </c>
      <c r="F381" s="81">
        <v>69798</v>
      </c>
      <c r="G381" s="81">
        <v>268143</v>
      </c>
      <c r="H381" s="81">
        <v>123516</v>
      </c>
      <c r="I381" s="81">
        <v>112480</v>
      </c>
      <c r="J381" s="81">
        <v>13551</v>
      </c>
      <c r="K381" s="81">
        <v>249547</v>
      </c>
      <c r="L381" s="81">
        <v>29286</v>
      </c>
      <c r="M381" s="81">
        <v>235996</v>
      </c>
      <c r="N381" s="81">
        <v>42837</v>
      </c>
      <c r="O381" s="81">
        <v>278833</v>
      </c>
      <c r="P381" s="94">
        <f>O381/D381</f>
        <v>3.677856332603477</v>
      </c>
      <c r="Q381" s="94">
        <f>H381/D381</f>
        <v>1.6291977734982985</v>
      </c>
      <c r="R381" s="94">
        <f>I381/D381</f>
        <v>1.4836309916374284</v>
      </c>
      <c r="S381" s="94">
        <f>J381/D381</f>
        <v>0.1787400743925924</v>
      </c>
      <c r="T381" s="94">
        <f>K381/D381</f>
        <v>3.2915688395283191</v>
      </c>
      <c r="U381" s="94">
        <f>K381/E381</f>
        <v>10.463186582809225</v>
      </c>
      <c r="V381" s="81">
        <v>58711</v>
      </c>
      <c r="W381" s="79" t="s">
        <v>1648</v>
      </c>
      <c r="X381" s="79" t="s">
        <v>1651</v>
      </c>
      <c r="Y381" s="81">
        <v>6093</v>
      </c>
      <c r="Z381" s="81">
        <v>6167</v>
      </c>
      <c r="AA381" s="81">
        <v>22125</v>
      </c>
      <c r="AB381" s="79" t="s">
        <v>1648</v>
      </c>
      <c r="AC381" s="81">
        <v>0</v>
      </c>
      <c r="AD381" s="79" t="s">
        <v>1649</v>
      </c>
      <c r="AE381" s="79" t="s">
        <v>1649</v>
      </c>
      <c r="AF381" s="77">
        <v>0</v>
      </c>
    </row>
    <row r="382" spans="1:32" ht="15.75" thickBot="1" x14ac:dyDescent="0.3">
      <c r="A382" s="79" t="s">
        <v>796</v>
      </c>
      <c r="B382" s="93" t="s">
        <v>709</v>
      </c>
      <c r="C382" s="79" t="s">
        <v>54</v>
      </c>
      <c r="D382" s="81">
        <v>129699</v>
      </c>
      <c r="E382" s="81">
        <v>62882</v>
      </c>
      <c r="F382" s="81">
        <v>149962</v>
      </c>
      <c r="G382" s="81">
        <v>943751</v>
      </c>
      <c r="H382" s="81">
        <v>182266</v>
      </c>
      <c r="I382" s="81">
        <v>198741</v>
      </c>
      <c r="J382" s="81">
        <v>111657</v>
      </c>
      <c r="K382" s="81">
        <v>492664</v>
      </c>
      <c r="L382" s="81">
        <v>17932</v>
      </c>
      <c r="M382" s="81">
        <v>381007</v>
      </c>
      <c r="N382" s="81">
        <v>129589</v>
      </c>
      <c r="O382" s="81">
        <v>510596</v>
      </c>
      <c r="P382" s="94">
        <f>O382/D382</f>
        <v>3.9367766906452633</v>
      </c>
      <c r="Q382" s="94">
        <f>H382/D382</f>
        <v>1.4052999637622494</v>
      </c>
      <c r="R382" s="94">
        <f>I382/D382</f>
        <v>1.5323248444475286</v>
      </c>
      <c r="S382" s="94">
        <f>J382/D382</f>
        <v>0.86089329910022439</v>
      </c>
      <c r="T382" s="94">
        <f>K382/D382</f>
        <v>3.7985181073100023</v>
      </c>
      <c r="U382" s="94">
        <f>K382/E382</f>
        <v>7.8347380808498457</v>
      </c>
      <c r="V382" s="81">
        <v>42828</v>
      </c>
      <c r="W382" s="79" t="s">
        <v>1649</v>
      </c>
      <c r="X382" s="79" t="s">
        <v>1651</v>
      </c>
      <c r="Y382" s="81">
        <v>49901</v>
      </c>
      <c r="Z382" s="81">
        <v>54225</v>
      </c>
      <c r="AA382" s="81">
        <v>35843</v>
      </c>
      <c r="AB382" s="79" t="s">
        <v>1648</v>
      </c>
      <c r="AC382" s="81">
        <v>92418</v>
      </c>
      <c r="AD382" s="79" t="s">
        <v>1648</v>
      </c>
      <c r="AE382" s="79" t="s">
        <v>1648</v>
      </c>
      <c r="AF382" s="77" t="s">
        <v>1660</v>
      </c>
    </row>
    <row r="383" spans="1:32" ht="15.75" thickBot="1" x14ac:dyDescent="0.3">
      <c r="A383" s="79" t="s">
        <v>798</v>
      </c>
      <c r="B383" s="93" t="s">
        <v>725</v>
      </c>
      <c r="C383" s="79" t="s">
        <v>54</v>
      </c>
      <c r="D383" s="81">
        <v>63131</v>
      </c>
      <c r="E383" s="81">
        <v>12035</v>
      </c>
      <c r="F383" s="81">
        <v>-1</v>
      </c>
      <c r="G383" s="81">
        <v>-1</v>
      </c>
      <c r="H383" s="81">
        <v>21210</v>
      </c>
      <c r="I383" s="81">
        <v>55970</v>
      </c>
      <c r="J383" s="81">
        <v>19911</v>
      </c>
      <c r="K383" s="81">
        <v>97091</v>
      </c>
      <c r="L383" s="81">
        <v>7851</v>
      </c>
      <c r="M383" s="81">
        <v>77180</v>
      </c>
      <c r="N383" s="81">
        <v>27762</v>
      </c>
      <c r="O383" s="81">
        <v>104942</v>
      </c>
      <c r="P383" s="94">
        <f>O383/D383</f>
        <v>1.6622895249560439</v>
      </c>
      <c r="Q383" s="94">
        <f>H383/D383</f>
        <v>0.33596806640160937</v>
      </c>
      <c r="R383" s="94">
        <f>I383/D383</f>
        <v>0.88656919738321904</v>
      </c>
      <c r="S383" s="94">
        <f>J383/D383</f>
        <v>0.31539180434334957</v>
      </c>
      <c r="T383" s="94">
        <f>K383/D383</f>
        <v>1.5379290681281779</v>
      </c>
      <c r="U383" s="94">
        <f>K383/E383</f>
        <v>8.0673867885334438</v>
      </c>
      <c r="V383" s="81">
        <v>14041</v>
      </c>
      <c r="W383" s="79" t="s">
        <v>1648</v>
      </c>
      <c r="X383" s="79" t="s">
        <v>1651</v>
      </c>
      <c r="Y383" s="81">
        <v>16580</v>
      </c>
      <c r="Z383" s="81">
        <v>10513</v>
      </c>
      <c r="AA383" s="81">
        <v>15118</v>
      </c>
      <c r="AB383" s="79" t="s">
        <v>1648</v>
      </c>
      <c r="AC383" s="81">
        <v>13141</v>
      </c>
      <c r="AD383" s="79" t="s">
        <v>1648</v>
      </c>
      <c r="AE383" s="79" t="s">
        <v>1649</v>
      </c>
      <c r="AF383" s="77">
        <v>0</v>
      </c>
    </row>
    <row r="384" spans="1:32" ht="15.75" thickBot="1" x14ac:dyDescent="0.3">
      <c r="A384" s="79" t="s">
        <v>800</v>
      </c>
      <c r="B384" s="93" t="s">
        <v>751</v>
      </c>
      <c r="C384" s="79" t="s">
        <v>54</v>
      </c>
      <c r="D384" s="81">
        <v>97396</v>
      </c>
      <c r="E384" s="81">
        <v>65258</v>
      </c>
      <c r="F384" s="81">
        <v>568791</v>
      </c>
      <c r="G384" s="81">
        <v>335042</v>
      </c>
      <c r="H384" s="81">
        <v>329882</v>
      </c>
      <c r="I384" s="81">
        <v>651033</v>
      </c>
      <c r="J384" s="81">
        <v>115515</v>
      </c>
      <c r="K384" s="81">
        <v>1096430</v>
      </c>
      <c r="L384" s="81">
        <v>58884</v>
      </c>
      <c r="M384" s="81">
        <v>980915</v>
      </c>
      <c r="N384" s="81">
        <v>174399</v>
      </c>
      <c r="O384" s="81">
        <v>1155314</v>
      </c>
      <c r="P384" s="94">
        <f>O384/D384</f>
        <v>11.862027187974865</v>
      </c>
      <c r="Q384" s="94">
        <f>H384/D384</f>
        <v>3.387017947348967</v>
      </c>
      <c r="R384" s="94">
        <f>I384/D384</f>
        <v>6.6843915561214011</v>
      </c>
      <c r="S384" s="94">
        <f>J384/D384</f>
        <v>1.1860343340588937</v>
      </c>
      <c r="T384" s="94">
        <f>K384/D384</f>
        <v>11.257443837529262</v>
      </c>
      <c r="U384" s="94">
        <f>K384/E384</f>
        <v>16.801464954488338</v>
      </c>
      <c r="V384" s="81">
        <v>64825</v>
      </c>
      <c r="W384" s="79" t="s">
        <v>1648</v>
      </c>
      <c r="X384" s="79" t="s">
        <v>1651</v>
      </c>
      <c r="Y384" s="81">
        <v>42742</v>
      </c>
      <c r="Z384" s="81">
        <v>45360</v>
      </c>
      <c r="AA384" s="81">
        <v>41745</v>
      </c>
      <c r="AB384" s="79" t="s">
        <v>1648</v>
      </c>
      <c r="AC384" s="81">
        <v>176639</v>
      </c>
      <c r="AD384" s="79" t="s">
        <v>1648</v>
      </c>
      <c r="AE384" s="79" t="s">
        <v>1648</v>
      </c>
      <c r="AF384" s="81">
        <v>8</v>
      </c>
    </row>
    <row r="385" spans="1:32" ht="15.75" thickBot="1" x14ac:dyDescent="0.3">
      <c r="A385" s="79" t="s">
        <v>802</v>
      </c>
      <c r="B385" s="93" t="s">
        <v>1614</v>
      </c>
      <c r="C385" s="79" t="s">
        <v>54</v>
      </c>
      <c r="D385" s="81">
        <v>72726</v>
      </c>
      <c r="E385" s="81">
        <v>17441</v>
      </c>
      <c r="F385" s="81">
        <v>103936</v>
      </c>
      <c r="G385" s="81">
        <v>110494</v>
      </c>
      <c r="H385" s="81">
        <v>32386</v>
      </c>
      <c r="I385" s="81">
        <v>62867</v>
      </c>
      <c r="J385" s="81">
        <v>47877</v>
      </c>
      <c r="K385" s="81">
        <v>143130</v>
      </c>
      <c r="L385" s="81">
        <v>6123</v>
      </c>
      <c r="M385" s="81">
        <v>95253</v>
      </c>
      <c r="N385" s="81">
        <v>54000</v>
      </c>
      <c r="O385" s="81">
        <v>149253</v>
      </c>
      <c r="P385" s="94">
        <f>O385/D385</f>
        <v>2.0522646646316312</v>
      </c>
      <c r="Q385" s="94">
        <f>H385/D385</f>
        <v>0.44531529301762779</v>
      </c>
      <c r="R385" s="94">
        <f>I385/D385</f>
        <v>0.86443637763660863</v>
      </c>
      <c r="S385" s="94">
        <f>J385/D385</f>
        <v>0.65832027060473564</v>
      </c>
      <c r="T385" s="94">
        <f>K385/D385</f>
        <v>1.968071941258972</v>
      </c>
      <c r="U385" s="94">
        <f>K385/E385</f>
        <v>8.206524855226192</v>
      </c>
      <c r="V385" s="81">
        <v>17804</v>
      </c>
      <c r="W385" s="79" t="s">
        <v>1648</v>
      </c>
      <c r="X385" s="79" t="s">
        <v>1650</v>
      </c>
      <c r="Y385" s="81">
        <v>29540</v>
      </c>
      <c r="Z385" s="81">
        <v>14442</v>
      </c>
      <c r="AA385" s="81">
        <v>11100</v>
      </c>
      <c r="AB385" s="79" t="s">
        <v>1648</v>
      </c>
      <c r="AC385" s="81">
        <v>2840</v>
      </c>
      <c r="AD385" s="79" t="s">
        <v>1649</v>
      </c>
      <c r="AE385" s="79" t="s">
        <v>1649</v>
      </c>
      <c r="AF385" s="95">
        <v>0</v>
      </c>
    </row>
    <row r="386" spans="1:32" ht="15.75" thickBot="1" x14ac:dyDescent="0.3">
      <c r="A386" s="79" t="s">
        <v>804</v>
      </c>
      <c r="B386" s="93" t="s">
        <v>755</v>
      </c>
      <c r="C386" s="79" t="s">
        <v>54</v>
      </c>
      <c r="D386" s="81">
        <v>80980</v>
      </c>
      <c r="E386" s="81">
        <v>57571</v>
      </c>
      <c r="F386" s="81">
        <v>298025</v>
      </c>
      <c r="G386" s="81">
        <v>255949</v>
      </c>
      <c r="H386" s="81">
        <v>421907</v>
      </c>
      <c r="I386" s="81">
        <v>364514</v>
      </c>
      <c r="J386" s="81">
        <v>193194</v>
      </c>
      <c r="K386" s="81">
        <v>979615</v>
      </c>
      <c r="L386" s="81">
        <v>98998</v>
      </c>
      <c r="M386" s="81">
        <v>786421</v>
      </c>
      <c r="N386" s="81">
        <v>292192</v>
      </c>
      <c r="O386" s="81">
        <v>1078613</v>
      </c>
      <c r="P386" s="94">
        <f>O386/D386</f>
        <v>13.31949864163991</v>
      </c>
      <c r="Q386" s="94">
        <f>H386/D386</f>
        <v>5.210014818473697</v>
      </c>
      <c r="R386" s="94">
        <f>I386/D386</f>
        <v>4.5012842677204246</v>
      </c>
      <c r="S386" s="94">
        <f>J386/D386</f>
        <v>2.3857001728821929</v>
      </c>
      <c r="T386" s="94">
        <f>K386/D386</f>
        <v>12.096999259076314</v>
      </c>
      <c r="U386" s="94">
        <f>K386/E386</f>
        <v>17.015771829566969</v>
      </c>
      <c r="V386" s="81">
        <v>43000</v>
      </c>
      <c r="W386" s="79" t="s">
        <v>1648</v>
      </c>
      <c r="X386" s="79" t="s">
        <v>1650</v>
      </c>
      <c r="Y386" s="81">
        <v>9481</v>
      </c>
      <c r="Z386" s="81">
        <v>9729</v>
      </c>
      <c r="AA386" s="81">
        <v>17369</v>
      </c>
      <c r="AB386" s="79" t="s">
        <v>1648</v>
      </c>
      <c r="AC386" s="81">
        <v>58579</v>
      </c>
      <c r="AD386" s="79" t="s">
        <v>1648</v>
      </c>
      <c r="AE386" s="79" t="s">
        <v>1649</v>
      </c>
      <c r="AF386" s="95">
        <v>0</v>
      </c>
    </row>
    <row r="387" spans="1:32" ht="15.75" thickBot="1" x14ac:dyDescent="0.3">
      <c r="A387" s="79" t="s">
        <v>806</v>
      </c>
      <c r="B387" s="93" t="s">
        <v>777</v>
      </c>
      <c r="C387" s="79" t="s">
        <v>54</v>
      </c>
      <c r="D387" s="81">
        <v>134056</v>
      </c>
      <c r="E387" s="81">
        <v>56345</v>
      </c>
      <c r="F387" s="81">
        <v>180391</v>
      </c>
      <c r="G387" s="81">
        <v>150432</v>
      </c>
      <c r="H387" s="81">
        <v>119287</v>
      </c>
      <c r="I387" s="81">
        <v>359654</v>
      </c>
      <c r="J387" s="81">
        <v>54468</v>
      </c>
      <c r="K387" s="81">
        <v>533409</v>
      </c>
      <c r="L387" s="81">
        <v>95626</v>
      </c>
      <c r="M387" s="81">
        <v>478941</v>
      </c>
      <c r="N387" s="81">
        <v>150094</v>
      </c>
      <c r="O387" s="81">
        <v>629035</v>
      </c>
      <c r="P387" s="94">
        <f>O387/D387</f>
        <v>4.6923300710150979</v>
      </c>
      <c r="Q387" s="94">
        <f>H387/D387</f>
        <v>0.88982962344095007</v>
      </c>
      <c r="R387" s="94">
        <f>I387/D387</f>
        <v>2.6828638777824194</v>
      </c>
      <c r="S387" s="94">
        <f>J387/D387</f>
        <v>0.40630781166079849</v>
      </c>
      <c r="T387" s="94">
        <f>K387/D387</f>
        <v>3.9790013128841677</v>
      </c>
      <c r="U387" s="94">
        <f>K387/E387</f>
        <v>9.4668382287691895</v>
      </c>
      <c r="V387" s="81">
        <v>34589</v>
      </c>
      <c r="W387" s="79" t="s">
        <v>1648</v>
      </c>
      <c r="X387" s="79" t="s">
        <v>1651</v>
      </c>
      <c r="Y387" s="81">
        <v>37868</v>
      </c>
      <c r="Z387" s="81">
        <v>25776</v>
      </c>
      <c r="AA387" s="81">
        <v>38799</v>
      </c>
      <c r="AB387" s="79" t="s">
        <v>1648</v>
      </c>
      <c r="AC387" s="81">
        <v>80765</v>
      </c>
      <c r="AD387" s="79" t="s">
        <v>1649</v>
      </c>
      <c r="AE387" s="79" t="s">
        <v>1649</v>
      </c>
      <c r="AF387" s="95">
        <v>0</v>
      </c>
    </row>
    <row r="388" spans="1:32" ht="15.75" thickBot="1" x14ac:dyDescent="0.3">
      <c r="A388" s="79" t="s">
        <v>808</v>
      </c>
      <c r="B388" s="93" t="s">
        <v>779</v>
      </c>
      <c r="C388" s="79" t="s">
        <v>54</v>
      </c>
      <c r="D388" s="81">
        <v>71997</v>
      </c>
      <c r="E388" s="81">
        <v>20503</v>
      </c>
      <c r="F388" s="81">
        <v>165387</v>
      </c>
      <c r="G388" s="81">
        <v>269262</v>
      </c>
      <c r="H388" s="81">
        <v>140206</v>
      </c>
      <c r="I388" s="81">
        <v>263463</v>
      </c>
      <c r="J388" s="81">
        <v>56406</v>
      </c>
      <c r="K388" s="81">
        <v>460075</v>
      </c>
      <c r="L388" s="81">
        <v>44607</v>
      </c>
      <c r="M388" s="81">
        <v>403669</v>
      </c>
      <c r="N388" s="81">
        <v>101013</v>
      </c>
      <c r="O388" s="81">
        <v>504682</v>
      </c>
      <c r="P388" s="94">
        <f>O388/D388</f>
        <v>7.0097642957345441</v>
      </c>
      <c r="Q388" s="94">
        <f>H388/D388</f>
        <v>1.9473866966679168</v>
      </c>
      <c r="R388" s="94">
        <f>I388/D388</f>
        <v>3.659360806700279</v>
      </c>
      <c r="S388" s="94">
        <f>J388/D388</f>
        <v>0.78344931038793286</v>
      </c>
      <c r="T388" s="94">
        <f>K388/D388</f>
        <v>6.3901968137561287</v>
      </c>
      <c r="U388" s="94">
        <f>K388/E388</f>
        <v>22.439399112325027</v>
      </c>
      <c r="V388" s="81">
        <v>22301</v>
      </c>
      <c r="W388" s="79" t="s">
        <v>1648</v>
      </c>
      <c r="X388" s="79" t="s">
        <v>1650</v>
      </c>
      <c r="Y388" s="81">
        <v>24928</v>
      </c>
      <c r="Z388" s="81">
        <v>36238</v>
      </c>
      <c r="AA388" s="81">
        <v>40084</v>
      </c>
      <c r="AB388" s="79" t="s">
        <v>1648</v>
      </c>
      <c r="AC388" s="81">
        <v>15882</v>
      </c>
      <c r="AD388" s="79" t="s">
        <v>1648</v>
      </c>
      <c r="AE388" s="79" t="s">
        <v>1649</v>
      </c>
      <c r="AF388" s="95">
        <v>0</v>
      </c>
    </row>
    <row r="389" spans="1:32" ht="15.75" thickBot="1" x14ac:dyDescent="0.3">
      <c r="A389" s="79" t="s">
        <v>810</v>
      </c>
      <c r="B389" s="93" t="s">
        <v>787</v>
      </c>
      <c r="C389" s="79" t="s">
        <v>54</v>
      </c>
      <c r="D389" s="81">
        <v>71755</v>
      </c>
      <c r="E389" s="81">
        <v>68626</v>
      </c>
      <c r="F389" s="81">
        <v>1118466</v>
      </c>
      <c r="G389" s="81">
        <v>2744084</v>
      </c>
      <c r="H389" s="81">
        <v>1419833</v>
      </c>
      <c r="I389" s="81">
        <v>1071110</v>
      </c>
      <c r="J389" s="81">
        <v>138985</v>
      </c>
      <c r="K389" s="81">
        <v>2629928</v>
      </c>
      <c r="L389" s="81">
        <v>62644</v>
      </c>
      <c r="M389" s="81">
        <v>2490943</v>
      </c>
      <c r="N389" s="81">
        <v>201629</v>
      </c>
      <c r="O389" s="81">
        <v>2692572</v>
      </c>
      <c r="P389" s="94">
        <f>O389/D389</f>
        <v>37.524520939307365</v>
      </c>
      <c r="Q389" s="94">
        <f>H389/D389</f>
        <v>19.787234339070448</v>
      </c>
      <c r="R389" s="94">
        <f>I389/D389</f>
        <v>14.927322137830116</v>
      </c>
      <c r="S389" s="94">
        <f>J389/D389</f>
        <v>1.9369381924604556</v>
      </c>
      <c r="T389" s="94">
        <f>K389/D389</f>
        <v>36.651494669361021</v>
      </c>
      <c r="U389" s="94">
        <f>K389/E389</f>
        <v>38.322618249642993</v>
      </c>
      <c r="V389" s="81">
        <v>311130</v>
      </c>
      <c r="W389" s="79" t="s">
        <v>1648</v>
      </c>
      <c r="X389" s="79" t="s">
        <v>1651</v>
      </c>
      <c r="Y389" s="81">
        <v>11292</v>
      </c>
      <c r="Z389" s="81">
        <v>12942</v>
      </c>
      <c r="AA389" s="81">
        <v>319326</v>
      </c>
      <c r="AB389" s="79" t="s">
        <v>1648</v>
      </c>
      <c r="AC389" s="81">
        <v>120717</v>
      </c>
      <c r="AD389" s="79" t="s">
        <v>1648</v>
      </c>
      <c r="AE389" s="79" t="s">
        <v>1649</v>
      </c>
      <c r="AF389" s="95">
        <v>0</v>
      </c>
    </row>
    <row r="390" spans="1:32" ht="15.75" thickBot="1" x14ac:dyDescent="0.3">
      <c r="A390" s="79" t="s">
        <v>812</v>
      </c>
      <c r="B390" s="93" t="s">
        <v>807</v>
      </c>
      <c r="C390" s="79" t="s">
        <v>54</v>
      </c>
      <c r="D390" s="81">
        <v>89779</v>
      </c>
      <c r="E390" s="81">
        <v>33220</v>
      </c>
      <c r="F390" s="81">
        <v>314187</v>
      </c>
      <c r="G390" s="81">
        <v>121073</v>
      </c>
      <c r="H390" s="81">
        <v>114712</v>
      </c>
      <c r="I390" s="81">
        <v>417119</v>
      </c>
      <c r="J390" s="81">
        <v>226347</v>
      </c>
      <c r="K390" s="81">
        <v>758178</v>
      </c>
      <c r="L390" s="81">
        <v>145537</v>
      </c>
      <c r="M390" s="81">
        <v>531831</v>
      </c>
      <c r="N390" s="81">
        <v>371884</v>
      </c>
      <c r="O390" s="81">
        <v>903715</v>
      </c>
      <c r="P390" s="94">
        <f>O390/D390</f>
        <v>10.065995388676638</v>
      </c>
      <c r="Q390" s="94">
        <f>H390/D390</f>
        <v>1.2777152786286325</v>
      </c>
      <c r="R390" s="94">
        <f>I390/D390</f>
        <v>4.6460642243731831</v>
      </c>
      <c r="S390" s="94">
        <f>J390/D390</f>
        <v>2.5211575089943081</v>
      </c>
      <c r="T390" s="94">
        <f>K390/D390</f>
        <v>8.4449370119961245</v>
      </c>
      <c r="U390" s="94">
        <f>K390/E390</f>
        <v>22.822937989163155</v>
      </c>
      <c r="V390" s="81">
        <v>19433</v>
      </c>
      <c r="W390" s="79" t="s">
        <v>1648</v>
      </c>
      <c r="X390" s="79" t="s">
        <v>1650</v>
      </c>
      <c r="Y390" s="81">
        <v>0</v>
      </c>
      <c r="Z390" s="81">
        <v>0</v>
      </c>
      <c r="AA390" s="81">
        <v>50057</v>
      </c>
      <c r="AB390" s="79" t="s">
        <v>1648</v>
      </c>
      <c r="AC390" s="81">
        <v>116445</v>
      </c>
      <c r="AD390" s="79" t="s">
        <v>1648</v>
      </c>
      <c r="AE390" s="79" t="s">
        <v>1649</v>
      </c>
      <c r="AF390" s="95">
        <v>0</v>
      </c>
    </row>
    <row r="391" spans="1:32" ht="15.75" thickBot="1" x14ac:dyDescent="0.3">
      <c r="A391" s="79" t="s">
        <v>814</v>
      </c>
      <c r="B391" s="93" t="s">
        <v>809</v>
      </c>
      <c r="C391" s="79" t="s">
        <v>54</v>
      </c>
      <c r="D391" s="81">
        <v>84094</v>
      </c>
      <c r="E391" s="81">
        <v>90689</v>
      </c>
      <c r="F391" s="81">
        <v>137234</v>
      </c>
      <c r="G391" s="81">
        <v>37777</v>
      </c>
      <c r="H391" s="81">
        <v>79689</v>
      </c>
      <c r="I391" s="81">
        <v>73448</v>
      </c>
      <c r="J391" s="81">
        <v>46196</v>
      </c>
      <c r="K391" s="81">
        <v>199333</v>
      </c>
      <c r="L391" s="81">
        <v>54262</v>
      </c>
      <c r="M391" s="81">
        <v>153137</v>
      </c>
      <c r="N391" s="81">
        <v>100458</v>
      </c>
      <c r="O391" s="81">
        <v>253595</v>
      </c>
      <c r="P391" s="94">
        <f>O391/D391</f>
        <v>3.0156134801531618</v>
      </c>
      <c r="Q391" s="94">
        <f>H391/D391</f>
        <v>0.94761814160344382</v>
      </c>
      <c r="R391" s="94">
        <f>I391/D391</f>
        <v>0.87340357219302212</v>
      </c>
      <c r="S391" s="94">
        <f>J391/D391</f>
        <v>0.5493376459676077</v>
      </c>
      <c r="T391" s="94">
        <f>K391/D391</f>
        <v>2.3703593597640737</v>
      </c>
      <c r="U391" s="94">
        <f>K391/E391</f>
        <v>2.1979843200388141</v>
      </c>
      <c r="V391" s="81">
        <v>31241</v>
      </c>
      <c r="W391" s="79" t="s">
        <v>1648</v>
      </c>
      <c r="X391" s="79" t="s">
        <v>1651</v>
      </c>
      <c r="Y391" s="81">
        <v>4371</v>
      </c>
      <c r="Z391" s="81">
        <v>4296</v>
      </c>
      <c r="AA391" s="81">
        <v>41147</v>
      </c>
      <c r="AB391" s="79" t="s">
        <v>1648</v>
      </c>
      <c r="AC391" s="81">
        <v>55205</v>
      </c>
      <c r="AD391" s="79" t="s">
        <v>1649</v>
      </c>
      <c r="AE391" s="79" t="s">
        <v>1648</v>
      </c>
      <c r="AF391" s="81">
        <v>157</v>
      </c>
    </row>
    <row r="392" spans="1:32" ht="15.75" thickBot="1" x14ac:dyDescent="0.3">
      <c r="A392" s="79" t="s">
        <v>816</v>
      </c>
      <c r="B392" s="93" t="s">
        <v>815</v>
      </c>
      <c r="C392" s="79" t="s">
        <v>54</v>
      </c>
      <c r="D392" s="81">
        <v>82974</v>
      </c>
      <c r="E392" s="81">
        <v>42467</v>
      </c>
      <c r="F392" s="81">
        <v>66832</v>
      </c>
      <c r="G392" s="81">
        <v>1144372</v>
      </c>
      <c r="H392" s="81">
        <v>98562</v>
      </c>
      <c r="I392" s="81">
        <v>109334</v>
      </c>
      <c r="J392" s="81">
        <v>119494</v>
      </c>
      <c r="K392" s="81">
        <v>327390</v>
      </c>
      <c r="L392" s="81">
        <v>52622</v>
      </c>
      <c r="M392" s="81">
        <v>207896</v>
      </c>
      <c r="N392" s="81">
        <v>172116</v>
      </c>
      <c r="O392" s="81">
        <v>380012</v>
      </c>
      <c r="P392" s="94">
        <f>O392/D392</f>
        <v>4.5798924964446694</v>
      </c>
      <c r="Q392" s="94">
        <f>H392/D392</f>
        <v>1.1878660785306241</v>
      </c>
      <c r="R392" s="94">
        <f>I392/D392</f>
        <v>1.3176898787572011</v>
      </c>
      <c r="S392" s="94">
        <f>J392/D392</f>
        <v>1.4401378745149083</v>
      </c>
      <c r="T392" s="94">
        <f>K392/D392</f>
        <v>3.9456938318027333</v>
      </c>
      <c r="U392" s="94">
        <f>K392/E392</f>
        <v>7.7092801469376218</v>
      </c>
      <c r="V392" s="81">
        <v>25498</v>
      </c>
      <c r="W392" s="79" t="s">
        <v>1648</v>
      </c>
      <c r="X392" s="79" t="s">
        <v>1651</v>
      </c>
      <c r="Y392" s="81">
        <v>7707</v>
      </c>
      <c r="Z392" s="81">
        <v>6873</v>
      </c>
      <c r="AA392" s="81">
        <v>19110</v>
      </c>
      <c r="AB392" s="79" t="s">
        <v>1648</v>
      </c>
      <c r="AC392" s="81">
        <v>6765</v>
      </c>
      <c r="AD392" s="79" t="s">
        <v>1648</v>
      </c>
      <c r="AE392" s="79" t="s">
        <v>1648</v>
      </c>
      <c r="AF392" s="81">
        <v>17</v>
      </c>
    </row>
    <row r="393" spans="1:32" ht="21.75" thickBot="1" x14ac:dyDescent="0.4">
      <c r="A393" s="103"/>
      <c r="B393" s="101" t="s">
        <v>1599</v>
      </c>
      <c r="C393" s="102">
        <f>SUBTOTAL(103,Table3[Library Class])</f>
        <v>389</v>
      </c>
    </row>
    <row r="394" spans="1:32" ht="18.75" thickBot="1" x14ac:dyDescent="0.3">
      <c r="C394" s="104" t="s">
        <v>1620</v>
      </c>
      <c r="D394" s="105">
        <f>SUBTOTAL(109,Table3[Total Population Served])</f>
        <v>9842571</v>
      </c>
      <c r="E394" s="105">
        <f>SUBTOTAL(109,Table3[Number of active registered borrowers])</f>
        <v>4305361</v>
      </c>
      <c r="F394" s="105">
        <f>SUBTOTAL(109,Table3[Library Visits])</f>
        <v>33784538</v>
      </c>
      <c r="G394" s="105">
        <f>SUBTOTAL(109,Table3[Virtual Visits to the Library''s Website])</f>
        <v>54967466</v>
      </c>
      <c r="H394" s="105">
        <f>SUBTOTAL(109,Table3[Circulation of Children''s Materials])</f>
        <v>22215615</v>
      </c>
      <c r="I394" s="105">
        <f>SUBTOTAL(109,Table3[Circulation of Non-Children''s Materials])</f>
        <v>35351564</v>
      </c>
      <c r="J394" s="105">
        <f>SUBTOTAL(109,Table3[Circulation of Electronic Materials])</f>
        <v>11914911</v>
      </c>
      <c r="K394" s="105">
        <f>SUBTOTAL(109,Table3[Total Circulation])</f>
        <v>69485622</v>
      </c>
      <c r="L394" s="105">
        <f>SUBTOTAL(109,Table3[Electronic Collection (Dbase) Use])</f>
        <v>6341755</v>
      </c>
      <c r="M394" s="105">
        <f>SUBTOTAL(109,Table3[Total Physical Circulation])</f>
        <v>57567179</v>
      </c>
      <c r="N394" s="105">
        <f>SUBTOTAL(109,Table3[Total Electronic Content Use (eMaterials + Dbase Use)])</f>
        <v>18260198</v>
      </c>
      <c r="O394" s="105">
        <f>SUBTOTAL(109,Table3[Total Collection Use (Physical + all eFormats)])</f>
        <v>75827377</v>
      </c>
      <c r="P394" s="105"/>
      <c r="Q394" s="105"/>
      <c r="R394" s="105"/>
      <c r="S394" s="105"/>
      <c r="T394" s="105"/>
      <c r="U394" s="105"/>
      <c r="V394" s="105">
        <f>SUBTOTAL(109,Table3[Reference Transactions])</f>
        <v>5825880</v>
      </c>
      <c r="W394" s="105"/>
      <c r="X394" s="105"/>
      <c r="Y394" s="105">
        <f>SUBTOTAL(109,Table3[Number of items loaned to other libraries])</f>
        <v>2440334</v>
      </c>
      <c r="Z394" s="105">
        <f>SUBTOTAL(109,Table3[Number of items borrowed from other libraries])</f>
        <v>2527917</v>
      </c>
      <c r="AA394" s="105">
        <f>SUBTOTAL(109,Table3[Uses (Sessions) of Public Internet Computers Per Year])</f>
        <v>5210584</v>
      </c>
      <c r="AB394" s="105"/>
      <c r="AC394" s="105">
        <f>SUBTOTAL(109,Table3[Uses of Wireless Logins Per Year])</f>
        <v>11294005</v>
      </c>
      <c r="AD394" s="105"/>
      <c r="AE394" s="105"/>
      <c r="AF394" s="105">
        <f>SUBTOTAL(109,Table3[(COVID-19) Circulation of Internet Devices])</f>
        <v>14451</v>
      </c>
    </row>
    <row r="395" spans="1:32" ht="18.75" thickBot="1" x14ac:dyDescent="0.3">
      <c r="C395" s="104" t="s">
        <v>1621</v>
      </c>
      <c r="D395" s="105">
        <f>SUBTOTAL(101,Table3[Total Population Served])</f>
        <v>25302.239074550129</v>
      </c>
      <c r="E395" s="105">
        <f>SUBTOTAL(101,Table3[Number of active registered borrowers])</f>
        <v>11067.766066838047</v>
      </c>
      <c r="F395" s="105">
        <f>SUBTOTAL(101,Table3[Library Visits])</f>
        <v>86849.712082262209</v>
      </c>
      <c r="G395" s="105">
        <f>SUBTOTAL(101,Table3[Virtual Visits to the Library''s Website])</f>
        <v>147365.86058981234</v>
      </c>
      <c r="H395" s="105">
        <f>SUBTOTAL(101,Table3[Circulation of Children''s Materials])</f>
        <v>57109.550128534705</v>
      </c>
      <c r="I395" s="105">
        <f>SUBTOTAL(101,Table3[Circulation of Non-Children''s Materials])</f>
        <v>90878.056555269926</v>
      </c>
      <c r="J395" s="105">
        <f>SUBTOTAL(101,Table3[Circulation of Electronic Materials])</f>
        <v>30629.591259640103</v>
      </c>
      <c r="K395" s="105">
        <f>SUBTOTAL(101,Table3[Total Circulation])</f>
        <v>178626.27763496144</v>
      </c>
      <c r="L395" s="105">
        <f>SUBTOTAL(101,Table3[Electronic Collection (Dbase) Use])</f>
        <v>17470.399449035813</v>
      </c>
      <c r="M395" s="105">
        <f>SUBTOTAL(101,Table3[Total Physical Circulation])</f>
        <v>147987.60668380462</v>
      </c>
      <c r="N395" s="105">
        <f>SUBTOTAL(101,Table3[Total Electronic Content Use (eMaterials + Dbase Use)])</f>
        <v>46941.383033419021</v>
      </c>
      <c r="O395" s="105">
        <f>SUBTOTAL(101,Table3[Total Collection Use (Physical + all eFormats)])</f>
        <v>194928.98971722365</v>
      </c>
      <c r="P395" s="106">
        <f>SUBTOTAL(101,Table3[Total Collection Use Per Capita])</f>
        <v>5.8044216679769178</v>
      </c>
      <c r="Q395" s="106">
        <f>SUBTOTAL(101,Table3[Children''s Circ Per Capita])</f>
        <v>1.6851291713348986</v>
      </c>
      <c r="R395" s="106">
        <f>SUBTOTAL(101,Table3[Non-Children''s Circ Per Capita])</f>
        <v>2.7888684310458434</v>
      </c>
      <c r="S395" s="106">
        <f>SUBTOTAL(101,Table3[eMaterials Circ Per Capita])</f>
        <v>0.916855321216825</v>
      </c>
      <c r="T395" s="106">
        <f>SUBTOTAL(101,Table3[Total Circulation Per Capita])</f>
        <v>5.3916357906019377</v>
      </c>
      <c r="U395" s="106">
        <f>SUBTOTAL(101,Table3[Circulation Per Cardholder])</f>
        <v>13.118083314563265</v>
      </c>
      <c r="V395" s="105">
        <f>SUBTOTAL(101,Table3[Reference Transactions])</f>
        <v>14976.555269922879</v>
      </c>
      <c r="W395" s="105"/>
      <c r="X395" s="105"/>
      <c r="Y395" s="105">
        <f>SUBTOTAL(101,Table3[Number of items loaned to other libraries])</f>
        <v>6273.3521850899742</v>
      </c>
      <c r="Z395" s="105">
        <f>SUBTOTAL(101,Table3[Number of items borrowed from other libraries])</f>
        <v>6498.5012853470434</v>
      </c>
      <c r="AA395" s="105">
        <f>SUBTOTAL(101,Table3[Uses (Sessions) of Public Internet Computers Per Year])</f>
        <v>13394.817480719794</v>
      </c>
      <c r="AB395" s="105"/>
      <c r="AC395" s="105">
        <f>SUBTOTAL(101,Table3[Uses of Wireless Logins Per Year])</f>
        <v>29643.057742782152</v>
      </c>
      <c r="AD395" s="105"/>
      <c r="AE395" s="105"/>
      <c r="AF395" s="105">
        <f>SUBTOTAL(101,Table3[(COVID-19) Circulation of Internet Devices])</f>
        <v>37.6328125</v>
      </c>
    </row>
    <row r="398" spans="1:32" x14ac:dyDescent="0.25">
      <c r="B398" s="84" t="s">
        <v>1662</v>
      </c>
    </row>
    <row r="399" spans="1:32" x14ac:dyDescent="0.25">
      <c r="A399" s="369" t="s">
        <v>3736</v>
      </c>
    </row>
  </sheetData>
  <sortState xmlns:xlrd2="http://schemas.microsoft.com/office/spreadsheetml/2017/richdata2" ref="B4:AF392">
    <sortCondition ref="B4:B392"/>
  </sortState>
  <hyperlinks>
    <hyperlink ref="F1" location="'Table of Contents'!A1" display="Return to Table of Contents" xr:uid="{45DFBE01-13B1-491B-925B-34637A39A7A7}"/>
  </hyperlinks>
  <pageMargins left="0.7" right="0.7" top="0.75" bottom="0.75" header="0.3" footer="0.3"/>
  <pageSetup orientation="portrait" horizontalDpi="1200" verticalDpi="120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BCB67-9BE1-46A3-ACB5-1A2E8EE44732}">
  <sheetPr>
    <tabColor rgb="FF8CC6D4"/>
  </sheetPr>
  <dimension ref="A1:AT404"/>
  <sheetViews>
    <sheetView workbookViewId="0">
      <pane xSplit="3" ySplit="3" topLeftCell="D4" activePane="bottomRight" state="frozen"/>
      <selection pane="topRight" activeCell="D1" sqref="D1"/>
      <selection pane="bottomLeft" activeCell="A2" sqref="A2"/>
      <selection pane="bottomRight" activeCell="C1" sqref="C1"/>
    </sheetView>
  </sheetViews>
  <sheetFormatPr defaultRowHeight="12.75" x14ac:dyDescent="0.2"/>
  <cols>
    <col min="1" max="1" width="15.28515625" customWidth="1"/>
    <col min="2" max="2" width="47.42578125" customWidth="1"/>
    <col min="3" max="3" width="32" bestFit="1" customWidth="1"/>
    <col min="4" max="4" width="30.7109375" customWidth="1"/>
    <col min="5" max="5" width="23.28515625" customWidth="1"/>
    <col min="6" max="6" width="19.42578125" customWidth="1"/>
    <col min="7" max="7" width="15.85546875" customWidth="1"/>
    <col min="8" max="8" width="16.85546875" customWidth="1"/>
    <col min="9" max="9" width="16.28515625" customWidth="1"/>
    <col min="10" max="10" width="16.42578125" customWidth="1"/>
    <col min="11" max="11" width="13.5703125" customWidth="1"/>
    <col min="12" max="12" width="19.140625" customWidth="1"/>
    <col min="13" max="13" width="19" customWidth="1"/>
    <col min="14" max="14" width="19.140625" customWidth="1"/>
    <col min="15" max="15" width="20.85546875" customWidth="1"/>
    <col min="16" max="16" width="21.5703125" customWidth="1"/>
    <col min="17" max="17" width="19.28515625" customWidth="1"/>
    <col min="18" max="46" width="19.42578125" customWidth="1"/>
  </cols>
  <sheetData>
    <row r="1" spans="1:46" ht="18.75" x14ac:dyDescent="0.3">
      <c r="A1" s="362" t="s">
        <v>3729</v>
      </c>
      <c r="B1" s="365"/>
      <c r="D1" s="364" t="s">
        <v>1589</v>
      </c>
      <c r="F1" s="360" t="s">
        <v>3727</v>
      </c>
    </row>
    <row r="3" spans="1:46" s="107" customFormat="1" ht="105.75" customHeight="1" thickBot="1" x14ac:dyDescent="0.25">
      <c r="A3" s="51" t="s">
        <v>1</v>
      </c>
      <c r="B3" s="51" t="s">
        <v>0</v>
      </c>
      <c r="C3" s="51" t="s">
        <v>4</v>
      </c>
      <c r="D3" s="51" t="s">
        <v>1703</v>
      </c>
      <c r="E3" s="51" t="s">
        <v>1704</v>
      </c>
      <c r="F3" s="33" t="s">
        <v>1677</v>
      </c>
      <c r="G3" s="33" t="s">
        <v>1678</v>
      </c>
      <c r="H3" s="33" t="s">
        <v>1679</v>
      </c>
      <c r="I3" s="33" t="s">
        <v>1680</v>
      </c>
      <c r="J3" s="51" t="s">
        <v>1667</v>
      </c>
      <c r="K3" s="51" t="s">
        <v>1668</v>
      </c>
      <c r="L3" s="51" t="s">
        <v>1669</v>
      </c>
      <c r="M3" s="51" t="s">
        <v>1670</v>
      </c>
      <c r="N3" s="51" t="s">
        <v>1681</v>
      </c>
      <c r="O3" s="51" t="s">
        <v>1682</v>
      </c>
      <c r="P3" s="33" t="s">
        <v>1683</v>
      </c>
      <c r="Q3" s="51" t="s">
        <v>1684</v>
      </c>
      <c r="R3" s="51" t="s">
        <v>1685</v>
      </c>
      <c r="S3" s="51" t="s">
        <v>1671</v>
      </c>
      <c r="T3" s="51" t="s">
        <v>1672</v>
      </c>
      <c r="U3" s="33" t="s">
        <v>1675</v>
      </c>
      <c r="V3" s="33" t="s">
        <v>1701</v>
      </c>
      <c r="W3" s="33" t="s">
        <v>1702</v>
      </c>
      <c r="X3" s="51" t="s">
        <v>1694</v>
      </c>
      <c r="Y3" s="51" t="s">
        <v>1693</v>
      </c>
      <c r="Z3" s="51" t="s">
        <v>1673</v>
      </c>
      <c r="AA3" s="51" t="s">
        <v>1674</v>
      </c>
      <c r="AB3" s="51" t="s">
        <v>1691</v>
      </c>
      <c r="AC3" s="51" t="s">
        <v>1692</v>
      </c>
      <c r="AD3" s="51" t="s">
        <v>1663</v>
      </c>
      <c r="AE3" s="51" t="s">
        <v>1664</v>
      </c>
      <c r="AF3" s="51" t="s">
        <v>1689</v>
      </c>
      <c r="AG3" s="51" t="s">
        <v>1690</v>
      </c>
      <c r="AH3" s="51" t="s">
        <v>1665</v>
      </c>
      <c r="AI3" s="51" t="s">
        <v>1666</v>
      </c>
      <c r="AJ3" s="51" t="s">
        <v>1687</v>
      </c>
      <c r="AK3" s="51" t="s">
        <v>1688</v>
      </c>
      <c r="AL3" s="51" t="s">
        <v>1698</v>
      </c>
      <c r="AM3" s="51" t="s">
        <v>1695</v>
      </c>
      <c r="AN3" s="51" t="s">
        <v>1696</v>
      </c>
      <c r="AO3" s="51" t="s">
        <v>1697</v>
      </c>
      <c r="AP3" s="51" t="s">
        <v>1699</v>
      </c>
      <c r="AQ3" s="51" t="s">
        <v>1700</v>
      </c>
      <c r="AR3" s="51" t="s">
        <v>1676</v>
      </c>
      <c r="AS3" s="51" t="s">
        <v>1686</v>
      </c>
      <c r="AT3" s="51" t="s">
        <v>1602</v>
      </c>
    </row>
    <row r="4" spans="1:46" ht="13.5" thickBot="1" x14ac:dyDescent="0.25">
      <c r="A4" s="48" t="s">
        <v>33</v>
      </c>
      <c r="B4" s="47" t="s">
        <v>32</v>
      </c>
      <c r="C4" s="48" t="s">
        <v>34</v>
      </c>
      <c r="D4" s="48" t="s">
        <v>1649</v>
      </c>
      <c r="E4" s="48" t="s">
        <v>1649</v>
      </c>
      <c r="F4" s="108">
        <v>0</v>
      </c>
      <c r="G4" s="108">
        <v>0</v>
      </c>
      <c r="H4" s="108">
        <v>0</v>
      </c>
      <c r="I4" s="108">
        <v>0</v>
      </c>
      <c r="J4" s="108">
        <v>10</v>
      </c>
      <c r="K4" s="108">
        <v>71</v>
      </c>
      <c r="L4" s="108">
        <v>0</v>
      </c>
      <c r="M4" s="108">
        <v>0</v>
      </c>
      <c r="N4" s="108">
        <v>31</v>
      </c>
      <c r="O4" s="108">
        <v>0</v>
      </c>
      <c r="P4" s="108">
        <v>31</v>
      </c>
      <c r="Q4" s="108">
        <v>0</v>
      </c>
      <c r="R4" s="108">
        <v>0</v>
      </c>
      <c r="S4" s="108">
        <v>10</v>
      </c>
      <c r="T4" s="108">
        <v>71</v>
      </c>
      <c r="U4" s="109" t="s">
        <v>1648</v>
      </c>
      <c r="V4" s="108">
        <v>5</v>
      </c>
      <c r="W4" s="108">
        <v>24</v>
      </c>
      <c r="X4" s="108">
        <v>0</v>
      </c>
      <c r="Y4" s="108">
        <v>0</v>
      </c>
      <c r="Z4" s="108">
        <v>0</v>
      </c>
      <c r="AA4" s="108">
        <v>0</v>
      </c>
      <c r="AB4" s="108">
        <v>0</v>
      </c>
      <c r="AC4" s="108">
        <v>0</v>
      </c>
      <c r="AD4" s="108">
        <v>110</v>
      </c>
      <c r="AE4" s="108">
        <v>1562</v>
      </c>
      <c r="AF4" s="108">
        <v>0</v>
      </c>
      <c r="AG4" s="108">
        <v>0</v>
      </c>
      <c r="AH4" s="108">
        <v>9</v>
      </c>
      <c r="AI4" s="108">
        <v>471</v>
      </c>
      <c r="AJ4" s="108">
        <v>0</v>
      </c>
      <c r="AK4" s="108">
        <v>0</v>
      </c>
      <c r="AL4" s="108">
        <v>129</v>
      </c>
      <c r="AM4" s="108">
        <v>2104</v>
      </c>
      <c r="AN4" s="108">
        <f t="shared" ref="AN4:AN67" si="0">AL4+AJ4</f>
        <v>129</v>
      </c>
      <c r="AO4" s="108">
        <f t="shared" ref="AO4:AO67" si="1">AM4+AK4</f>
        <v>2104</v>
      </c>
      <c r="AP4" s="110">
        <f>AO4/AN4</f>
        <v>16.310077519379846</v>
      </c>
      <c r="AQ4" s="110">
        <f t="shared" ref="AQ4:AQ67" si="2">AO4/AT4</f>
        <v>1.6373540856031128</v>
      </c>
      <c r="AR4" s="108">
        <v>0</v>
      </c>
      <c r="AS4" s="108">
        <v>0</v>
      </c>
      <c r="AT4" s="108">
        <v>1285</v>
      </c>
    </row>
    <row r="5" spans="1:46" ht="13.5" thickBot="1" x14ac:dyDescent="0.25">
      <c r="A5" s="48" t="s">
        <v>58</v>
      </c>
      <c r="B5" s="47" t="s">
        <v>57</v>
      </c>
      <c r="C5" s="48" t="s">
        <v>34</v>
      </c>
      <c r="D5" s="48" t="s">
        <v>1649</v>
      </c>
      <c r="E5" s="48" t="s">
        <v>1649</v>
      </c>
      <c r="F5" s="108">
        <v>0</v>
      </c>
      <c r="G5" s="108">
        <v>0</v>
      </c>
      <c r="H5" s="108">
        <v>0</v>
      </c>
      <c r="I5" s="108">
        <v>0</v>
      </c>
      <c r="J5" s="108">
        <v>0</v>
      </c>
      <c r="K5" s="108">
        <v>0</v>
      </c>
      <c r="L5" s="108">
        <v>0</v>
      </c>
      <c r="M5" s="108">
        <v>0</v>
      </c>
      <c r="N5" s="108">
        <v>0</v>
      </c>
      <c r="O5" s="108">
        <v>0</v>
      </c>
      <c r="P5" s="108">
        <v>0</v>
      </c>
      <c r="Q5" s="108">
        <v>0</v>
      </c>
      <c r="R5" s="108">
        <v>0</v>
      </c>
      <c r="S5" s="108">
        <v>0</v>
      </c>
      <c r="T5" s="108">
        <v>0</v>
      </c>
      <c r="U5" s="109" t="s">
        <v>1649</v>
      </c>
      <c r="V5" s="108">
        <v>0</v>
      </c>
      <c r="W5" s="108">
        <v>0</v>
      </c>
      <c r="X5" s="108">
        <v>0</v>
      </c>
      <c r="Y5" s="108">
        <v>0</v>
      </c>
      <c r="Z5" s="108">
        <v>0</v>
      </c>
      <c r="AA5" s="108">
        <v>0</v>
      </c>
      <c r="AB5" s="108">
        <v>0</v>
      </c>
      <c r="AC5" s="108">
        <v>0</v>
      </c>
      <c r="AD5" s="108">
        <v>0</v>
      </c>
      <c r="AE5" s="108">
        <v>0</v>
      </c>
      <c r="AF5" s="108">
        <v>0</v>
      </c>
      <c r="AG5" s="108">
        <v>0</v>
      </c>
      <c r="AH5" s="108">
        <v>0</v>
      </c>
      <c r="AI5" s="108">
        <v>0</v>
      </c>
      <c r="AJ5" s="108">
        <v>0</v>
      </c>
      <c r="AK5" s="108">
        <v>0</v>
      </c>
      <c r="AL5" s="108">
        <v>0</v>
      </c>
      <c r="AM5" s="108">
        <v>0</v>
      </c>
      <c r="AN5" s="108">
        <f t="shared" si="0"/>
        <v>0</v>
      </c>
      <c r="AO5" s="108">
        <f t="shared" si="1"/>
        <v>0</v>
      </c>
      <c r="AP5" s="110">
        <v>0</v>
      </c>
      <c r="AQ5" s="110">
        <f t="shared" si="2"/>
        <v>0</v>
      </c>
      <c r="AR5" s="108">
        <v>0</v>
      </c>
      <c r="AS5" s="108">
        <v>0</v>
      </c>
      <c r="AT5" s="108">
        <v>3248</v>
      </c>
    </row>
    <row r="6" spans="1:46" ht="13.5" thickBot="1" x14ac:dyDescent="0.25">
      <c r="A6" s="48" t="s">
        <v>86</v>
      </c>
      <c r="B6" s="47" t="s">
        <v>85</v>
      </c>
      <c r="C6" s="48" t="s">
        <v>34</v>
      </c>
      <c r="D6" s="48" t="s">
        <v>1649</v>
      </c>
      <c r="E6" s="48" t="s">
        <v>1649</v>
      </c>
      <c r="F6" s="108">
        <v>0</v>
      </c>
      <c r="G6" s="108">
        <v>0</v>
      </c>
      <c r="H6" s="108">
        <v>0</v>
      </c>
      <c r="I6" s="108">
        <v>0</v>
      </c>
      <c r="J6" s="109">
        <v>0</v>
      </c>
      <c r="K6" s="109">
        <v>0</v>
      </c>
      <c r="L6" s="109">
        <v>0</v>
      </c>
      <c r="M6" s="109">
        <v>0</v>
      </c>
      <c r="N6" s="109">
        <v>0</v>
      </c>
      <c r="O6" s="109">
        <v>0</v>
      </c>
      <c r="P6" s="109">
        <v>0</v>
      </c>
      <c r="Q6" s="108">
        <v>0</v>
      </c>
      <c r="R6" s="108">
        <v>0</v>
      </c>
      <c r="S6" s="108">
        <v>0</v>
      </c>
      <c r="T6" s="108">
        <v>0</v>
      </c>
      <c r="U6" s="109" t="s">
        <v>1649</v>
      </c>
      <c r="V6" s="108">
        <v>0</v>
      </c>
      <c r="W6" s="108">
        <v>0</v>
      </c>
      <c r="X6" s="108">
        <v>0</v>
      </c>
      <c r="Y6" s="108">
        <v>0</v>
      </c>
      <c r="Z6" s="108">
        <v>0</v>
      </c>
      <c r="AA6" s="108">
        <v>0</v>
      </c>
      <c r="AB6" s="108">
        <v>0</v>
      </c>
      <c r="AC6" s="108">
        <v>0</v>
      </c>
      <c r="AD6" s="108">
        <v>0</v>
      </c>
      <c r="AE6" s="108">
        <v>0</v>
      </c>
      <c r="AF6" s="108">
        <v>0</v>
      </c>
      <c r="AG6" s="108">
        <v>0</v>
      </c>
      <c r="AH6" s="108">
        <v>0</v>
      </c>
      <c r="AI6" s="108">
        <v>0</v>
      </c>
      <c r="AJ6" s="108">
        <v>0</v>
      </c>
      <c r="AK6" s="108">
        <v>0</v>
      </c>
      <c r="AL6" s="108">
        <v>0</v>
      </c>
      <c r="AM6" s="108">
        <v>0</v>
      </c>
      <c r="AN6" s="108">
        <f t="shared" si="0"/>
        <v>0</v>
      </c>
      <c r="AO6" s="108">
        <f t="shared" si="1"/>
        <v>0</v>
      </c>
      <c r="AP6" s="110">
        <v>0</v>
      </c>
      <c r="AQ6" s="110">
        <f t="shared" si="2"/>
        <v>0</v>
      </c>
      <c r="AR6" s="108">
        <v>0</v>
      </c>
      <c r="AS6" s="108">
        <v>0</v>
      </c>
      <c r="AT6" s="108">
        <v>3150</v>
      </c>
    </row>
    <row r="7" spans="1:46" ht="13.5" thickBot="1" x14ac:dyDescent="0.25">
      <c r="A7" s="48" t="s">
        <v>146</v>
      </c>
      <c r="B7" s="47" t="s">
        <v>145</v>
      </c>
      <c r="C7" s="48" t="s">
        <v>34</v>
      </c>
      <c r="D7" s="48" t="s">
        <v>1649</v>
      </c>
      <c r="E7" s="48" t="s">
        <v>1649</v>
      </c>
      <c r="F7" s="108">
        <v>0</v>
      </c>
      <c r="G7" s="108">
        <v>0</v>
      </c>
      <c r="H7" s="108">
        <v>0</v>
      </c>
      <c r="I7" s="108">
        <v>0</v>
      </c>
      <c r="J7" s="108">
        <v>1</v>
      </c>
      <c r="K7" s="108">
        <v>1</v>
      </c>
      <c r="L7" s="108">
        <v>0</v>
      </c>
      <c r="M7" s="108">
        <v>0</v>
      </c>
      <c r="N7" s="108">
        <v>1</v>
      </c>
      <c r="O7" s="108">
        <v>0</v>
      </c>
      <c r="P7" s="108">
        <v>1</v>
      </c>
      <c r="Q7" s="108">
        <v>0</v>
      </c>
      <c r="R7" s="108">
        <v>0</v>
      </c>
      <c r="S7" s="108">
        <v>1</v>
      </c>
      <c r="T7" s="108">
        <v>1</v>
      </c>
      <c r="U7" s="109" t="s">
        <v>1649</v>
      </c>
      <c r="V7" s="108">
        <v>0</v>
      </c>
      <c r="W7" s="108">
        <v>0</v>
      </c>
      <c r="X7" s="108">
        <v>0</v>
      </c>
      <c r="Y7" s="108">
        <v>0</v>
      </c>
      <c r="Z7" s="108">
        <v>0</v>
      </c>
      <c r="AA7" s="108">
        <v>0</v>
      </c>
      <c r="AB7" s="108">
        <v>0</v>
      </c>
      <c r="AC7" s="108">
        <v>0</v>
      </c>
      <c r="AD7" s="108">
        <v>0</v>
      </c>
      <c r="AE7" s="108">
        <v>0</v>
      </c>
      <c r="AF7" s="108">
        <v>0</v>
      </c>
      <c r="AG7" s="108">
        <v>0</v>
      </c>
      <c r="AH7" s="108">
        <v>0</v>
      </c>
      <c r="AI7" s="108">
        <v>0</v>
      </c>
      <c r="AJ7" s="108">
        <v>0</v>
      </c>
      <c r="AK7" s="108">
        <v>0</v>
      </c>
      <c r="AL7" s="108">
        <v>1</v>
      </c>
      <c r="AM7" s="108">
        <v>1</v>
      </c>
      <c r="AN7" s="108">
        <f t="shared" si="0"/>
        <v>1</v>
      </c>
      <c r="AO7" s="108">
        <f t="shared" si="1"/>
        <v>1</v>
      </c>
      <c r="AP7" s="110">
        <f t="shared" ref="AP7:AP32" si="3">AO7/AN7</f>
        <v>1</v>
      </c>
      <c r="AQ7" s="110">
        <f t="shared" si="2"/>
        <v>1.3850415512465374E-3</v>
      </c>
      <c r="AR7" s="108">
        <v>0</v>
      </c>
      <c r="AS7" s="108">
        <v>0</v>
      </c>
      <c r="AT7" s="108">
        <v>722</v>
      </c>
    </row>
    <row r="8" spans="1:46" ht="13.5" thickBot="1" x14ac:dyDescent="0.25">
      <c r="A8" s="48" t="s">
        <v>156</v>
      </c>
      <c r="B8" s="47" t="s">
        <v>155</v>
      </c>
      <c r="C8" s="48" t="s">
        <v>34</v>
      </c>
      <c r="D8" s="48" t="s">
        <v>1649</v>
      </c>
      <c r="E8" s="48" t="s">
        <v>1649</v>
      </c>
      <c r="F8" s="108">
        <v>38</v>
      </c>
      <c r="G8" s="108">
        <v>248</v>
      </c>
      <c r="H8" s="108">
        <v>0</v>
      </c>
      <c r="I8" s="108">
        <v>0</v>
      </c>
      <c r="J8" s="108">
        <v>2</v>
      </c>
      <c r="K8" s="108">
        <v>73</v>
      </c>
      <c r="L8" s="108">
        <v>0</v>
      </c>
      <c r="M8" s="108">
        <v>0</v>
      </c>
      <c r="N8" s="108">
        <v>73</v>
      </c>
      <c r="O8" s="108">
        <v>0</v>
      </c>
      <c r="P8" s="108">
        <v>73</v>
      </c>
      <c r="Q8" s="108">
        <v>0</v>
      </c>
      <c r="R8" s="108">
        <v>0</v>
      </c>
      <c r="S8" s="108">
        <v>40</v>
      </c>
      <c r="T8" s="108">
        <v>321</v>
      </c>
      <c r="U8" s="109" t="s">
        <v>1648</v>
      </c>
      <c r="V8" s="108">
        <v>38</v>
      </c>
      <c r="W8" s="108">
        <v>248</v>
      </c>
      <c r="X8" s="108">
        <v>0</v>
      </c>
      <c r="Y8" s="108">
        <v>0</v>
      </c>
      <c r="Z8" s="108">
        <v>0</v>
      </c>
      <c r="AA8" s="108">
        <v>0</v>
      </c>
      <c r="AB8" s="108">
        <v>0</v>
      </c>
      <c r="AC8" s="108">
        <v>0</v>
      </c>
      <c r="AD8" s="108">
        <v>198</v>
      </c>
      <c r="AE8" s="108">
        <v>1372</v>
      </c>
      <c r="AF8" s="108">
        <v>0</v>
      </c>
      <c r="AG8" s="108">
        <v>0</v>
      </c>
      <c r="AH8" s="108">
        <v>0</v>
      </c>
      <c r="AI8" s="108">
        <v>0</v>
      </c>
      <c r="AJ8" s="108">
        <v>0</v>
      </c>
      <c r="AK8" s="108">
        <v>0</v>
      </c>
      <c r="AL8" s="108">
        <v>238</v>
      </c>
      <c r="AM8" s="108">
        <v>1693</v>
      </c>
      <c r="AN8" s="108">
        <f t="shared" si="0"/>
        <v>238</v>
      </c>
      <c r="AO8" s="108">
        <f t="shared" si="1"/>
        <v>1693</v>
      </c>
      <c r="AP8" s="110">
        <f t="shared" si="3"/>
        <v>7.1134453781512601</v>
      </c>
      <c r="AQ8" s="110">
        <f t="shared" si="2"/>
        <v>0.42377972465581976</v>
      </c>
      <c r="AR8" s="108">
        <v>0</v>
      </c>
      <c r="AS8" s="108">
        <v>0</v>
      </c>
      <c r="AT8" s="108">
        <v>3995</v>
      </c>
    </row>
    <row r="9" spans="1:46" ht="13.5" thickBot="1" x14ac:dyDescent="0.25">
      <c r="A9" s="48" t="s">
        <v>184</v>
      </c>
      <c r="B9" s="47" t="s">
        <v>183</v>
      </c>
      <c r="C9" s="48" t="s">
        <v>34</v>
      </c>
      <c r="D9" s="48" t="s">
        <v>1648</v>
      </c>
      <c r="E9" s="48" t="s">
        <v>1648</v>
      </c>
      <c r="F9" s="108">
        <v>130</v>
      </c>
      <c r="G9" s="108">
        <v>1000</v>
      </c>
      <c r="H9" s="108">
        <v>40</v>
      </c>
      <c r="I9" s="108">
        <v>200</v>
      </c>
      <c r="J9" s="108">
        <v>3</v>
      </c>
      <c r="K9" s="108">
        <v>50</v>
      </c>
      <c r="L9" s="108">
        <v>0</v>
      </c>
      <c r="M9" s="108">
        <v>0</v>
      </c>
      <c r="N9" s="108">
        <v>36</v>
      </c>
      <c r="O9" s="108">
        <v>0</v>
      </c>
      <c r="P9" s="108">
        <v>36</v>
      </c>
      <c r="Q9" s="108">
        <v>3</v>
      </c>
      <c r="R9" s="108">
        <v>50</v>
      </c>
      <c r="S9" s="108">
        <v>133</v>
      </c>
      <c r="T9" s="108">
        <v>1050</v>
      </c>
      <c r="U9" s="109" t="s">
        <v>1648</v>
      </c>
      <c r="V9" s="108">
        <v>50</v>
      </c>
      <c r="W9" s="108">
        <v>200</v>
      </c>
      <c r="X9" s="108">
        <v>0</v>
      </c>
      <c r="Y9" s="108">
        <v>0</v>
      </c>
      <c r="Z9" s="108">
        <v>40</v>
      </c>
      <c r="AA9" s="108">
        <v>200</v>
      </c>
      <c r="AB9" s="108">
        <v>0</v>
      </c>
      <c r="AC9" s="108">
        <v>0</v>
      </c>
      <c r="AD9" s="108">
        <v>164</v>
      </c>
      <c r="AE9" s="108">
        <v>946</v>
      </c>
      <c r="AF9" s="108">
        <v>0</v>
      </c>
      <c r="AG9" s="108">
        <v>0</v>
      </c>
      <c r="AH9" s="108">
        <v>2</v>
      </c>
      <c r="AI9" s="108">
        <v>595</v>
      </c>
      <c r="AJ9" s="108">
        <v>3</v>
      </c>
      <c r="AK9" s="108">
        <v>50</v>
      </c>
      <c r="AL9" s="108">
        <v>339</v>
      </c>
      <c r="AM9" s="108">
        <v>2791</v>
      </c>
      <c r="AN9" s="108">
        <f t="shared" si="0"/>
        <v>342</v>
      </c>
      <c r="AO9" s="108">
        <f t="shared" si="1"/>
        <v>2841</v>
      </c>
      <c r="AP9" s="110">
        <f t="shared" si="3"/>
        <v>8.307017543859649</v>
      </c>
      <c r="AQ9" s="110">
        <f t="shared" si="2"/>
        <v>0.74704180909808049</v>
      </c>
      <c r="AR9" s="108">
        <v>0</v>
      </c>
      <c r="AS9" s="108">
        <v>0</v>
      </c>
      <c r="AT9" s="108">
        <v>3803</v>
      </c>
    </row>
    <row r="10" spans="1:46" ht="13.5" thickBot="1" x14ac:dyDescent="0.25">
      <c r="A10" s="48" t="s">
        <v>186</v>
      </c>
      <c r="B10" s="47" t="s">
        <v>185</v>
      </c>
      <c r="C10" s="48" t="s">
        <v>34</v>
      </c>
      <c r="D10" s="48" t="s">
        <v>1649</v>
      </c>
      <c r="E10" s="48" t="s">
        <v>1649</v>
      </c>
      <c r="F10" s="108">
        <v>59</v>
      </c>
      <c r="G10" s="108">
        <v>217</v>
      </c>
      <c r="H10" s="108">
        <v>0</v>
      </c>
      <c r="I10" s="108">
        <v>0</v>
      </c>
      <c r="J10" s="108">
        <v>16</v>
      </c>
      <c r="K10" s="108">
        <v>166</v>
      </c>
      <c r="L10" s="108">
        <v>0</v>
      </c>
      <c r="M10" s="108">
        <v>0</v>
      </c>
      <c r="N10" s="108">
        <v>84</v>
      </c>
      <c r="O10" s="108">
        <v>0</v>
      </c>
      <c r="P10" s="108">
        <v>84</v>
      </c>
      <c r="Q10" s="108">
        <v>0</v>
      </c>
      <c r="R10" s="108">
        <v>0</v>
      </c>
      <c r="S10" s="108">
        <v>75</v>
      </c>
      <c r="T10" s="108">
        <v>383</v>
      </c>
      <c r="U10" s="109" t="s">
        <v>1649</v>
      </c>
      <c r="V10" s="108">
        <v>0</v>
      </c>
      <c r="W10" s="108">
        <v>0</v>
      </c>
      <c r="X10" s="108">
        <v>0</v>
      </c>
      <c r="Y10" s="108">
        <v>0</v>
      </c>
      <c r="Z10" s="108">
        <v>0</v>
      </c>
      <c r="AA10" s="108">
        <v>0</v>
      </c>
      <c r="AB10" s="108">
        <v>0</v>
      </c>
      <c r="AC10" s="108">
        <v>0</v>
      </c>
      <c r="AD10" s="108">
        <v>1</v>
      </c>
      <c r="AE10" s="108">
        <v>2</v>
      </c>
      <c r="AF10" s="108">
        <v>0</v>
      </c>
      <c r="AG10" s="108">
        <v>0</v>
      </c>
      <c r="AH10" s="108">
        <v>8</v>
      </c>
      <c r="AI10" s="108">
        <v>54</v>
      </c>
      <c r="AJ10" s="108">
        <v>0</v>
      </c>
      <c r="AK10" s="108">
        <v>0</v>
      </c>
      <c r="AL10" s="108">
        <v>84</v>
      </c>
      <c r="AM10" s="108">
        <v>439</v>
      </c>
      <c r="AN10" s="108">
        <f t="shared" si="0"/>
        <v>84</v>
      </c>
      <c r="AO10" s="108">
        <f t="shared" si="1"/>
        <v>439</v>
      </c>
      <c r="AP10" s="110">
        <f t="shared" si="3"/>
        <v>5.2261904761904763</v>
      </c>
      <c r="AQ10" s="110">
        <f t="shared" si="2"/>
        <v>0.18499789296249472</v>
      </c>
      <c r="AR10" s="108">
        <v>0</v>
      </c>
      <c r="AS10" s="108">
        <v>0</v>
      </c>
      <c r="AT10" s="108">
        <v>2373</v>
      </c>
    </row>
    <row r="11" spans="1:46" ht="13.5" thickBot="1" x14ac:dyDescent="0.25">
      <c r="A11" s="48" t="s">
        <v>202</v>
      </c>
      <c r="B11" s="47" t="s">
        <v>201</v>
      </c>
      <c r="C11" s="48" t="s">
        <v>34</v>
      </c>
      <c r="D11" s="48" t="s">
        <v>1649</v>
      </c>
      <c r="E11" s="48" t="s">
        <v>1649</v>
      </c>
      <c r="F11" s="108">
        <v>13</v>
      </c>
      <c r="G11" s="108">
        <v>77</v>
      </c>
      <c r="H11" s="108">
        <v>0</v>
      </c>
      <c r="I11" s="108">
        <v>0</v>
      </c>
      <c r="J11" s="108">
        <v>21</v>
      </c>
      <c r="K11" s="108">
        <v>172</v>
      </c>
      <c r="L11" s="108">
        <v>0</v>
      </c>
      <c r="M11" s="108">
        <v>0</v>
      </c>
      <c r="N11" s="109">
        <v>0</v>
      </c>
      <c r="O11" s="109">
        <v>0</v>
      </c>
      <c r="P11" s="109">
        <v>0</v>
      </c>
      <c r="Q11" s="108">
        <v>0</v>
      </c>
      <c r="R11" s="108">
        <v>0</v>
      </c>
      <c r="S11" s="108">
        <v>34</v>
      </c>
      <c r="T11" s="108">
        <v>249</v>
      </c>
      <c r="U11" s="109" t="s">
        <v>1649</v>
      </c>
      <c r="V11" s="108">
        <v>0</v>
      </c>
      <c r="W11" s="108">
        <v>0</v>
      </c>
      <c r="X11" s="108">
        <v>0</v>
      </c>
      <c r="Y11" s="108">
        <v>0</v>
      </c>
      <c r="Z11" s="108">
        <v>0</v>
      </c>
      <c r="AA11" s="108">
        <v>0</v>
      </c>
      <c r="AB11" s="108">
        <v>0</v>
      </c>
      <c r="AC11" s="108">
        <v>0</v>
      </c>
      <c r="AD11" s="108">
        <v>61</v>
      </c>
      <c r="AE11" s="108">
        <v>433</v>
      </c>
      <c r="AF11" s="108">
        <v>0</v>
      </c>
      <c r="AG11" s="108">
        <v>0</v>
      </c>
      <c r="AH11" s="108">
        <v>0</v>
      </c>
      <c r="AI11" s="108">
        <v>0</v>
      </c>
      <c r="AJ11" s="108">
        <v>0</v>
      </c>
      <c r="AK11" s="108">
        <v>0</v>
      </c>
      <c r="AL11" s="108">
        <v>95</v>
      </c>
      <c r="AM11" s="108">
        <v>682</v>
      </c>
      <c r="AN11" s="108">
        <f t="shared" si="0"/>
        <v>95</v>
      </c>
      <c r="AO11" s="108">
        <f t="shared" si="1"/>
        <v>682</v>
      </c>
      <c r="AP11" s="110">
        <f t="shared" si="3"/>
        <v>7.1789473684210527</v>
      </c>
      <c r="AQ11" s="110">
        <f t="shared" si="2"/>
        <v>0.1725271945357956</v>
      </c>
      <c r="AR11" s="108">
        <v>0</v>
      </c>
      <c r="AS11" s="108">
        <v>0</v>
      </c>
      <c r="AT11" s="108">
        <v>3953</v>
      </c>
    </row>
    <row r="12" spans="1:46" ht="13.5" thickBot="1" x14ac:dyDescent="0.25">
      <c r="A12" s="48" t="s">
        <v>208</v>
      </c>
      <c r="B12" s="47" t="s">
        <v>207</v>
      </c>
      <c r="C12" s="48" t="s">
        <v>34</v>
      </c>
      <c r="D12" s="48" t="s">
        <v>1649</v>
      </c>
      <c r="E12" s="48" t="s">
        <v>1649</v>
      </c>
      <c r="F12" s="108">
        <v>0</v>
      </c>
      <c r="G12" s="108">
        <v>0</v>
      </c>
      <c r="H12" s="108">
        <v>0</v>
      </c>
      <c r="I12" s="108">
        <v>0</v>
      </c>
      <c r="J12" s="108">
        <v>0</v>
      </c>
      <c r="K12" s="108">
        <v>0</v>
      </c>
      <c r="L12" s="108">
        <v>0</v>
      </c>
      <c r="M12" s="108">
        <v>0</v>
      </c>
      <c r="N12" s="108">
        <v>0</v>
      </c>
      <c r="O12" s="108">
        <v>0</v>
      </c>
      <c r="P12" s="108">
        <v>0</v>
      </c>
      <c r="Q12" s="108">
        <v>0</v>
      </c>
      <c r="R12" s="108">
        <v>0</v>
      </c>
      <c r="S12" s="108">
        <v>0</v>
      </c>
      <c r="T12" s="108">
        <v>0</v>
      </c>
      <c r="U12" s="109" t="s">
        <v>1649</v>
      </c>
      <c r="V12" s="108">
        <v>0</v>
      </c>
      <c r="W12" s="108">
        <v>0</v>
      </c>
      <c r="X12" s="108">
        <v>0</v>
      </c>
      <c r="Y12" s="108">
        <v>0</v>
      </c>
      <c r="Z12" s="108">
        <v>0</v>
      </c>
      <c r="AA12" s="108">
        <v>0</v>
      </c>
      <c r="AB12" s="108">
        <v>0</v>
      </c>
      <c r="AC12" s="108">
        <v>0</v>
      </c>
      <c r="AD12" s="108">
        <v>0</v>
      </c>
      <c r="AE12" s="108">
        <v>0</v>
      </c>
      <c r="AF12" s="108">
        <v>0</v>
      </c>
      <c r="AG12" s="108">
        <v>0</v>
      </c>
      <c r="AH12" s="108">
        <v>1</v>
      </c>
      <c r="AI12" s="108">
        <v>37</v>
      </c>
      <c r="AJ12" s="108">
        <v>0</v>
      </c>
      <c r="AK12" s="108">
        <v>0</v>
      </c>
      <c r="AL12" s="108">
        <v>1</v>
      </c>
      <c r="AM12" s="108">
        <v>37</v>
      </c>
      <c r="AN12" s="108">
        <f t="shared" si="0"/>
        <v>1</v>
      </c>
      <c r="AO12" s="108">
        <f t="shared" si="1"/>
        <v>37</v>
      </c>
      <c r="AP12" s="110">
        <f t="shared" si="3"/>
        <v>37</v>
      </c>
      <c r="AQ12" s="110">
        <f t="shared" si="2"/>
        <v>2.9935275080906147E-2</v>
      </c>
      <c r="AR12" s="108">
        <v>0</v>
      </c>
      <c r="AS12" s="108">
        <v>0</v>
      </c>
      <c r="AT12" s="108">
        <v>1236</v>
      </c>
    </row>
    <row r="13" spans="1:46" ht="13.5" thickBot="1" x14ac:dyDescent="0.25">
      <c r="A13" s="48" t="s">
        <v>210</v>
      </c>
      <c r="B13" s="47" t="s">
        <v>209</v>
      </c>
      <c r="C13" s="48" t="s">
        <v>34</v>
      </c>
      <c r="D13" s="48" t="s">
        <v>1649</v>
      </c>
      <c r="E13" s="48" t="s">
        <v>1649</v>
      </c>
      <c r="F13" s="108">
        <v>9</v>
      </c>
      <c r="G13" s="108">
        <v>80</v>
      </c>
      <c r="H13" s="108">
        <v>0</v>
      </c>
      <c r="I13" s="108">
        <v>0</v>
      </c>
      <c r="J13" s="108">
        <v>0</v>
      </c>
      <c r="K13" s="108">
        <v>0</v>
      </c>
      <c r="L13" s="108">
        <v>0</v>
      </c>
      <c r="M13" s="108">
        <v>0</v>
      </c>
      <c r="N13" s="108">
        <v>0</v>
      </c>
      <c r="O13" s="108">
        <v>0</v>
      </c>
      <c r="P13" s="108">
        <v>0</v>
      </c>
      <c r="Q13" s="108">
        <v>0</v>
      </c>
      <c r="R13" s="108">
        <v>0</v>
      </c>
      <c r="S13" s="108">
        <v>9</v>
      </c>
      <c r="T13" s="108">
        <v>80</v>
      </c>
      <c r="U13" s="109" t="s">
        <v>1648</v>
      </c>
      <c r="V13" s="108">
        <v>3</v>
      </c>
      <c r="W13" s="108">
        <v>13</v>
      </c>
      <c r="X13" s="108">
        <v>0</v>
      </c>
      <c r="Y13" s="108">
        <v>0</v>
      </c>
      <c r="Z13" s="108">
        <v>0</v>
      </c>
      <c r="AA13" s="108">
        <v>0</v>
      </c>
      <c r="AB13" s="108">
        <v>0</v>
      </c>
      <c r="AC13" s="108">
        <v>0</v>
      </c>
      <c r="AD13" s="108">
        <v>24</v>
      </c>
      <c r="AE13" s="108">
        <v>282</v>
      </c>
      <c r="AF13" s="108">
        <v>0</v>
      </c>
      <c r="AG13" s="108">
        <v>0</v>
      </c>
      <c r="AH13" s="108">
        <v>3</v>
      </c>
      <c r="AI13" s="108">
        <v>374</v>
      </c>
      <c r="AJ13" s="108">
        <v>0</v>
      </c>
      <c r="AK13" s="108">
        <v>0</v>
      </c>
      <c r="AL13" s="108">
        <v>36</v>
      </c>
      <c r="AM13" s="108">
        <v>736</v>
      </c>
      <c r="AN13" s="108">
        <f t="shared" si="0"/>
        <v>36</v>
      </c>
      <c r="AO13" s="108">
        <f t="shared" si="1"/>
        <v>736</v>
      </c>
      <c r="AP13" s="110">
        <f t="shared" si="3"/>
        <v>20.444444444444443</v>
      </c>
      <c r="AQ13" s="110">
        <f t="shared" si="2"/>
        <v>0.23151934570619692</v>
      </c>
      <c r="AR13" s="108">
        <v>0</v>
      </c>
      <c r="AS13" s="108">
        <v>0</v>
      </c>
      <c r="AT13" s="108">
        <v>3179</v>
      </c>
    </row>
    <row r="14" spans="1:46" ht="13.5" thickBot="1" x14ac:dyDescent="0.25">
      <c r="A14" s="48" t="s">
        <v>256</v>
      </c>
      <c r="B14" s="47" t="s">
        <v>255</v>
      </c>
      <c r="C14" s="48" t="s">
        <v>34</v>
      </c>
      <c r="D14" s="48" t="s">
        <v>1649</v>
      </c>
      <c r="E14" s="48" t="s">
        <v>1649</v>
      </c>
      <c r="F14" s="108">
        <v>2</v>
      </c>
      <c r="G14" s="108">
        <v>23</v>
      </c>
      <c r="H14" s="108">
        <v>0</v>
      </c>
      <c r="I14" s="108">
        <v>0</v>
      </c>
      <c r="J14" s="108">
        <v>0</v>
      </c>
      <c r="K14" s="108">
        <v>0</v>
      </c>
      <c r="L14" s="108">
        <v>0</v>
      </c>
      <c r="M14" s="108">
        <v>0</v>
      </c>
      <c r="N14" s="108">
        <v>11</v>
      </c>
      <c r="O14" s="108">
        <v>3</v>
      </c>
      <c r="P14" s="108">
        <v>14</v>
      </c>
      <c r="Q14" s="108">
        <v>0</v>
      </c>
      <c r="R14" s="108">
        <v>0</v>
      </c>
      <c r="S14" s="108">
        <v>2</v>
      </c>
      <c r="T14" s="108">
        <v>23</v>
      </c>
      <c r="U14" s="109" t="s">
        <v>1649</v>
      </c>
      <c r="V14" s="108">
        <v>0</v>
      </c>
      <c r="W14" s="108">
        <v>0</v>
      </c>
      <c r="X14" s="108">
        <v>0</v>
      </c>
      <c r="Y14" s="108">
        <v>0</v>
      </c>
      <c r="Z14" s="108">
        <v>0</v>
      </c>
      <c r="AA14" s="108">
        <v>0</v>
      </c>
      <c r="AB14" s="108">
        <v>0</v>
      </c>
      <c r="AC14" s="108">
        <v>0</v>
      </c>
      <c r="AD14" s="108">
        <v>0</v>
      </c>
      <c r="AE14" s="108">
        <v>0</v>
      </c>
      <c r="AF14" s="108">
        <v>0</v>
      </c>
      <c r="AG14" s="108">
        <v>0</v>
      </c>
      <c r="AH14" s="108">
        <v>0</v>
      </c>
      <c r="AI14" s="108">
        <v>0</v>
      </c>
      <c r="AJ14" s="108">
        <v>0</v>
      </c>
      <c r="AK14" s="108">
        <v>0</v>
      </c>
      <c r="AL14" s="108">
        <v>2</v>
      </c>
      <c r="AM14" s="108">
        <v>23</v>
      </c>
      <c r="AN14" s="108">
        <f t="shared" si="0"/>
        <v>2</v>
      </c>
      <c r="AO14" s="108">
        <f t="shared" si="1"/>
        <v>23</v>
      </c>
      <c r="AP14" s="110">
        <f t="shared" si="3"/>
        <v>11.5</v>
      </c>
      <c r="AQ14" s="110">
        <f t="shared" si="2"/>
        <v>8.3062477428674612E-3</v>
      </c>
      <c r="AR14" s="108">
        <v>0</v>
      </c>
      <c r="AS14" s="108">
        <v>0</v>
      </c>
      <c r="AT14" s="108">
        <v>2769</v>
      </c>
    </row>
    <row r="15" spans="1:46" ht="13.5" thickBot="1" x14ac:dyDescent="0.25">
      <c r="A15" s="48" t="s">
        <v>264</v>
      </c>
      <c r="B15" s="47" t="s">
        <v>263</v>
      </c>
      <c r="C15" s="48" t="s">
        <v>34</v>
      </c>
      <c r="D15" s="48" t="s">
        <v>1648</v>
      </c>
      <c r="E15" s="48" t="s">
        <v>1649</v>
      </c>
      <c r="F15" s="108">
        <v>7</v>
      </c>
      <c r="G15" s="108">
        <v>179</v>
      </c>
      <c r="H15" s="108">
        <v>0</v>
      </c>
      <c r="I15" s="108">
        <v>0</v>
      </c>
      <c r="J15" s="108">
        <v>4</v>
      </c>
      <c r="K15" s="108">
        <v>82</v>
      </c>
      <c r="L15" s="108">
        <v>1</v>
      </c>
      <c r="M15" s="108">
        <v>5</v>
      </c>
      <c r="N15" s="108">
        <v>27</v>
      </c>
      <c r="O15" s="108">
        <v>5</v>
      </c>
      <c r="P15" s="108">
        <v>32</v>
      </c>
      <c r="Q15" s="108">
        <v>3</v>
      </c>
      <c r="R15" s="108">
        <v>8</v>
      </c>
      <c r="S15" s="108">
        <v>11</v>
      </c>
      <c r="T15" s="108">
        <v>261</v>
      </c>
      <c r="U15" s="109" t="s">
        <v>1648</v>
      </c>
      <c r="V15" s="108">
        <v>1</v>
      </c>
      <c r="W15" s="108">
        <v>5</v>
      </c>
      <c r="X15" s="108">
        <v>0</v>
      </c>
      <c r="Y15" s="108">
        <v>0</v>
      </c>
      <c r="Z15" s="108">
        <v>1</v>
      </c>
      <c r="AA15" s="108">
        <v>5</v>
      </c>
      <c r="AB15" s="108">
        <v>0</v>
      </c>
      <c r="AC15" s="108">
        <v>0</v>
      </c>
      <c r="AD15" s="108">
        <v>5</v>
      </c>
      <c r="AE15" s="108">
        <v>49</v>
      </c>
      <c r="AF15" s="108">
        <v>0</v>
      </c>
      <c r="AG15" s="108">
        <v>0</v>
      </c>
      <c r="AH15" s="108">
        <v>0</v>
      </c>
      <c r="AI15" s="108">
        <v>0</v>
      </c>
      <c r="AJ15" s="108">
        <v>3</v>
      </c>
      <c r="AK15" s="108">
        <v>8</v>
      </c>
      <c r="AL15" s="108">
        <v>17</v>
      </c>
      <c r="AM15" s="108">
        <v>315</v>
      </c>
      <c r="AN15" s="108">
        <f t="shared" si="0"/>
        <v>20</v>
      </c>
      <c r="AO15" s="108">
        <f t="shared" si="1"/>
        <v>323</v>
      </c>
      <c r="AP15" s="110">
        <f t="shared" si="3"/>
        <v>16.149999999999999</v>
      </c>
      <c r="AQ15" s="110">
        <f t="shared" si="2"/>
        <v>0.10379177377892031</v>
      </c>
      <c r="AR15" s="108">
        <v>0</v>
      </c>
      <c r="AS15" s="108">
        <v>0</v>
      </c>
      <c r="AT15" s="108">
        <v>3112</v>
      </c>
    </row>
    <row r="16" spans="1:46" ht="13.5" thickBot="1" x14ac:dyDescent="0.25">
      <c r="A16" s="48" t="s">
        <v>272</v>
      </c>
      <c r="B16" s="47" t="s">
        <v>271</v>
      </c>
      <c r="C16" s="48" t="s">
        <v>34</v>
      </c>
      <c r="D16" s="48" t="s">
        <v>1649</v>
      </c>
      <c r="E16" s="48" t="s">
        <v>1649</v>
      </c>
      <c r="F16" s="108">
        <v>61</v>
      </c>
      <c r="G16" s="108">
        <v>875</v>
      </c>
      <c r="H16" s="108">
        <v>5</v>
      </c>
      <c r="I16" s="108">
        <v>538</v>
      </c>
      <c r="J16" s="108">
        <v>7</v>
      </c>
      <c r="K16" s="108">
        <v>314</v>
      </c>
      <c r="L16" s="108">
        <v>0</v>
      </c>
      <c r="M16" s="108">
        <v>0</v>
      </c>
      <c r="N16" s="108">
        <v>141</v>
      </c>
      <c r="O16" s="108">
        <v>28</v>
      </c>
      <c r="P16" s="108">
        <v>169</v>
      </c>
      <c r="Q16" s="108">
        <v>0</v>
      </c>
      <c r="R16" s="108">
        <v>0</v>
      </c>
      <c r="S16" s="108">
        <v>68</v>
      </c>
      <c r="T16" s="108">
        <v>1189</v>
      </c>
      <c r="U16" s="109" t="s">
        <v>1648</v>
      </c>
      <c r="V16" s="108">
        <v>39</v>
      </c>
      <c r="W16" s="108">
        <v>379</v>
      </c>
      <c r="X16" s="108">
        <v>0</v>
      </c>
      <c r="Y16" s="108">
        <v>0</v>
      </c>
      <c r="Z16" s="108">
        <v>5</v>
      </c>
      <c r="AA16" s="108">
        <v>538</v>
      </c>
      <c r="AB16" s="108">
        <v>0</v>
      </c>
      <c r="AC16" s="108">
        <v>0</v>
      </c>
      <c r="AD16" s="108">
        <v>214</v>
      </c>
      <c r="AE16" s="108">
        <v>2700</v>
      </c>
      <c r="AF16" s="108">
        <v>0</v>
      </c>
      <c r="AG16" s="108">
        <v>0</v>
      </c>
      <c r="AH16" s="108">
        <v>43</v>
      </c>
      <c r="AI16" s="108">
        <v>1231</v>
      </c>
      <c r="AJ16" s="108">
        <v>0</v>
      </c>
      <c r="AK16" s="108">
        <v>0</v>
      </c>
      <c r="AL16" s="108">
        <v>330</v>
      </c>
      <c r="AM16" s="108">
        <v>5658</v>
      </c>
      <c r="AN16" s="108">
        <f t="shared" si="0"/>
        <v>330</v>
      </c>
      <c r="AO16" s="108">
        <f t="shared" si="1"/>
        <v>5658</v>
      </c>
      <c r="AP16" s="110">
        <f t="shared" si="3"/>
        <v>17.145454545454545</v>
      </c>
      <c r="AQ16" s="110">
        <f t="shared" si="2"/>
        <v>2.0272303833751342</v>
      </c>
      <c r="AR16" s="108">
        <v>0</v>
      </c>
      <c r="AS16" s="108">
        <v>0</v>
      </c>
      <c r="AT16" s="108">
        <v>2791</v>
      </c>
    </row>
    <row r="17" spans="1:46" ht="13.5" thickBot="1" x14ac:dyDescent="0.25">
      <c r="A17" s="48" t="s">
        <v>286</v>
      </c>
      <c r="B17" s="47" t="s">
        <v>285</v>
      </c>
      <c r="C17" s="48" t="s">
        <v>34</v>
      </c>
      <c r="D17" s="48" t="s">
        <v>1648</v>
      </c>
      <c r="E17" s="48" t="s">
        <v>1649</v>
      </c>
      <c r="F17" s="108">
        <v>27</v>
      </c>
      <c r="G17" s="108">
        <v>800</v>
      </c>
      <c r="H17" s="108">
        <v>2</v>
      </c>
      <c r="I17" s="108">
        <v>11</v>
      </c>
      <c r="J17" s="108">
        <v>3</v>
      </c>
      <c r="K17" s="108">
        <v>55</v>
      </c>
      <c r="L17" s="108">
        <v>0</v>
      </c>
      <c r="M17" s="108">
        <v>0</v>
      </c>
      <c r="N17" s="108">
        <v>13</v>
      </c>
      <c r="O17" s="108">
        <v>8</v>
      </c>
      <c r="P17" s="108">
        <v>21</v>
      </c>
      <c r="Q17" s="108">
        <v>3</v>
      </c>
      <c r="R17" s="108">
        <v>55</v>
      </c>
      <c r="S17" s="108">
        <v>30</v>
      </c>
      <c r="T17" s="108">
        <v>855</v>
      </c>
      <c r="U17" s="109" t="s">
        <v>1648</v>
      </c>
      <c r="V17" s="108">
        <v>21</v>
      </c>
      <c r="W17" s="108">
        <v>403</v>
      </c>
      <c r="X17" s="108">
        <v>0</v>
      </c>
      <c r="Y17" s="108">
        <v>0</v>
      </c>
      <c r="Z17" s="108">
        <v>2</v>
      </c>
      <c r="AA17" s="108">
        <v>11</v>
      </c>
      <c r="AB17" s="108">
        <v>8</v>
      </c>
      <c r="AC17" s="108">
        <v>148</v>
      </c>
      <c r="AD17" s="108">
        <v>17</v>
      </c>
      <c r="AE17" s="108">
        <v>225</v>
      </c>
      <c r="AF17" s="108">
        <v>0</v>
      </c>
      <c r="AG17" s="108">
        <v>0</v>
      </c>
      <c r="AH17" s="108">
        <v>0</v>
      </c>
      <c r="AI17" s="108">
        <v>0</v>
      </c>
      <c r="AJ17" s="108">
        <v>11</v>
      </c>
      <c r="AK17" s="108">
        <v>203</v>
      </c>
      <c r="AL17" s="108">
        <v>49</v>
      </c>
      <c r="AM17" s="108">
        <v>1091</v>
      </c>
      <c r="AN17" s="108">
        <f t="shared" si="0"/>
        <v>60</v>
      </c>
      <c r="AO17" s="108">
        <f t="shared" si="1"/>
        <v>1294</v>
      </c>
      <c r="AP17" s="110">
        <f t="shared" si="3"/>
        <v>21.566666666666666</v>
      </c>
      <c r="AQ17" s="110">
        <f t="shared" si="2"/>
        <v>0.41079365079365077</v>
      </c>
      <c r="AR17" s="108">
        <v>0</v>
      </c>
      <c r="AS17" s="108">
        <v>0</v>
      </c>
      <c r="AT17" s="108">
        <v>3150</v>
      </c>
    </row>
    <row r="18" spans="1:46" ht="13.5" thickBot="1" x14ac:dyDescent="0.25">
      <c r="A18" s="48" t="s">
        <v>298</v>
      </c>
      <c r="B18" s="47" t="s">
        <v>297</v>
      </c>
      <c r="C18" s="48" t="s">
        <v>34</v>
      </c>
      <c r="D18" s="48" t="s">
        <v>1649</v>
      </c>
      <c r="E18" s="48" t="s">
        <v>1649</v>
      </c>
      <c r="F18" s="108">
        <v>1</v>
      </c>
      <c r="G18" s="108">
        <v>15</v>
      </c>
      <c r="H18" s="108">
        <v>0</v>
      </c>
      <c r="I18" s="108">
        <v>0</v>
      </c>
      <c r="J18" s="108">
        <v>1</v>
      </c>
      <c r="K18" s="108">
        <v>70</v>
      </c>
      <c r="L18" s="108">
        <v>0</v>
      </c>
      <c r="M18" s="108">
        <v>0</v>
      </c>
      <c r="N18" s="108">
        <v>25</v>
      </c>
      <c r="O18" s="108">
        <v>0</v>
      </c>
      <c r="P18" s="108">
        <v>25</v>
      </c>
      <c r="Q18" s="108">
        <v>0</v>
      </c>
      <c r="R18" s="108">
        <v>0</v>
      </c>
      <c r="S18" s="108">
        <v>2</v>
      </c>
      <c r="T18" s="108">
        <v>85</v>
      </c>
      <c r="U18" s="109" t="s">
        <v>1649</v>
      </c>
      <c r="V18" s="108">
        <v>0</v>
      </c>
      <c r="W18" s="108">
        <v>0</v>
      </c>
      <c r="X18" s="108">
        <v>0</v>
      </c>
      <c r="Y18" s="108">
        <v>0</v>
      </c>
      <c r="Z18" s="108">
        <v>0</v>
      </c>
      <c r="AA18" s="108">
        <v>0</v>
      </c>
      <c r="AB18" s="108">
        <v>0</v>
      </c>
      <c r="AC18" s="108">
        <v>0</v>
      </c>
      <c r="AD18" s="108">
        <v>0</v>
      </c>
      <c r="AE18" s="108">
        <v>0</v>
      </c>
      <c r="AF18" s="108">
        <v>0</v>
      </c>
      <c r="AG18" s="108">
        <v>0</v>
      </c>
      <c r="AH18" s="108">
        <v>3</v>
      </c>
      <c r="AI18" s="108">
        <v>752</v>
      </c>
      <c r="AJ18" s="108">
        <v>0</v>
      </c>
      <c r="AK18" s="108">
        <v>0</v>
      </c>
      <c r="AL18" s="108">
        <v>5</v>
      </c>
      <c r="AM18" s="108">
        <v>837</v>
      </c>
      <c r="AN18" s="108">
        <f t="shared" si="0"/>
        <v>5</v>
      </c>
      <c r="AO18" s="108">
        <f t="shared" si="1"/>
        <v>837</v>
      </c>
      <c r="AP18" s="110">
        <f t="shared" si="3"/>
        <v>167.4</v>
      </c>
      <c r="AQ18" s="110">
        <f t="shared" si="2"/>
        <v>0.27505750903713438</v>
      </c>
      <c r="AR18" s="108">
        <v>0</v>
      </c>
      <c r="AS18" s="108">
        <v>0</v>
      </c>
      <c r="AT18" s="108">
        <v>3043</v>
      </c>
    </row>
    <row r="19" spans="1:46" ht="13.5" thickBot="1" x14ac:dyDescent="0.25">
      <c r="A19" s="48" t="s">
        <v>306</v>
      </c>
      <c r="B19" s="47" t="s">
        <v>305</v>
      </c>
      <c r="C19" s="48" t="s">
        <v>34</v>
      </c>
      <c r="D19" s="48" t="s">
        <v>1649</v>
      </c>
      <c r="E19" s="48" t="s">
        <v>1649</v>
      </c>
      <c r="F19" s="108">
        <v>1</v>
      </c>
      <c r="G19" s="108">
        <v>4</v>
      </c>
      <c r="H19" s="108">
        <v>1</v>
      </c>
      <c r="I19" s="108">
        <v>4</v>
      </c>
      <c r="J19" s="108">
        <v>8</v>
      </c>
      <c r="K19" s="108">
        <v>20</v>
      </c>
      <c r="L19" s="108">
        <v>8</v>
      </c>
      <c r="M19" s="108">
        <v>8</v>
      </c>
      <c r="N19" s="108">
        <v>35</v>
      </c>
      <c r="O19" s="108">
        <v>4</v>
      </c>
      <c r="P19" s="108">
        <v>39</v>
      </c>
      <c r="Q19" s="108">
        <v>0</v>
      </c>
      <c r="R19" s="108">
        <v>0</v>
      </c>
      <c r="S19" s="108">
        <v>9</v>
      </c>
      <c r="T19" s="108">
        <v>24</v>
      </c>
      <c r="U19" s="109" t="s">
        <v>1648</v>
      </c>
      <c r="V19" s="108">
        <v>1</v>
      </c>
      <c r="W19" s="108">
        <v>4</v>
      </c>
      <c r="X19" s="108">
        <v>0</v>
      </c>
      <c r="Y19" s="108">
        <v>0</v>
      </c>
      <c r="Z19" s="108">
        <v>9</v>
      </c>
      <c r="AA19" s="108">
        <v>12</v>
      </c>
      <c r="AB19" s="108">
        <v>0</v>
      </c>
      <c r="AC19" s="108">
        <v>0</v>
      </c>
      <c r="AD19" s="108">
        <v>2</v>
      </c>
      <c r="AE19" s="108">
        <v>6</v>
      </c>
      <c r="AF19" s="108">
        <v>0</v>
      </c>
      <c r="AG19" s="108">
        <v>0</v>
      </c>
      <c r="AH19" s="108">
        <v>0</v>
      </c>
      <c r="AI19" s="108">
        <v>0</v>
      </c>
      <c r="AJ19" s="108">
        <v>0</v>
      </c>
      <c r="AK19" s="108">
        <v>0</v>
      </c>
      <c r="AL19" s="108">
        <v>20</v>
      </c>
      <c r="AM19" s="108">
        <v>42</v>
      </c>
      <c r="AN19" s="108">
        <f t="shared" si="0"/>
        <v>20</v>
      </c>
      <c r="AO19" s="108">
        <f t="shared" si="1"/>
        <v>42</v>
      </c>
      <c r="AP19" s="110">
        <f t="shared" si="3"/>
        <v>2.1</v>
      </c>
      <c r="AQ19" s="110">
        <f t="shared" si="2"/>
        <v>2.0517830972154372E-2</v>
      </c>
      <c r="AR19" s="108">
        <v>0</v>
      </c>
      <c r="AS19" s="108">
        <v>0</v>
      </c>
      <c r="AT19" s="108">
        <v>2047</v>
      </c>
    </row>
    <row r="20" spans="1:46" ht="13.5" thickBot="1" x14ac:dyDescent="0.25">
      <c r="A20" s="48" t="s">
        <v>314</v>
      </c>
      <c r="B20" s="47" t="s">
        <v>313</v>
      </c>
      <c r="C20" s="48" t="s">
        <v>34</v>
      </c>
      <c r="D20" s="48" t="s">
        <v>1648</v>
      </c>
      <c r="E20" s="48" t="s">
        <v>1648</v>
      </c>
      <c r="F20" s="108">
        <v>30</v>
      </c>
      <c r="G20" s="108">
        <v>245</v>
      </c>
      <c r="H20" s="108">
        <v>0</v>
      </c>
      <c r="I20" s="108">
        <v>0</v>
      </c>
      <c r="J20" s="108">
        <v>7</v>
      </c>
      <c r="K20" s="108">
        <v>100</v>
      </c>
      <c r="L20" s="108">
        <v>0</v>
      </c>
      <c r="M20" s="108">
        <v>0</v>
      </c>
      <c r="N20" s="108">
        <v>30</v>
      </c>
      <c r="O20" s="109">
        <v>0</v>
      </c>
      <c r="P20" s="108">
        <v>30</v>
      </c>
      <c r="Q20" s="108">
        <v>4</v>
      </c>
      <c r="R20" s="108">
        <v>85</v>
      </c>
      <c r="S20" s="108">
        <v>37</v>
      </c>
      <c r="T20" s="108">
        <v>345</v>
      </c>
      <c r="U20" s="109" t="s">
        <v>1648</v>
      </c>
      <c r="V20" s="108">
        <v>37</v>
      </c>
      <c r="W20" s="108">
        <v>345</v>
      </c>
      <c r="X20" s="108">
        <v>0</v>
      </c>
      <c r="Y20" s="108">
        <v>0</v>
      </c>
      <c r="Z20" s="108">
        <v>0</v>
      </c>
      <c r="AA20" s="108">
        <v>0</v>
      </c>
      <c r="AB20" s="108">
        <v>6</v>
      </c>
      <c r="AC20" s="108">
        <v>120</v>
      </c>
      <c r="AD20" s="108">
        <v>10</v>
      </c>
      <c r="AE20" s="108">
        <v>373</v>
      </c>
      <c r="AF20" s="108">
        <v>0</v>
      </c>
      <c r="AG20" s="108">
        <v>0</v>
      </c>
      <c r="AH20" s="108">
        <v>0</v>
      </c>
      <c r="AI20" s="108">
        <v>0</v>
      </c>
      <c r="AJ20" s="108">
        <v>10</v>
      </c>
      <c r="AK20" s="108">
        <v>205</v>
      </c>
      <c r="AL20" s="108">
        <v>47</v>
      </c>
      <c r="AM20" s="108">
        <v>718</v>
      </c>
      <c r="AN20" s="108">
        <f t="shared" si="0"/>
        <v>57</v>
      </c>
      <c r="AO20" s="108">
        <f t="shared" si="1"/>
        <v>923</v>
      </c>
      <c r="AP20" s="110">
        <f t="shared" si="3"/>
        <v>16.192982456140349</v>
      </c>
      <c r="AQ20" s="110">
        <f t="shared" si="2"/>
        <v>0.25287671232876713</v>
      </c>
      <c r="AR20" s="108">
        <v>0</v>
      </c>
      <c r="AS20" s="108">
        <v>0</v>
      </c>
      <c r="AT20" s="108">
        <v>3650</v>
      </c>
    </row>
    <row r="21" spans="1:46" ht="13.5" thickBot="1" x14ac:dyDescent="0.25">
      <c r="A21" s="48" t="s">
        <v>316</v>
      </c>
      <c r="B21" s="47" t="s">
        <v>315</v>
      </c>
      <c r="C21" s="48" t="s">
        <v>34</v>
      </c>
      <c r="D21" s="48" t="s">
        <v>1649</v>
      </c>
      <c r="E21" s="48" t="s">
        <v>1649</v>
      </c>
      <c r="F21" s="108">
        <v>7</v>
      </c>
      <c r="G21" s="108">
        <v>30</v>
      </c>
      <c r="H21" s="108">
        <v>0</v>
      </c>
      <c r="I21" s="108">
        <v>0</v>
      </c>
      <c r="J21" s="108">
        <v>0</v>
      </c>
      <c r="K21" s="108">
        <v>0</v>
      </c>
      <c r="L21" s="108">
        <v>0</v>
      </c>
      <c r="M21" s="108">
        <v>0</v>
      </c>
      <c r="N21" s="108">
        <v>0</v>
      </c>
      <c r="O21" s="108">
        <v>0</v>
      </c>
      <c r="P21" s="108">
        <v>0</v>
      </c>
      <c r="Q21" s="108">
        <v>0</v>
      </c>
      <c r="R21" s="108">
        <v>0</v>
      </c>
      <c r="S21" s="108">
        <v>7</v>
      </c>
      <c r="T21" s="108">
        <v>30</v>
      </c>
      <c r="U21" s="109" t="s">
        <v>1648</v>
      </c>
      <c r="V21" s="108">
        <v>7</v>
      </c>
      <c r="W21" s="108">
        <v>30</v>
      </c>
      <c r="X21" s="108">
        <v>0</v>
      </c>
      <c r="Y21" s="108">
        <v>0</v>
      </c>
      <c r="Z21" s="108">
        <v>0</v>
      </c>
      <c r="AA21" s="108">
        <v>0</v>
      </c>
      <c r="AB21" s="108">
        <v>0</v>
      </c>
      <c r="AC21" s="108">
        <v>0</v>
      </c>
      <c r="AD21" s="108">
        <v>2</v>
      </c>
      <c r="AE21" s="108">
        <v>25</v>
      </c>
      <c r="AF21" s="108">
        <v>0</v>
      </c>
      <c r="AG21" s="108">
        <v>0</v>
      </c>
      <c r="AH21" s="108">
        <v>0</v>
      </c>
      <c r="AI21" s="108">
        <v>0</v>
      </c>
      <c r="AJ21" s="108">
        <v>0</v>
      </c>
      <c r="AK21" s="108">
        <v>0</v>
      </c>
      <c r="AL21" s="108">
        <v>9</v>
      </c>
      <c r="AM21" s="108">
        <v>55</v>
      </c>
      <c r="AN21" s="108">
        <f t="shared" si="0"/>
        <v>9</v>
      </c>
      <c r="AO21" s="108">
        <f t="shared" si="1"/>
        <v>55</v>
      </c>
      <c r="AP21" s="110">
        <f t="shared" si="3"/>
        <v>6.1111111111111107</v>
      </c>
      <c r="AQ21" s="110">
        <f t="shared" si="2"/>
        <v>3.0087527352297593E-2</v>
      </c>
      <c r="AR21" s="108">
        <v>0</v>
      </c>
      <c r="AS21" s="108">
        <v>0</v>
      </c>
      <c r="AT21" s="108">
        <v>1828</v>
      </c>
    </row>
    <row r="22" spans="1:46" ht="13.5" thickBot="1" x14ac:dyDescent="0.25">
      <c r="A22" s="48" t="s">
        <v>364</v>
      </c>
      <c r="B22" s="47" t="s">
        <v>363</v>
      </c>
      <c r="C22" s="48" t="s">
        <v>34</v>
      </c>
      <c r="D22" s="48" t="s">
        <v>1649</v>
      </c>
      <c r="E22" s="48" t="s">
        <v>1648</v>
      </c>
      <c r="F22" s="108">
        <v>240</v>
      </c>
      <c r="G22" s="108">
        <v>1810</v>
      </c>
      <c r="H22" s="108">
        <v>64</v>
      </c>
      <c r="I22" s="108">
        <v>323</v>
      </c>
      <c r="J22" s="108">
        <v>137</v>
      </c>
      <c r="K22" s="108">
        <v>1650</v>
      </c>
      <c r="L22" s="108">
        <v>17</v>
      </c>
      <c r="M22" s="108">
        <v>116</v>
      </c>
      <c r="N22" s="108">
        <v>153</v>
      </c>
      <c r="O22" s="108">
        <v>89</v>
      </c>
      <c r="P22" s="108">
        <v>242</v>
      </c>
      <c r="Q22" s="108">
        <v>0</v>
      </c>
      <c r="R22" s="108">
        <v>0</v>
      </c>
      <c r="S22" s="108">
        <v>377</v>
      </c>
      <c r="T22" s="108">
        <v>3460</v>
      </c>
      <c r="U22" s="109" t="s">
        <v>1648</v>
      </c>
      <c r="V22" s="108">
        <v>286</v>
      </c>
      <c r="W22" s="108">
        <v>1966</v>
      </c>
      <c r="X22" s="108">
        <v>0</v>
      </c>
      <c r="Y22" s="108">
        <v>0</v>
      </c>
      <c r="Z22" s="108">
        <v>81</v>
      </c>
      <c r="AA22" s="108">
        <v>439</v>
      </c>
      <c r="AB22" s="108">
        <v>0</v>
      </c>
      <c r="AC22" s="108">
        <v>0</v>
      </c>
      <c r="AD22" s="108">
        <v>167</v>
      </c>
      <c r="AE22" s="108">
        <v>1097</v>
      </c>
      <c r="AF22" s="108">
        <v>0</v>
      </c>
      <c r="AG22" s="108">
        <v>0</v>
      </c>
      <c r="AH22" s="108">
        <v>12</v>
      </c>
      <c r="AI22" s="108">
        <v>975</v>
      </c>
      <c r="AJ22" s="108">
        <v>0</v>
      </c>
      <c r="AK22" s="108">
        <v>0</v>
      </c>
      <c r="AL22" s="108">
        <v>637</v>
      </c>
      <c r="AM22" s="108">
        <v>5971</v>
      </c>
      <c r="AN22" s="108">
        <f t="shared" si="0"/>
        <v>637</v>
      </c>
      <c r="AO22" s="108">
        <f t="shared" si="1"/>
        <v>5971</v>
      </c>
      <c r="AP22" s="110">
        <f t="shared" si="3"/>
        <v>9.3736263736263741</v>
      </c>
      <c r="AQ22" s="110">
        <f t="shared" si="2"/>
        <v>1.5208863983698422</v>
      </c>
      <c r="AR22" s="108">
        <v>0</v>
      </c>
      <c r="AS22" s="108">
        <v>0</v>
      </c>
      <c r="AT22" s="108">
        <v>3926</v>
      </c>
    </row>
    <row r="23" spans="1:46" ht="13.5" thickBot="1" x14ac:dyDescent="0.25">
      <c r="A23" s="48" t="s">
        <v>380</v>
      </c>
      <c r="B23" s="47" t="s">
        <v>379</v>
      </c>
      <c r="C23" s="48" t="s">
        <v>34</v>
      </c>
      <c r="D23" s="48" t="s">
        <v>1649</v>
      </c>
      <c r="E23" s="48" t="s">
        <v>1649</v>
      </c>
      <c r="F23" s="108">
        <v>78</v>
      </c>
      <c r="G23" s="108">
        <v>741</v>
      </c>
      <c r="H23" s="108">
        <v>3</v>
      </c>
      <c r="I23" s="108">
        <v>0</v>
      </c>
      <c r="J23" s="108">
        <v>11</v>
      </c>
      <c r="K23" s="108">
        <v>175</v>
      </c>
      <c r="L23" s="108">
        <v>5</v>
      </c>
      <c r="M23" s="108">
        <v>18</v>
      </c>
      <c r="N23" s="108">
        <v>36</v>
      </c>
      <c r="O23" s="108">
        <v>10</v>
      </c>
      <c r="P23" s="108">
        <v>46</v>
      </c>
      <c r="Q23" s="108">
        <v>0</v>
      </c>
      <c r="R23" s="108">
        <v>0</v>
      </c>
      <c r="S23" s="108">
        <v>89</v>
      </c>
      <c r="T23" s="108">
        <v>916</v>
      </c>
      <c r="U23" s="109" t="s">
        <v>1648</v>
      </c>
      <c r="V23" s="108">
        <v>37</v>
      </c>
      <c r="W23" s="108">
        <v>216</v>
      </c>
      <c r="X23" s="108">
        <v>0</v>
      </c>
      <c r="Y23" s="108">
        <v>0</v>
      </c>
      <c r="Z23" s="108">
        <v>8</v>
      </c>
      <c r="AA23" s="108">
        <v>18</v>
      </c>
      <c r="AB23" s="108">
        <v>0</v>
      </c>
      <c r="AC23" s="108">
        <v>0</v>
      </c>
      <c r="AD23" s="108">
        <v>59</v>
      </c>
      <c r="AE23" s="108">
        <v>201</v>
      </c>
      <c r="AF23" s="108">
        <v>0</v>
      </c>
      <c r="AG23" s="108">
        <v>0</v>
      </c>
      <c r="AH23" s="108">
        <v>31</v>
      </c>
      <c r="AI23" s="108">
        <v>352</v>
      </c>
      <c r="AJ23" s="108">
        <v>0</v>
      </c>
      <c r="AK23" s="108">
        <v>0</v>
      </c>
      <c r="AL23" s="108">
        <v>187</v>
      </c>
      <c r="AM23" s="108">
        <v>1487</v>
      </c>
      <c r="AN23" s="108">
        <f t="shared" si="0"/>
        <v>187</v>
      </c>
      <c r="AO23" s="108">
        <f t="shared" si="1"/>
        <v>1487</v>
      </c>
      <c r="AP23" s="110">
        <f t="shared" si="3"/>
        <v>7.9518716577540109</v>
      </c>
      <c r="AQ23" s="110">
        <f t="shared" si="2"/>
        <v>0.48946675444371296</v>
      </c>
      <c r="AR23" s="108">
        <v>0</v>
      </c>
      <c r="AS23" s="108">
        <v>0</v>
      </c>
      <c r="AT23" s="108">
        <v>3038</v>
      </c>
    </row>
    <row r="24" spans="1:46" ht="13.5" thickBot="1" x14ac:dyDescent="0.25">
      <c r="A24" s="48" t="s">
        <v>412</v>
      </c>
      <c r="B24" s="47" t="s">
        <v>411</v>
      </c>
      <c r="C24" s="48" t="s">
        <v>34</v>
      </c>
      <c r="D24" s="48" t="s">
        <v>1649</v>
      </c>
      <c r="E24" s="48" t="s">
        <v>1649</v>
      </c>
      <c r="F24" s="108">
        <v>0</v>
      </c>
      <c r="G24" s="108">
        <v>0</v>
      </c>
      <c r="H24" s="108">
        <v>0</v>
      </c>
      <c r="I24" s="108">
        <v>0</v>
      </c>
      <c r="J24" s="108">
        <v>1</v>
      </c>
      <c r="K24" s="108">
        <v>17</v>
      </c>
      <c r="L24" s="108">
        <v>0</v>
      </c>
      <c r="M24" s="108">
        <v>0</v>
      </c>
      <c r="N24" s="108">
        <v>17</v>
      </c>
      <c r="O24" s="108">
        <v>0</v>
      </c>
      <c r="P24" s="108">
        <v>17</v>
      </c>
      <c r="Q24" s="108">
        <v>0</v>
      </c>
      <c r="R24" s="108">
        <v>0</v>
      </c>
      <c r="S24" s="108">
        <v>1</v>
      </c>
      <c r="T24" s="108">
        <v>17</v>
      </c>
      <c r="U24" s="109" t="s">
        <v>1649</v>
      </c>
      <c r="V24" s="108">
        <v>0</v>
      </c>
      <c r="W24" s="108">
        <v>0</v>
      </c>
      <c r="X24" s="108">
        <v>0</v>
      </c>
      <c r="Y24" s="108">
        <v>0</v>
      </c>
      <c r="Z24" s="108">
        <v>0</v>
      </c>
      <c r="AA24" s="108">
        <v>0</v>
      </c>
      <c r="AB24" s="108">
        <v>0</v>
      </c>
      <c r="AC24" s="108">
        <v>0</v>
      </c>
      <c r="AD24" s="108">
        <v>1</v>
      </c>
      <c r="AE24" s="108">
        <v>7</v>
      </c>
      <c r="AF24" s="108">
        <v>0</v>
      </c>
      <c r="AG24" s="108">
        <v>0</v>
      </c>
      <c r="AH24" s="108">
        <v>0</v>
      </c>
      <c r="AI24" s="108">
        <v>0</v>
      </c>
      <c r="AJ24" s="108">
        <v>0</v>
      </c>
      <c r="AK24" s="108">
        <v>0</v>
      </c>
      <c r="AL24" s="108">
        <v>2</v>
      </c>
      <c r="AM24" s="108">
        <v>24</v>
      </c>
      <c r="AN24" s="108">
        <f t="shared" si="0"/>
        <v>2</v>
      </c>
      <c r="AO24" s="108">
        <f t="shared" si="1"/>
        <v>24</v>
      </c>
      <c r="AP24" s="110">
        <f t="shared" si="3"/>
        <v>12</v>
      </c>
      <c r="AQ24" s="110">
        <f t="shared" si="2"/>
        <v>6.4343163538873992E-3</v>
      </c>
      <c r="AR24" s="108">
        <v>0</v>
      </c>
      <c r="AS24" s="108">
        <v>0</v>
      </c>
      <c r="AT24" s="108">
        <v>3730</v>
      </c>
    </row>
    <row r="25" spans="1:46" ht="13.5" thickBot="1" x14ac:dyDescent="0.25">
      <c r="A25" s="48" t="s">
        <v>419</v>
      </c>
      <c r="B25" s="47" t="s">
        <v>418</v>
      </c>
      <c r="C25" s="48" t="s">
        <v>34</v>
      </c>
      <c r="D25" s="48" t="s">
        <v>1649</v>
      </c>
      <c r="E25" s="48" t="s">
        <v>1649</v>
      </c>
      <c r="F25" s="108">
        <v>20</v>
      </c>
      <c r="G25" s="108">
        <v>143</v>
      </c>
      <c r="H25" s="108">
        <v>0</v>
      </c>
      <c r="I25" s="108">
        <v>0</v>
      </c>
      <c r="J25" s="108">
        <v>1</v>
      </c>
      <c r="K25" s="108">
        <v>25</v>
      </c>
      <c r="L25" s="108">
        <v>1</v>
      </c>
      <c r="M25" s="108">
        <v>0</v>
      </c>
      <c r="N25" s="108">
        <v>10</v>
      </c>
      <c r="O25" s="108">
        <v>0</v>
      </c>
      <c r="P25" s="108">
        <v>10</v>
      </c>
      <c r="Q25" s="108">
        <v>0</v>
      </c>
      <c r="R25" s="108">
        <v>0</v>
      </c>
      <c r="S25" s="108">
        <v>21</v>
      </c>
      <c r="T25" s="108">
        <v>168</v>
      </c>
      <c r="U25" s="109" t="s">
        <v>1648</v>
      </c>
      <c r="V25" s="108">
        <v>0</v>
      </c>
      <c r="W25" s="108">
        <v>13</v>
      </c>
      <c r="X25" s="108">
        <v>0</v>
      </c>
      <c r="Y25" s="108">
        <v>0</v>
      </c>
      <c r="Z25" s="108">
        <v>1</v>
      </c>
      <c r="AA25" s="108">
        <v>0</v>
      </c>
      <c r="AB25" s="108">
        <v>0</v>
      </c>
      <c r="AC25" s="108">
        <v>0</v>
      </c>
      <c r="AD25" s="108">
        <v>4</v>
      </c>
      <c r="AE25" s="108">
        <v>16</v>
      </c>
      <c r="AF25" s="108">
        <v>0</v>
      </c>
      <c r="AG25" s="108">
        <v>0</v>
      </c>
      <c r="AH25" s="108">
        <v>6</v>
      </c>
      <c r="AI25" s="108">
        <v>199</v>
      </c>
      <c r="AJ25" s="108">
        <v>0</v>
      </c>
      <c r="AK25" s="108">
        <v>0</v>
      </c>
      <c r="AL25" s="108">
        <v>32</v>
      </c>
      <c r="AM25" s="108">
        <v>383</v>
      </c>
      <c r="AN25" s="108">
        <f t="shared" si="0"/>
        <v>32</v>
      </c>
      <c r="AO25" s="108">
        <f t="shared" si="1"/>
        <v>383</v>
      </c>
      <c r="AP25" s="110">
        <f t="shared" si="3"/>
        <v>11.96875</v>
      </c>
      <c r="AQ25" s="110">
        <f t="shared" si="2"/>
        <v>0.140036563071298</v>
      </c>
      <c r="AR25" s="108">
        <v>0</v>
      </c>
      <c r="AS25" s="108">
        <v>0</v>
      </c>
      <c r="AT25" s="108">
        <v>2735</v>
      </c>
    </row>
    <row r="26" spans="1:46" ht="13.5" thickBot="1" x14ac:dyDescent="0.25">
      <c r="A26" s="48" t="s">
        <v>421</v>
      </c>
      <c r="B26" s="47" t="s">
        <v>420</v>
      </c>
      <c r="C26" s="48" t="s">
        <v>34</v>
      </c>
      <c r="D26" s="48" t="s">
        <v>1649</v>
      </c>
      <c r="E26" s="48" t="s">
        <v>1649</v>
      </c>
      <c r="F26" s="108">
        <v>48</v>
      </c>
      <c r="G26" s="108">
        <v>528</v>
      </c>
      <c r="H26" s="108">
        <v>1</v>
      </c>
      <c r="I26" s="108">
        <v>5</v>
      </c>
      <c r="J26" s="108">
        <v>16</v>
      </c>
      <c r="K26" s="108">
        <v>414</v>
      </c>
      <c r="L26" s="108">
        <v>16</v>
      </c>
      <c r="M26" s="108">
        <v>92</v>
      </c>
      <c r="N26" s="108">
        <v>82</v>
      </c>
      <c r="O26" s="108">
        <v>38</v>
      </c>
      <c r="P26" s="108">
        <v>120</v>
      </c>
      <c r="Q26" s="108">
        <v>0</v>
      </c>
      <c r="R26" s="108">
        <v>0</v>
      </c>
      <c r="S26" s="108">
        <v>64</v>
      </c>
      <c r="T26" s="108">
        <v>942</v>
      </c>
      <c r="U26" s="109" t="s">
        <v>1648</v>
      </c>
      <c r="V26" s="108">
        <v>16</v>
      </c>
      <c r="W26" s="108">
        <v>61</v>
      </c>
      <c r="X26" s="108">
        <v>0</v>
      </c>
      <c r="Y26" s="108">
        <v>0</v>
      </c>
      <c r="Z26" s="108">
        <v>17</v>
      </c>
      <c r="AA26" s="108">
        <v>97</v>
      </c>
      <c r="AB26" s="108">
        <v>0</v>
      </c>
      <c r="AC26" s="108">
        <v>0</v>
      </c>
      <c r="AD26" s="108">
        <v>28</v>
      </c>
      <c r="AE26" s="108">
        <v>308</v>
      </c>
      <c r="AF26" s="108">
        <v>0</v>
      </c>
      <c r="AG26" s="108">
        <v>0</v>
      </c>
      <c r="AH26" s="108">
        <v>0</v>
      </c>
      <c r="AI26" s="108">
        <v>0</v>
      </c>
      <c r="AJ26" s="108">
        <v>0</v>
      </c>
      <c r="AK26" s="108">
        <v>0</v>
      </c>
      <c r="AL26" s="108">
        <v>109</v>
      </c>
      <c r="AM26" s="108">
        <v>1347</v>
      </c>
      <c r="AN26" s="108">
        <f t="shared" si="0"/>
        <v>109</v>
      </c>
      <c r="AO26" s="108">
        <f t="shared" si="1"/>
        <v>1347</v>
      </c>
      <c r="AP26" s="110">
        <f t="shared" si="3"/>
        <v>12.357798165137615</v>
      </c>
      <c r="AQ26" s="110">
        <f t="shared" si="2"/>
        <v>0.70894736842105266</v>
      </c>
      <c r="AR26" s="108">
        <v>0</v>
      </c>
      <c r="AS26" s="108">
        <v>0</v>
      </c>
      <c r="AT26" s="108">
        <v>1900</v>
      </c>
    </row>
    <row r="27" spans="1:46" ht="13.5" thickBot="1" x14ac:dyDescent="0.25">
      <c r="A27" s="48" t="s">
        <v>435</v>
      </c>
      <c r="B27" s="47" t="s">
        <v>434</v>
      </c>
      <c r="C27" s="48" t="s">
        <v>34</v>
      </c>
      <c r="D27" s="48" t="s">
        <v>1649</v>
      </c>
      <c r="E27" s="48" t="s">
        <v>1649</v>
      </c>
      <c r="F27" s="108">
        <v>5</v>
      </c>
      <c r="G27" s="108">
        <v>45</v>
      </c>
      <c r="H27" s="108">
        <v>0</v>
      </c>
      <c r="I27" s="108">
        <v>0</v>
      </c>
      <c r="J27" s="108">
        <v>5</v>
      </c>
      <c r="K27" s="108">
        <v>45</v>
      </c>
      <c r="L27" s="108">
        <v>0</v>
      </c>
      <c r="M27" s="108">
        <v>0</v>
      </c>
      <c r="N27" s="108">
        <v>42</v>
      </c>
      <c r="O27" s="108">
        <v>0</v>
      </c>
      <c r="P27" s="108">
        <v>42</v>
      </c>
      <c r="Q27" s="108">
        <v>0</v>
      </c>
      <c r="R27" s="108">
        <v>0</v>
      </c>
      <c r="S27" s="108">
        <v>10</v>
      </c>
      <c r="T27" s="108">
        <v>90</v>
      </c>
      <c r="U27" s="109" t="s">
        <v>1649</v>
      </c>
      <c r="V27" s="108">
        <v>0</v>
      </c>
      <c r="W27" s="108">
        <v>0</v>
      </c>
      <c r="X27" s="108">
        <v>0</v>
      </c>
      <c r="Y27" s="108">
        <v>0</v>
      </c>
      <c r="Z27" s="108">
        <v>0</v>
      </c>
      <c r="AA27" s="108">
        <v>0</v>
      </c>
      <c r="AB27" s="108">
        <v>0</v>
      </c>
      <c r="AC27" s="108">
        <v>0</v>
      </c>
      <c r="AD27" s="108">
        <v>1</v>
      </c>
      <c r="AE27" s="108">
        <v>8</v>
      </c>
      <c r="AF27" s="108">
        <v>0</v>
      </c>
      <c r="AG27" s="108">
        <v>0</v>
      </c>
      <c r="AH27" s="108">
        <v>0</v>
      </c>
      <c r="AI27" s="108">
        <v>0</v>
      </c>
      <c r="AJ27" s="108">
        <v>0</v>
      </c>
      <c r="AK27" s="108">
        <v>0</v>
      </c>
      <c r="AL27" s="108">
        <v>11</v>
      </c>
      <c r="AM27" s="108">
        <v>98</v>
      </c>
      <c r="AN27" s="108">
        <f t="shared" si="0"/>
        <v>11</v>
      </c>
      <c r="AO27" s="108">
        <f t="shared" si="1"/>
        <v>98</v>
      </c>
      <c r="AP27" s="110">
        <f t="shared" si="3"/>
        <v>8.9090909090909083</v>
      </c>
      <c r="AQ27" s="110">
        <f t="shared" si="2"/>
        <v>3.4567901234567898E-2</v>
      </c>
      <c r="AR27" s="108">
        <v>0</v>
      </c>
      <c r="AS27" s="108">
        <v>0</v>
      </c>
      <c r="AT27" s="108">
        <v>2835</v>
      </c>
    </row>
    <row r="28" spans="1:46" ht="13.5" thickBot="1" x14ac:dyDescent="0.25">
      <c r="A28" s="48" t="s">
        <v>454</v>
      </c>
      <c r="B28" s="47" t="s">
        <v>453</v>
      </c>
      <c r="C28" s="48" t="s">
        <v>34</v>
      </c>
      <c r="D28" s="48" t="s">
        <v>1649</v>
      </c>
      <c r="E28" s="48" t="s">
        <v>1649</v>
      </c>
      <c r="F28" s="108">
        <v>4</v>
      </c>
      <c r="G28" s="108">
        <v>271</v>
      </c>
      <c r="H28" s="108">
        <v>0</v>
      </c>
      <c r="I28" s="108">
        <v>0</v>
      </c>
      <c r="J28" s="108">
        <v>6</v>
      </c>
      <c r="K28" s="108">
        <v>169</v>
      </c>
      <c r="L28" s="108">
        <v>0</v>
      </c>
      <c r="M28" s="108">
        <v>0</v>
      </c>
      <c r="N28" s="108">
        <v>62</v>
      </c>
      <c r="O28" s="108">
        <v>5</v>
      </c>
      <c r="P28" s="108">
        <v>67</v>
      </c>
      <c r="Q28" s="108">
        <v>0</v>
      </c>
      <c r="R28" s="108">
        <v>0</v>
      </c>
      <c r="S28" s="108">
        <v>10</v>
      </c>
      <c r="T28" s="108">
        <v>440</v>
      </c>
      <c r="U28" s="109" t="s">
        <v>1648</v>
      </c>
      <c r="V28" s="108">
        <v>2</v>
      </c>
      <c r="W28" s="108">
        <v>12</v>
      </c>
      <c r="X28" s="108">
        <v>0</v>
      </c>
      <c r="Y28" s="108">
        <v>0</v>
      </c>
      <c r="Z28" s="108">
        <v>0</v>
      </c>
      <c r="AA28" s="108">
        <v>0</v>
      </c>
      <c r="AB28" s="108">
        <v>0</v>
      </c>
      <c r="AC28" s="108">
        <v>0</v>
      </c>
      <c r="AD28" s="108">
        <v>6</v>
      </c>
      <c r="AE28" s="108">
        <v>107</v>
      </c>
      <c r="AF28" s="108">
        <v>0</v>
      </c>
      <c r="AG28" s="108">
        <v>0</v>
      </c>
      <c r="AH28" s="108">
        <v>1</v>
      </c>
      <c r="AI28" s="108">
        <v>64</v>
      </c>
      <c r="AJ28" s="108">
        <v>0</v>
      </c>
      <c r="AK28" s="108">
        <v>0</v>
      </c>
      <c r="AL28" s="108">
        <v>17</v>
      </c>
      <c r="AM28" s="108">
        <v>611</v>
      </c>
      <c r="AN28" s="108">
        <f t="shared" si="0"/>
        <v>17</v>
      </c>
      <c r="AO28" s="108">
        <f t="shared" si="1"/>
        <v>611</v>
      </c>
      <c r="AP28" s="110">
        <f t="shared" si="3"/>
        <v>35.941176470588232</v>
      </c>
      <c r="AQ28" s="110">
        <f t="shared" si="2"/>
        <v>0.16662121625306792</v>
      </c>
      <c r="AR28" s="108">
        <v>0</v>
      </c>
      <c r="AS28" s="108">
        <v>0</v>
      </c>
      <c r="AT28" s="108">
        <v>3667</v>
      </c>
    </row>
    <row r="29" spans="1:46" ht="13.5" thickBot="1" x14ac:dyDescent="0.25">
      <c r="A29" s="48" t="s">
        <v>460</v>
      </c>
      <c r="B29" s="47" t="s">
        <v>459</v>
      </c>
      <c r="C29" s="48" t="s">
        <v>34</v>
      </c>
      <c r="D29" s="48" t="s">
        <v>1649</v>
      </c>
      <c r="E29" s="48" t="s">
        <v>1649</v>
      </c>
      <c r="F29" s="108">
        <v>3</v>
      </c>
      <c r="G29" s="108">
        <v>129</v>
      </c>
      <c r="H29" s="108">
        <v>0</v>
      </c>
      <c r="I29" s="108">
        <v>0</v>
      </c>
      <c r="J29" s="108">
        <v>0</v>
      </c>
      <c r="K29" s="108">
        <v>0</v>
      </c>
      <c r="L29" s="108">
        <v>0</v>
      </c>
      <c r="M29" s="108">
        <v>0</v>
      </c>
      <c r="N29" s="108">
        <v>0</v>
      </c>
      <c r="O29" s="108">
        <v>0</v>
      </c>
      <c r="P29" s="108">
        <v>0</v>
      </c>
      <c r="Q29" s="108">
        <v>0</v>
      </c>
      <c r="R29" s="108">
        <v>0</v>
      </c>
      <c r="S29" s="108">
        <v>3</v>
      </c>
      <c r="T29" s="108">
        <v>129</v>
      </c>
      <c r="U29" s="109" t="s">
        <v>1649</v>
      </c>
      <c r="V29" s="108">
        <v>0</v>
      </c>
      <c r="W29" s="108">
        <v>0</v>
      </c>
      <c r="X29" s="108">
        <v>0</v>
      </c>
      <c r="Y29" s="108">
        <v>0</v>
      </c>
      <c r="Z29" s="108">
        <v>0</v>
      </c>
      <c r="AA29" s="108">
        <v>0</v>
      </c>
      <c r="AB29" s="108">
        <v>0</v>
      </c>
      <c r="AC29" s="108">
        <v>0</v>
      </c>
      <c r="AD29" s="108">
        <v>12</v>
      </c>
      <c r="AE29" s="108">
        <v>701</v>
      </c>
      <c r="AF29" s="108">
        <v>0</v>
      </c>
      <c r="AG29" s="108">
        <v>0</v>
      </c>
      <c r="AH29" s="108">
        <v>1</v>
      </c>
      <c r="AI29" s="108">
        <v>20</v>
      </c>
      <c r="AJ29" s="108">
        <v>0</v>
      </c>
      <c r="AK29" s="108">
        <v>0</v>
      </c>
      <c r="AL29" s="108">
        <v>16</v>
      </c>
      <c r="AM29" s="108">
        <v>850</v>
      </c>
      <c r="AN29" s="108">
        <f t="shared" si="0"/>
        <v>16</v>
      </c>
      <c r="AO29" s="108">
        <f t="shared" si="1"/>
        <v>850</v>
      </c>
      <c r="AP29" s="110">
        <f t="shared" si="3"/>
        <v>53.125</v>
      </c>
      <c r="AQ29" s="110">
        <f t="shared" si="2"/>
        <v>1.7276422764227641</v>
      </c>
      <c r="AR29" s="108">
        <v>0</v>
      </c>
      <c r="AS29" s="108">
        <v>0</v>
      </c>
      <c r="AT29" s="108">
        <v>492</v>
      </c>
    </row>
    <row r="30" spans="1:46" ht="13.5" thickBot="1" x14ac:dyDescent="0.25">
      <c r="A30" s="48" t="s">
        <v>476</v>
      </c>
      <c r="B30" s="47" t="s">
        <v>475</v>
      </c>
      <c r="C30" s="48" t="s">
        <v>34</v>
      </c>
      <c r="D30" s="48" t="s">
        <v>1649</v>
      </c>
      <c r="E30" s="48" t="s">
        <v>1649</v>
      </c>
      <c r="F30" s="108">
        <v>2</v>
      </c>
      <c r="G30" s="108">
        <v>6</v>
      </c>
      <c r="H30" s="108">
        <v>0</v>
      </c>
      <c r="I30" s="108">
        <v>0</v>
      </c>
      <c r="J30" s="108">
        <v>6</v>
      </c>
      <c r="K30" s="108">
        <v>54</v>
      </c>
      <c r="L30" s="108">
        <v>0</v>
      </c>
      <c r="M30" s="108">
        <v>0</v>
      </c>
      <c r="N30" s="108">
        <v>35</v>
      </c>
      <c r="O30" s="108">
        <v>0</v>
      </c>
      <c r="P30" s="108">
        <v>35</v>
      </c>
      <c r="Q30" s="108">
        <v>0</v>
      </c>
      <c r="R30" s="108">
        <v>0</v>
      </c>
      <c r="S30" s="108">
        <v>8</v>
      </c>
      <c r="T30" s="108">
        <v>60</v>
      </c>
      <c r="U30" s="109" t="s">
        <v>1648</v>
      </c>
      <c r="V30" s="108">
        <v>2</v>
      </c>
      <c r="W30" s="108">
        <v>6</v>
      </c>
      <c r="X30" s="108">
        <v>0</v>
      </c>
      <c r="Y30" s="108">
        <v>0</v>
      </c>
      <c r="Z30" s="108">
        <v>0</v>
      </c>
      <c r="AA30" s="108">
        <v>0</v>
      </c>
      <c r="AB30" s="108">
        <v>0</v>
      </c>
      <c r="AC30" s="108">
        <v>0</v>
      </c>
      <c r="AD30" s="108">
        <v>0</v>
      </c>
      <c r="AE30" s="108">
        <v>0</v>
      </c>
      <c r="AF30" s="108">
        <v>0</v>
      </c>
      <c r="AG30" s="108">
        <v>0</v>
      </c>
      <c r="AH30" s="108">
        <v>0</v>
      </c>
      <c r="AI30" s="108">
        <v>0</v>
      </c>
      <c r="AJ30" s="108">
        <v>0</v>
      </c>
      <c r="AK30" s="108">
        <v>0</v>
      </c>
      <c r="AL30" s="108">
        <v>8</v>
      </c>
      <c r="AM30" s="108">
        <v>60</v>
      </c>
      <c r="AN30" s="108">
        <f t="shared" si="0"/>
        <v>8</v>
      </c>
      <c r="AO30" s="108">
        <f t="shared" si="1"/>
        <v>60</v>
      </c>
      <c r="AP30" s="110">
        <f t="shared" si="3"/>
        <v>7.5</v>
      </c>
      <c r="AQ30" s="110">
        <f t="shared" si="2"/>
        <v>1.9261637239165328E-2</v>
      </c>
      <c r="AR30" s="108">
        <v>0</v>
      </c>
      <c r="AS30" s="108">
        <v>0</v>
      </c>
      <c r="AT30" s="108">
        <v>3115</v>
      </c>
    </row>
    <row r="31" spans="1:46" ht="13.5" thickBot="1" x14ac:dyDescent="0.25">
      <c r="A31" s="48" t="s">
        <v>518</v>
      </c>
      <c r="B31" s="47" t="s">
        <v>517</v>
      </c>
      <c r="C31" s="48" t="s">
        <v>34</v>
      </c>
      <c r="D31" s="48" t="s">
        <v>1648</v>
      </c>
      <c r="E31" s="48" t="s">
        <v>1649</v>
      </c>
      <c r="F31" s="108">
        <v>1</v>
      </c>
      <c r="G31" s="108">
        <v>10</v>
      </c>
      <c r="H31" s="108">
        <v>0</v>
      </c>
      <c r="I31" s="108">
        <v>0</v>
      </c>
      <c r="J31" s="108">
        <v>4</v>
      </c>
      <c r="K31" s="108">
        <v>49</v>
      </c>
      <c r="L31" s="108">
        <v>0</v>
      </c>
      <c r="M31" s="108">
        <v>0</v>
      </c>
      <c r="N31" s="108">
        <v>8</v>
      </c>
      <c r="O31" s="108">
        <v>2</v>
      </c>
      <c r="P31" s="108">
        <v>10</v>
      </c>
      <c r="Q31" s="108">
        <v>0</v>
      </c>
      <c r="R31" s="108">
        <v>0</v>
      </c>
      <c r="S31" s="108">
        <v>5</v>
      </c>
      <c r="T31" s="108">
        <v>59</v>
      </c>
      <c r="U31" s="109" t="s">
        <v>1649</v>
      </c>
      <c r="V31" s="109">
        <v>0</v>
      </c>
      <c r="W31" s="109">
        <v>0</v>
      </c>
      <c r="X31" s="108">
        <v>0</v>
      </c>
      <c r="Y31" s="108">
        <v>0</v>
      </c>
      <c r="Z31" s="108">
        <v>0</v>
      </c>
      <c r="AA31" s="108">
        <v>0</v>
      </c>
      <c r="AB31" s="108">
        <v>0</v>
      </c>
      <c r="AC31" s="108">
        <v>0</v>
      </c>
      <c r="AD31" s="108">
        <v>1</v>
      </c>
      <c r="AE31" s="108">
        <v>5</v>
      </c>
      <c r="AF31" s="108">
        <v>0</v>
      </c>
      <c r="AG31" s="108">
        <v>0</v>
      </c>
      <c r="AH31" s="108">
        <v>0</v>
      </c>
      <c r="AI31" s="108">
        <v>0</v>
      </c>
      <c r="AJ31" s="108">
        <v>0</v>
      </c>
      <c r="AK31" s="108">
        <v>0</v>
      </c>
      <c r="AL31" s="108">
        <v>6</v>
      </c>
      <c r="AM31" s="108">
        <v>64</v>
      </c>
      <c r="AN31" s="108">
        <f t="shared" si="0"/>
        <v>6</v>
      </c>
      <c r="AO31" s="108">
        <f t="shared" si="1"/>
        <v>64</v>
      </c>
      <c r="AP31" s="110">
        <f t="shared" si="3"/>
        <v>10.666666666666666</v>
      </c>
      <c r="AQ31" s="110">
        <f t="shared" si="2"/>
        <v>3.4632034632034632E-2</v>
      </c>
      <c r="AR31" s="108">
        <v>0</v>
      </c>
      <c r="AS31" s="108">
        <v>0</v>
      </c>
      <c r="AT31" s="108">
        <v>1848</v>
      </c>
    </row>
    <row r="32" spans="1:46" ht="13.5" thickBot="1" x14ac:dyDescent="0.25">
      <c r="A32" s="48" t="s">
        <v>548</v>
      </c>
      <c r="B32" s="47" t="s">
        <v>547</v>
      </c>
      <c r="C32" s="48" t="s">
        <v>34</v>
      </c>
      <c r="D32" s="48" t="s">
        <v>1648</v>
      </c>
      <c r="E32" s="48" t="s">
        <v>1649</v>
      </c>
      <c r="F32" s="108">
        <v>30</v>
      </c>
      <c r="G32" s="108">
        <v>160</v>
      </c>
      <c r="H32" s="108">
        <v>0</v>
      </c>
      <c r="I32" s="108">
        <v>0</v>
      </c>
      <c r="J32" s="108">
        <v>13</v>
      </c>
      <c r="K32" s="108">
        <v>117</v>
      </c>
      <c r="L32" s="108">
        <v>0</v>
      </c>
      <c r="M32" s="108">
        <v>0</v>
      </c>
      <c r="N32" s="108">
        <v>22</v>
      </c>
      <c r="O32" s="109">
        <v>0</v>
      </c>
      <c r="P32" s="108">
        <v>22</v>
      </c>
      <c r="Q32" s="108">
        <v>0</v>
      </c>
      <c r="R32" s="108">
        <v>0</v>
      </c>
      <c r="S32" s="108">
        <v>43</v>
      </c>
      <c r="T32" s="108">
        <v>277</v>
      </c>
      <c r="U32" s="109" t="s">
        <v>1648</v>
      </c>
      <c r="V32" s="108">
        <v>32</v>
      </c>
      <c r="W32" s="108">
        <v>144</v>
      </c>
      <c r="X32" s="108">
        <v>0</v>
      </c>
      <c r="Y32" s="108">
        <v>0</v>
      </c>
      <c r="Z32" s="108">
        <v>0</v>
      </c>
      <c r="AA32" s="108">
        <v>0</v>
      </c>
      <c r="AB32" s="108">
        <v>4</v>
      </c>
      <c r="AC32" s="108">
        <v>26</v>
      </c>
      <c r="AD32" s="108">
        <v>15</v>
      </c>
      <c r="AE32" s="108">
        <v>156</v>
      </c>
      <c r="AF32" s="108">
        <v>0</v>
      </c>
      <c r="AG32" s="108">
        <v>0</v>
      </c>
      <c r="AH32" s="108">
        <v>2</v>
      </c>
      <c r="AI32" s="108">
        <v>43</v>
      </c>
      <c r="AJ32" s="108">
        <v>4</v>
      </c>
      <c r="AK32" s="108">
        <v>26</v>
      </c>
      <c r="AL32" s="108">
        <v>60</v>
      </c>
      <c r="AM32" s="108">
        <v>476</v>
      </c>
      <c r="AN32" s="108">
        <f t="shared" si="0"/>
        <v>64</v>
      </c>
      <c r="AO32" s="108">
        <f t="shared" si="1"/>
        <v>502</v>
      </c>
      <c r="AP32" s="110">
        <f t="shared" si="3"/>
        <v>7.84375</v>
      </c>
      <c r="AQ32" s="110">
        <f t="shared" si="2"/>
        <v>0.13645012231584669</v>
      </c>
      <c r="AR32" s="108">
        <v>0</v>
      </c>
      <c r="AS32" s="108">
        <v>0</v>
      </c>
      <c r="AT32" s="108">
        <v>3679</v>
      </c>
    </row>
    <row r="33" spans="1:46" ht="13.5" thickBot="1" x14ac:dyDescent="0.25">
      <c r="A33" s="48" t="s">
        <v>552</v>
      </c>
      <c r="B33" s="47" t="s">
        <v>551</v>
      </c>
      <c r="C33" s="48" t="s">
        <v>34</v>
      </c>
      <c r="D33" s="48" t="s">
        <v>1649</v>
      </c>
      <c r="E33" s="48" t="s">
        <v>1649</v>
      </c>
      <c r="F33" s="108">
        <v>0</v>
      </c>
      <c r="G33" s="108">
        <v>0</v>
      </c>
      <c r="H33" s="108">
        <v>0</v>
      </c>
      <c r="I33" s="108">
        <v>0</v>
      </c>
      <c r="J33" s="108">
        <v>0</v>
      </c>
      <c r="K33" s="108">
        <v>0</v>
      </c>
      <c r="L33" s="108">
        <v>0</v>
      </c>
      <c r="M33" s="108">
        <v>0</v>
      </c>
      <c r="N33" s="108">
        <v>0</v>
      </c>
      <c r="O33" s="108">
        <v>0</v>
      </c>
      <c r="P33" s="108">
        <v>0</v>
      </c>
      <c r="Q33" s="108">
        <v>0</v>
      </c>
      <c r="R33" s="108">
        <v>0</v>
      </c>
      <c r="S33" s="108">
        <v>0</v>
      </c>
      <c r="T33" s="108">
        <v>0</v>
      </c>
      <c r="U33" s="109" t="s">
        <v>1649</v>
      </c>
      <c r="V33" s="108">
        <v>0</v>
      </c>
      <c r="W33" s="108">
        <v>0</v>
      </c>
      <c r="X33" s="108">
        <v>0</v>
      </c>
      <c r="Y33" s="108">
        <v>0</v>
      </c>
      <c r="Z33" s="108">
        <v>0</v>
      </c>
      <c r="AA33" s="108">
        <v>0</v>
      </c>
      <c r="AB33" s="108">
        <v>0</v>
      </c>
      <c r="AC33" s="108">
        <v>0</v>
      </c>
      <c r="AD33" s="108">
        <v>0</v>
      </c>
      <c r="AE33" s="108">
        <v>0</v>
      </c>
      <c r="AF33" s="108">
        <v>0</v>
      </c>
      <c r="AG33" s="108">
        <v>0</v>
      </c>
      <c r="AH33" s="108">
        <v>0</v>
      </c>
      <c r="AI33" s="108">
        <v>0</v>
      </c>
      <c r="AJ33" s="108">
        <v>0</v>
      </c>
      <c r="AK33" s="108">
        <v>0</v>
      </c>
      <c r="AL33" s="108">
        <v>0</v>
      </c>
      <c r="AM33" s="108">
        <v>0</v>
      </c>
      <c r="AN33" s="108">
        <f t="shared" si="0"/>
        <v>0</v>
      </c>
      <c r="AO33" s="108">
        <f t="shared" si="1"/>
        <v>0</v>
      </c>
      <c r="AP33" s="110">
        <v>0</v>
      </c>
      <c r="AQ33" s="110">
        <f t="shared" si="2"/>
        <v>0</v>
      </c>
      <c r="AR33" s="108">
        <v>0</v>
      </c>
      <c r="AS33" s="108">
        <v>0</v>
      </c>
      <c r="AT33" s="108">
        <v>1830</v>
      </c>
    </row>
    <row r="34" spans="1:46" ht="13.5" thickBot="1" x14ac:dyDescent="0.25">
      <c r="A34" s="48" t="s">
        <v>574</v>
      </c>
      <c r="B34" s="47" t="s">
        <v>573</v>
      </c>
      <c r="C34" s="48" t="s">
        <v>34</v>
      </c>
      <c r="D34" s="48" t="s">
        <v>1649</v>
      </c>
      <c r="E34" s="48" t="s">
        <v>1649</v>
      </c>
      <c r="F34" s="108">
        <v>47</v>
      </c>
      <c r="G34" s="108">
        <v>883</v>
      </c>
      <c r="H34" s="108">
        <v>2</v>
      </c>
      <c r="I34" s="108">
        <v>12</v>
      </c>
      <c r="J34" s="108">
        <v>8</v>
      </c>
      <c r="K34" s="108">
        <v>198</v>
      </c>
      <c r="L34" s="108">
        <v>0</v>
      </c>
      <c r="M34" s="108">
        <v>0</v>
      </c>
      <c r="N34" s="108">
        <v>39</v>
      </c>
      <c r="O34" s="108">
        <v>57</v>
      </c>
      <c r="P34" s="108">
        <v>96</v>
      </c>
      <c r="Q34" s="108">
        <v>0</v>
      </c>
      <c r="R34" s="108">
        <v>0</v>
      </c>
      <c r="S34" s="108">
        <v>55</v>
      </c>
      <c r="T34" s="108">
        <v>1081</v>
      </c>
      <c r="U34" s="109" t="s">
        <v>1648</v>
      </c>
      <c r="V34" s="108">
        <v>32</v>
      </c>
      <c r="W34" s="108">
        <v>84</v>
      </c>
      <c r="X34" s="108">
        <v>0</v>
      </c>
      <c r="Y34" s="108">
        <v>0</v>
      </c>
      <c r="Z34" s="108">
        <v>2</v>
      </c>
      <c r="AA34" s="108">
        <v>12</v>
      </c>
      <c r="AB34" s="108">
        <v>0</v>
      </c>
      <c r="AC34" s="108">
        <v>0</v>
      </c>
      <c r="AD34" s="108">
        <v>15</v>
      </c>
      <c r="AE34" s="108">
        <v>364</v>
      </c>
      <c r="AF34" s="108">
        <v>0</v>
      </c>
      <c r="AG34" s="108">
        <v>0</v>
      </c>
      <c r="AH34" s="108">
        <v>66</v>
      </c>
      <c r="AI34" s="108">
        <v>514</v>
      </c>
      <c r="AJ34" s="108">
        <v>0</v>
      </c>
      <c r="AK34" s="108">
        <v>0</v>
      </c>
      <c r="AL34" s="108">
        <v>138</v>
      </c>
      <c r="AM34" s="108">
        <v>1971</v>
      </c>
      <c r="AN34" s="108">
        <f t="shared" si="0"/>
        <v>138</v>
      </c>
      <c r="AO34" s="108">
        <f t="shared" si="1"/>
        <v>1971</v>
      </c>
      <c r="AP34" s="110">
        <f>AO34/AN34</f>
        <v>14.282608695652174</v>
      </c>
      <c r="AQ34" s="110">
        <f t="shared" si="2"/>
        <v>1.0165033522434244</v>
      </c>
      <c r="AR34" s="108">
        <v>0</v>
      </c>
      <c r="AS34" s="108">
        <v>0</v>
      </c>
      <c r="AT34" s="108">
        <v>1939</v>
      </c>
    </row>
    <row r="35" spans="1:46" ht="13.5" thickBot="1" x14ac:dyDescent="0.25">
      <c r="A35" s="48" t="s">
        <v>622</v>
      </c>
      <c r="B35" s="47" t="s">
        <v>621</v>
      </c>
      <c r="C35" s="48" t="s">
        <v>34</v>
      </c>
      <c r="D35" s="48" t="s">
        <v>1649</v>
      </c>
      <c r="E35" s="48" t="s">
        <v>1649</v>
      </c>
      <c r="F35" s="108">
        <v>0</v>
      </c>
      <c r="G35" s="108">
        <v>0</v>
      </c>
      <c r="H35" s="108">
        <v>0</v>
      </c>
      <c r="I35" s="108">
        <v>0</v>
      </c>
      <c r="J35" s="108">
        <v>0</v>
      </c>
      <c r="K35" s="108">
        <v>0</v>
      </c>
      <c r="L35" s="108">
        <v>0</v>
      </c>
      <c r="M35" s="108">
        <v>0</v>
      </c>
      <c r="N35" s="108">
        <v>1</v>
      </c>
      <c r="O35" s="108">
        <v>0</v>
      </c>
      <c r="P35" s="108">
        <v>1</v>
      </c>
      <c r="Q35" s="108">
        <v>0</v>
      </c>
      <c r="R35" s="108">
        <v>0</v>
      </c>
      <c r="S35" s="108">
        <v>0</v>
      </c>
      <c r="T35" s="108">
        <v>0</v>
      </c>
      <c r="U35" s="109" t="s">
        <v>1649</v>
      </c>
      <c r="V35" s="108">
        <v>0</v>
      </c>
      <c r="W35" s="108">
        <v>0</v>
      </c>
      <c r="X35" s="108">
        <v>0</v>
      </c>
      <c r="Y35" s="108">
        <v>0</v>
      </c>
      <c r="Z35" s="108">
        <v>0</v>
      </c>
      <c r="AA35" s="108">
        <v>0</v>
      </c>
      <c r="AB35" s="108">
        <v>0</v>
      </c>
      <c r="AC35" s="108">
        <v>0</v>
      </c>
      <c r="AD35" s="108">
        <v>0</v>
      </c>
      <c r="AE35" s="108">
        <v>0</v>
      </c>
      <c r="AF35" s="108">
        <v>0</v>
      </c>
      <c r="AG35" s="108">
        <v>0</v>
      </c>
      <c r="AH35" s="108">
        <v>0</v>
      </c>
      <c r="AI35" s="108">
        <v>0</v>
      </c>
      <c r="AJ35" s="108">
        <v>0</v>
      </c>
      <c r="AK35" s="108">
        <v>0</v>
      </c>
      <c r="AL35" s="108">
        <v>0</v>
      </c>
      <c r="AM35" s="108">
        <v>0</v>
      </c>
      <c r="AN35" s="108">
        <f t="shared" si="0"/>
        <v>0</v>
      </c>
      <c r="AO35" s="108">
        <f t="shared" si="1"/>
        <v>0</v>
      </c>
      <c r="AP35" s="110">
        <v>0</v>
      </c>
      <c r="AQ35" s="110">
        <f t="shared" si="2"/>
        <v>0</v>
      </c>
      <c r="AR35" s="108">
        <v>0</v>
      </c>
      <c r="AS35" s="108">
        <v>0</v>
      </c>
      <c r="AT35" s="108">
        <v>1508</v>
      </c>
    </row>
    <row r="36" spans="1:46" ht="13.5" thickBot="1" x14ac:dyDescent="0.25">
      <c r="A36" s="48" t="s">
        <v>624</v>
      </c>
      <c r="B36" s="47" t="s">
        <v>623</v>
      </c>
      <c r="C36" s="48" t="s">
        <v>34</v>
      </c>
      <c r="D36" s="48" t="s">
        <v>1649</v>
      </c>
      <c r="E36" s="48" t="s">
        <v>1649</v>
      </c>
      <c r="F36" s="108">
        <v>45</v>
      </c>
      <c r="G36" s="108">
        <v>1512</v>
      </c>
      <c r="H36" s="108">
        <v>2</v>
      </c>
      <c r="I36" s="108">
        <v>13</v>
      </c>
      <c r="J36" s="108">
        <v>1</v>
      </c>
      <c r="K36" s="108">
        <v>26</v>
      </c>
      <c r="L36" s="108">
        <v>0</v>
      </c>
      <c r="M36" s="108">
        <v>0</v>
      </c>
      <c r="N36" s="109">
        <v>0</v>
      </c>
      <c r="O36" s="109">
        <v>0</v>
      </c>
      <c r="P36" s="109">
        <v>0</v>
      </c>
      <c r="Q36" s="108">
        <v>0</v>
      </c>
      <c r="R36" s="108">
        <v>0</v>
      </c>
      <c r="S36" s="108">
        <v>46</v>
      </c>
      <c r="T36" s="108">
        <v>1538</v>
      </c>
      <c r="U36" s="109" t="s">
        <v>1648</v>
      </c>
      <c r="V36" s="108">
        <v>43</v>
      </c>
      <c r="W36" s="108">
        <v>8</v>
      </c>
      <c r="X36" s="108">
        <v>0</v>
      </c>
      <c r="Y36" s="108">
        <v>0</v>
      </c>
      <c r="Z36" s="108">
        <v>2</v>
      </c>
      <c r="AA36" s="108">
        <v>13</v>
      </c>
      <c r="AB36" s="108">
        <v>0</v>
      </c>
      <c r="AC36" s="108">
        <v>0</v>
      </c>
      <c r="AD36" s="108">
        <v>31</v>
      </c>
      <c r="AE36" s="108">
        <v>168</v>
      </c>
      <c r="AF36" s="108">
        <v>0</v>
      </c>
      <c r="AG36" s="108">
        <v>0</v>
      </c>
      <c r="AH36" s="108">
        <v>18</v>
      </c>
      <c r="AI36" s="108">
        <v>162</v>
      </c>
      <c r="AJ36" s="108">
        <v>0</v>
      </c>
      <c r="AK36" s="108">
        <v>0</v>
      </c>
      <c r="AL36" s="108">
        <v>97</v>
      </c>
      <c r="AM36" s="108">
        <v>1881</v>
      </c>
      <c r="AN36" s="108">
        <f t="shared" si="0"/>
        <v>97</v>
      </c>
      <c r="AO36" s="108">
        <f t="shared" si="1"/>
        <v>1881</v>
      </c>
      <c r="AP36" s="110">
        <f t="shared" ref="AP36:AP99" si="4">AO36/AN36</f>
        <v>19.391752577319586</v>
      </c>
      <c r="AQ36" s="110">
        <f t="shared" si="2"/>
        <v>0.50415438220316267</v>
      </c>
      <c r="AR36" s="108">
        <v>0</v>
      </c>
      <c r="AS36" s="108">
        <v>0</v>
      </c>
      <c r="AT36" s="108">
        <v>3731</v>
      </c>
    </row>
    <row r="37" spans="1:46" ht="13.5" thickBot="1" x14ac:dyDescent="0.25">
      <c r="A37" s="48" t="s">
        <v>628</v>
      </c>
      <c r="B37" s="47" t="s">
        <v>627</v>
      </c>
      <c r="C37" s="48" t="s">
        <v>34</v>
      </c>
      <c r="D37" s="48" t="s">
        <v>1649</v>
      </c>
      <c r="E37" s="48" t="s">
        <v>1649</v>
      </c>
      <c r="F37" s="108">
        <v>29</v>
      </c>
      <c r="G37" s="108">
        <v>423</v>
      </c>
      <c r="H37" s="108">
        <v>1</v>
      </c>
      <c r="I37" s="108">
        <v>0</v>
      </c>
      <c r="J37" s="108">
        <v>4</v>
      </c>
      <c r="K37" s="108">
        <v>177</v>
      </c>
      <c r="L37" s="108">
        <v>0</v>
      </c>
      <c r="M37" s="108">
        <v>0</v>
      </c>
      <c r="N37" s="108">
        <v>65</v>
      </c>
      <c r="O37" s="108">
        <v>0</v>
      </c>
      <c r="P37" s="108">
        <v>65</v>
      </c>
      <c r="Q37" s="108">
        <v>0</v>
      </c>
      <c r="R37" s="108">
        <v>0</v>
      </c>
      <c r="S37" s="108">
        <v>33</v>
      </c>
      <c r="T37" s="108">
        <v>600</v>
      </c>
      <c r="U37" s="109" t="s">
        <v>1648</v>
      </c>
      <c r="V37" s="108">
        <v>29</v>
      </c>
      <c r="W37" s="108">
        <v>246</v>
      </c>
      <c r="X37" s="108">
        <v>0</v>
      </c>
      <c r="Y37" s="108">
        <v>0</v>
      </c>
      <c r="Z37" s="108">
        <v>1</v>
      </c>
      <c r="AA37" s="108">
        <v>0</v>
      </c>
      <c r="AB37" s="108">
        <v>0</v>
      </c>
      <c r="AC37" s="108">
        <v>0</v>
      </c>
      <c r="AD37" s="108">
        <v>11</v>
      </c>
      <c r="AE37" s="108">
        <v>62</v>
      </c>
      <c r="AF37" s="108">
        <v>0</v>
      </c>
      <c r="AG37" s="108">
        <v>0</v>
      </c>
      <c r="AH37" s="108">
        <v>24</v>
      </c>
      <c r="AI37" s="108">
        <v>1084</v>
      </c>
      <c r="AJ37" s="108">
        <v>0</v>
      </c>
      <c r="AK37" s="108">
        <v>0</v>
      </c>
      <c r="AL37" s="108">
        <v>69</v>
      </c>
      <c r="AM37" s="108">
        <v>1746</v>
      </c>
      <c r="AN37" s="108">
        <f t="shared" si="0"/>
        <v>69</v>
      </c>
      <c r="AO37" s="108">
        <f t="shared" si="1"/>
        <v>1746</v>
      </c>
      <c r="AP37" s="110">
        <f t="shared" si="4"/>
        <v>25.304347826086957</v>
      </c>
      <c r="AQ37" s="110">
        <f t="shared" si="2"/>
        <v>0.47523135547087642</v>
      </c>
      <c r="AR37" s="108">
        <v>0</v>
      </c>
      <c r="AS37" s="108">
        <v>0</v>
      </c>
      <c r="AT37" s="108">
        <v>3674</v>
      </c>
    </row>
    <row r="38" spans="1:46" ht="13.5" thickBot="1" x14ac:dyDescent="0.25">
      <c r="A38" s="48" t="s">
        <v>680</v>
      </c>
      <c r="B38" s="47" t="s">
        <v>679</v>
      </c>
      <c r="C38" s="48" t="s">
        <v>34</v>
      </c>
      <c r="D38" s="48" t="s">
        <v>1648</v>
      </c>
      <c r="E38" s="48" t="s">
        <v>1649</v>
      </c>
      <c r="F38" s="108">
        <v>10</v>
      </c>
      <c r="G38" s="108">
        <v>52</v>
      </c>
      <c r="H38" s="108">
        <v>10</v>
      </c>
      <c r="I38" s="108">
        <v>41</v>
      </c>
      <c r="J38" s="108">
        <v>15</v>
      </c>
      <c r="K38" s="108">
        <v>339</v>
      </c>
      <c r="L38" s="108">
        <v>10</v>
      </c>
      <c r="M38" s="108">
        <v>115</v>
      </c>
      <c r="N38" s="108">
        <v>25</v>
      </c>
      <c r="O38" s="108">
        <v>10</v>
      </c>
      <c r="P38" s="108">
        <v>35</v>
      </c>
      <c r="Q38" s="108">
        <v>0</v>
      </c>
      <c r="R38" s="108">
        <v>0</v>
      </c>
      <c r="S38" s="108">
        <v>25</v>
      </c>
      <c r="T38" s="108">
        <v>391</v>
      </c>
      <c r="U38" s="109" t="s">
        <v>1648</v>
      </c>
      <c r="V38" s="108">
        <v>10</v>
      </c>
      <c r="W38" s="108">
        <v>20</v>
      </c>
      <c r="X38" s="108">
        <v>1</v>
      </c>
      <c r="Y38" s="108">
        <v>4</v>
      </c>
      <c r="Z38" s="108">
        <v>20</v>
      </c>
      <c r="AA38" s="108">
        <v>156</v>
      </c>
      <c r="AB38" s="108">
        <v>0</v>
      </c>
      <c r="AC38" s="108">
        <v>0</v>
      </c>
      <c r="AD38" s="108">
        <v>5</v>
      </c>
      <c r="AE38" s="108">
        <v>78</v>
      </c>
      <c r="AF38" s="108">
        <v>1</v>
      </c>
      <c r="AG38" s="108">
        <v>4</v>
      </c>
      <c r="AH38" s="108">
        <v>10</v>
      </c>
      <c r="AI38" s="108">
        <v>200</v>
      </c>
      <c r="AJ38" s="108">
        <v>1</v>
      </c>
      <c r="AK38" s="108">
        <v>7</v>
      </c>
      <c r="AL38" s="108">
        <v>60</v>
      </c>
      <c r="AM38" s="108">
        <v>825</v>
      </c>
      <c r="AN38" s="108">
        <f t="shared" si="0"/>
        <v>61</v>
      </c>
      <c r="AO38" s="108">
        <f t="shared" si="1"/>
        <v>832</v>
      </c>
      <c r="AP38" s="110">
        <f t="shared" si="4"/>
        <v>13.639344262295081</v>
      </c>
      <c r="AQ38" s="110">
        <f t="shared" si="2"/>
        <v>0.26513702995538557</v>
      </c>
      <c r="AR38" s="108">
        <v>0</v>
      </c>
      <c r="AS38" s="108">
        <v>0</v>
      </c>
      <c r="AT38" s="108">
        <v>3138</v>
      </c>
    </row>
    <row r="39" spans="1:46" ht="13.5" thickBot="1" x14ac:dyDescent="0.25">
      <c r="A39" s="48" t="s">
        <v>692</v>
      </c>
      <c r="B39" s="47" t="s">
        <v>691</v>
      </c>
      <c r="C39" s="48" t="s">
        <v>34</v>
      </c>
      <c r="D39" s="48" t="s">
        <v>1649</v>
      </c>
      <c r="E39" s="48" t="s">
        <v>1649</v>
      </c>
      <c r="F39" s="108">
        <v>2</v>
      </c>
      <c r="G39" s="108">
        <v>5</v>
      </c>
      <c r="H39" s="108">
        <v>0</v>
      </c>
      <c r="I39" s="108">
        <v>0</v>
      </c>
      <c r="J39" s="108">
        <v>2</v>
      </c>
      <c r="K39" s="108">
        <v>5</v>
      </c>
      <c r="L39" s="108">
        <v>0</v>
      </c>
      <c r="M39" s="108">
        <v>0</v>
      </c>
      <c r="N39" s="108">
        <v>14</v>
      </c>
      <c r="O39" s="108">
        <v>4</v>
      </c>
      <c r="P39" s="108">
        <v>18</v>
      </c>
      <c r="Q39" s="108">
        <v>0</v>
      </c>
      <c r="R39" s="108">
        <v>0</v>
      </c>
      <c r="S39" s="108">
        <v>4</v>
      </c>
      <c r="T39" s="108">
        <v>10</v>
      </c>
      <c r="U39" s="109" t="s">
        <v>1649</v>
      </c>
      <c r="V39" s="108">
        <v>0</v>
      </c>
      <c r="W39" s="108">
        <v>0</v>
      </c>
      <c r="X39" s="108">
        <v>0</v>
      </c>
      <c r="Y39" s="108">
        <v>0</v>
      </c>
      <c r="Z39" s="108">
        <v>0</v>
      </c>
      <c r="AA39" s="108">
        <v>0</v>
      </c>
      <c r="AB39" s="108">
        <v>0</v>
      </c>
      <c r="AC39" s="108">
        <v>0</v>
      </c>
      <c r="AD39" s="108">
        <v>35</v>
      </c>
      <c r="AE39" s="108">
        <v>150</v>
      </c>
      <c r="AF39" s="108">
        <v>0</v>
      </c>
      <c r="AG39" s="108">
        <v>0</v>
      </c>
      <c r="AH39" s="108">
        <v>35</v>
      </c>
      <c r="AI39" s="108">
        <v>150</v>
      </c>
      <c r="AJ39" s="108">
        <v>0</v>
      </c>
      <c r="AK39" s="108">
        <v>0</v>
      </c>
      <c r="AL39" s="108">
        <v>74</v>
      </c>
      <c r="AM39" s="108">
        <v>310</v>
      </c>
      <c r="AN39" s="108">
        <f t="shared" si="0"/>
        <v>74</v>
      </c>
      <c r="AO39" s="108">
        <f t="shared" si="1"/>
        <v>310</v>
      </c>
      <c r="AP39" s="110">
        <f t="shared" si="4"/>
        <v>4.1891891891891895</v>
      </c>
      <c r="AQ39" s="110">
        <f t="shared" si="2"/>
        <v>0.16045548654244307</v>
      </c>
      <c r="AR39" s="108">
        <v>0</v>
      </c>
      <c r="AS39" s="108">
        <v>0</v>
      </c>
      <c r="AT39" s="108">
        <v>1932</v>
      </c>
    </row>
    <row r="40" spans="1:46" ht="13.5" thickBot="1" x14ac:dyDescent="0.25">
      <c r="A40" s="48" t="s">
        <v>714</v>
      </c>
      <c r="B40" s="47" t="s">
        <v>713</v>
      </c>
      <c r="C40" s="48" t="s">
        <v>34</v>
      </c>
      <c r="D40" s="48" t="s">
        <v>1649</v>
      </c>
      <c r="E40" s="48" t="s">
        <v>1649</v>
      </c>
      <c r="F40" s="108">
        <v>3</v>
      </c>
      <c r="G40" s="108">
        <v>104</v>
      </c>
      <c r="H40" s="108">
        <v>0</v>
      </c>
      <c r="I40" s="108">
        <v>0</v>
      </c>
      <c r="J40" s="108">
        <v>6</v>
      </c>
      <c r="K40" s="108">
        <v>296</v>
      </c>
      <c r="L40" s="108">
        <v>0</v>
      </c>
      <c r="M40" s="108">
        <v>0</v>
      </c>
      <c r="N40" s="108">
        <v>93</v>
      </c>
      <c r="O40" s="108">
        <v>0</v>
      </c>
      <c r="P40" s="108">
        <v>93</v>
      </c>
      <c r="Q40" s="108">
        <v>0</v>
      </c>
      <c r="R40" s="108">
        <v>0</v>
      </c>
      <c r="S40" s="108">
        <v>9</v>
      </c>
      <c r="T40" s="108">
        <v>400</v>
      </c>
      <c r="U40" s="109" t="s">
        <v>1649</v>
      </c>
      <c r="V40" s="108">
        <v>1</v>
      </c>
      <c r="W40" s="108">
        <v>15</v>
      </c>
      <c r="X40" s="108">
        <v>0</v>
      </c>
      <c r="Y40" s="108">
        <v>0</v>
      </c>
      <c r="Z40" s="108">
        <v>0</v>
      </c>
      <c r="AA40" s="108">
        <v>0</v>
      </c>
      <c r="AB40" s="108">
        <v>0</v>
      </c>
      <c r="AC40" s="108">
        <v>0</v>
      </c>
      <c r="AD40" s="108">
        <v>1</v>
      </c>
      <c r="AE40" s="108">
        <v>50</v>
      </c>
      <c r="AF40" s="108">
        <v>0</v>
      </c>
      <c r="AG40" s="108">
        <v>0</v>
      </c>
      <c r="AH40" s="108">
        <v>1</v>
      </c>
      <c r="AI40" s="108">
        <v>90</v>
      </c>
      <c r="AJ40" s="108">
        <v>0</v>
      </c>
      <c r="AK40" s="108">
        <v>0</v>
      </c>
      <c r="AL40" s="108">
        <v>11</v>
      </c>
      <c r="AM40" s="108">
        <v>540</v>
      </c>
      <c r="AN40" s="108">
        <f t="shared" si="0"/>
        <v>11</v>
      </c>
      <c r="AO40" s="108">
        <f t="shared" si="1"/>
        <v>540</v>
      </c>
      <c r="AP40" s="110">
        <f t="shared" si="4"/>
        <v>49.090909090909093</v>
      </c>
      <c r="AQ40" s="110">
        <f t="shared" si="2"/>
        <v>0.22622538751571009</v>
      </c>
      <c r="AR40" s="108">
        <v>0</v>
      </c>
      <c r="AS40" s="108">
        <v>0</v>
      </c>
      <c r="AT40" s="108">
        <v>2387</v>
      </c>
    </row>
    <row r="41" spans="1:46" ht="13.5" thickBot="1" x14ac:dyDescent="0.25">
      <c r="A41" s="48" t="s">
        <v>732</v>
      </c>
      <c r="B41" s="47" t="s">
        <v>731</v>
      </c>
      <c r="C41" s="48" t="s">
        <v>34</v>
      </c>
      <c r="D41" s="48" t="s">
        <v>1649</v>
      </c>
      <c r="E41" s="48" t="s">
        <v>1649</v>
      </c>
      <c r="F41" s="108">
        <v>1</v>
      </c>
      <c r="G41" s="108">
        <v>2</v>
      </c>
      <c r="H41" s="108">
        <v>0</v>
      </c>
      <c r="I41" s="108">
        <v>0</v>
      </c>
      <c r="J41" s="108">
        <v>0</v>
      </c>
      <c r="K41" s="108">
        <v>0</v>
      </c>
      <c r="L41" s="108">
        <v>0</v>
      </c>
      <c r="M41" s="108">
        <v>0</v>
      </c>
      <c r="N41" s="109">
        <v>0</v>
      </c>
      <c r="O41" s="109">
        <v>0</v>
      </c>
      <c r="P41" s="109">
        <v>0</v>
      </c>
      <c r="Q41" s="108">
        <v>0</v>
      </c>
      <c r="R41" s="108">
        <v>0</v>
      </c>
      <c r="S41" s="108">
        <v>1</v>
      </c>
      <c r="T41" s="108">
        <v>2</v>
      </c>
      <c r="U41" s="109" t="s">
        <v>1648</v>
      </c>
      <c r="V41" s="108">
        <v>1</v>
      </c>
      <c r="W41" s="108">
        <v>2</v>
      </c>
      <c r="X41" s="108">
        <v>0</v>
      </c>
      <c r="Y41" s="108">
        <v>0</v>
      </c>
      <c r="Z41" s="108">
        <v>0</v>
      </c>
      <c r="AA41" s="108">
        <v>0</v>
      </c>
      <c r="AB41" s="108">
        <v>0</v>
      </c>
      <c r="AC41" s="108">
        <v>0</v>
      </c>
      <c r="AD41" s="108">
        <v>28</v>
      </c>
      <c r="AE41" s="108">
        <v>311</v>
      </c>
      <c r="AF41" s="108">
        <v>0</v>
      </c>
      <c r="AG41" s="108">
        <v>0</v>
      </c>
      <c r="AH41" s="108">
        <v>1</v>
      </c>
      <c r="AI41" s="108">
        <v>48</v>
      </c>
      <c r="AJ41" s="108">
        <v>0</v>
      </c>
      <c r="AK41" s="108">
        <v>0</v>
      </c>
      <c r="AL41" s="108">
        <v>30</v>
      </c>
      <c r="AM41" s="108">
        <v>361</v>
      </c>
      <c r="AN41" s="108">
        <f t="shared" si="0"/>
        <v>30</v>
      </c>
      <c r="AO41" s="108">
        <f t="shared" si="1"/>
        <v>361</v>
      </c>
      <c r="AP41" s="110">
        <f t="shared" si="4"/>
        <v>12.033333333333333</v>
      </c>
      <c r="AQ41" s="110">
        <f t="shared" si="2"/>
        <v>0.19273892151628402</v>
      </c>
      <c r="AR41" s="108">
        <v>0</v>
      </c>
      <c r="AS41" s="108">
        <v>0</v>
      </c>
      <c r="AT41" s="108">
        <v>1873</v>
      </c>
    </row>
    <row r="42" spans="1:46" ht="13.5" thickBot="1" x14ac:dyDescent="0.25">
      <c r="A42" s="48" t="s">
        <v>750</v>
      </c>
      <c r="B42" s="47" t="s">
        <v>749</v>
      </c>
      <c r="C42" s="48" t="s">
        <v>34</v>
      </c>
      <c r="D42" s="48" t="s">
        <v>1649</v>
      </c>
      <c r="E42" s="48" t="s">
        <v>1649</v>
      </c>
      <c r="F42" s="108">
        <v>0</v>
      </c>
      <c r="G42" s="108">
        <v>0</v>
      </c>
      <c r="H42" s="108">
        <v>0</v>
      </c>
      <c r="I42" s="108">
        <v>0</v>
      </c>
      <c r="J42" s="108">
        <v>8</v>
      </c>
      <c r="K42" s="108">
        <v>350</v>
      </c>
      <c r="L42" s="108">
        <v>0</v>
      </c>
      <c r="M42" s="108">
        <v>0</v>
      </c>
      <c r="N42" s="108">
        <v>0</v>
      </c>
      <c r="O42" s="108">
        <v>0</v>
      </c>
      <c r="P42" s="108">
        <v>0</v>
      </c>
      <c r="Q42" s="108">
        <v>0</v>
      </c>
      <c r="R42" s="108">
        <v>0</v>
      </c>
      <c r="S42" s="108">
        <v>8</v>
      </c>
      <c r="T42" s="108">
        <v>350</v>
      </c>
      <c r="U42" s="109" t="s">
        <v>1649</v>
      </c>
      <c r="V42" s="108">
        <v>0</v>
      </c>
      <c r="W42" s="108">
        <v>0</v>
      </c>
      <c r="X42" s="108">
        <v>0</v>
      </c>
      <c r="Y42" s="108">
        <v>0</v>
      </c>
      <c r="Z42" s="108">
        <v>0</v>
      </c>
      <c r="AA42" s="108">
        <v>0</v>
      </c>
      <c r="AB42" s="108">
        <v>0</v>
      </c>
      <c r="AC42" s="108">
        <v>0</v>
      </c>
      <c r="AD42" s="108">
        <v>0</v>
      </c>
      <c r="AE42" s="108">
        <v>0</v>
      </c>
      <c r="AF42" s="108">
        <v>0</v>
      </c>
      <c r="AG42" s="108">
        <v>0</v>
      </c>
      <c r="AH42" s="108">
        <v>1</v>
      </c>
      <c r="AI42" s="108">
        <v>78</v>
      </c>
      <c r="AJ42" s="108">
        <v>0</v>
      </c>
      <c r="AK42" s="108">
        <v>0</v>
      </c>
      <c r="AL42" s="108">
        <v>9</v>
      </c>
      <c r="AM42" s="108">
        <v>428</v>
      </c>
      <c r="AN42" s="108">
        <f t="shared" si="0"/>
        <v>9</v>
      </c>
      <c r="AO42" s="108">
        <f t="shared" si="1"/>
        <v>428</v>
      </c>
      <c r="AP42" s="110">
        <f t="shared" si="4"/>
        <v>47.555555555555557</v>
      </c>
      <c r="AQ42" s="110">
        <f t="shared" si="2"/>
        <v>0.18657367044463818</v>
      </c>
      <c r="AR42" s="108">
        <v>0</v>
      </c>
      <c r="AS42" s="108">
        <v>0</v>
      </c>
      <c r="AT42" s="108">
        <v>2294</v>
      </c>
    </row>
    <row r="43" spans="1:46" ht="13.5" thickBot="1" x14ac:dyDescent="0.25">
      <c r="A43" s="48" t="s">
        <v>762</v>
      </c>
      <c r="B43" s="47" t="s">
        <v>761</v>
      </c>
      <c r="C43" s="48" t="s">
        <v>34</v>
      </c>
      <c r="D43" s="48" t="s">
        <v>1649</v>
      </c>
      <c r="E43" s="48" t="s">
        <v>1649</v>
      </c>
      <c r="F43" s="108">
        <v>27</v>
      </c>
      <c r="G43" s="108">
        <v>176</v>
      </c>
      <c r="H43" s="108">
        <v>0</v>
      </c>
      <c r="I43" s="108">
        <v>0</v>
      </c>
      <c r="J43" s="108">
        <v>16</v>
      </c>
      <c r="K43" s="108">
        <v>501</v>
      </c>
      <c r="L43" s="108">
        <v>0</v>
      </c>
      <c r="M43" s="108">
        <v>0</v>
      </c>
      <c r="N43" s="108">
        <v>59</v>
      </c>
      <c r="O43" s="108">
        <v>0</v>
      </c>
      <c r="P43" s="108">
        <v>59</v>
      </c>
      <c r="Q43" s="108">
        <v>0</v>
      </c>
      <c r="R43" s="108">
        <v>0</v>
      </c>
      <c r="S43" s="108">
        <v>43</v>
      </c>
      <c r="T43" s="108">
        <v>677</v>
      </c>
      <c r="U43" s="109" t="s">
        <v>1648</v>
      </c>
      <c r="V43" s="108">
        <v>43</v>
      </c>
      <c r="W43" s="108">
        <v>67</v>
      </c>
      <c r="X43" s="108">
        <v>0</v>
      </c>
      <c r="Y43" s="108">
        <v>0</v>
      </c>
      <c r="Z43" s="108">
        <v>0</v>
      </c>
      <c r="AA43" s="108">
        <v>0</v>
      </c>
      <c r="AB43" s="108">
        <v>0</v>
      </c>
      <c r="AC43" s="108">
        <v>0</v>
      </c>
      <c r="AD43" s="108">
        <v>16</v>
      </c>
      <c r="AE43" s="108">
        <v>203</v>
      </c>
      <c r="AF43" s="108">
        <v>0</v>
      </c>
      <c r="AG43" s="108">
        <v>0</v>
      </c>
      <c r="AH43" s="108">
        <v>0</v>
      </c>
      <c r="AI43" s="108">
        <v>0</v>
      </c>
      <c r="AJ43" s="108">
        <v>0</v>
      </c>
      <c r="AK43" s="108">
        <v>0</v>
      </c>
      <c r="AL43" s="108">
        <v>59</v>
      </c>
      <c r="AM43" s="108">
        <v>880</v>
      </c>
      <c r="AN43" s="108">
        <f t="shared" si="0"/>
        <v>59</v>
      </c>
      <c r="AO43" s="108">
        <f t="shared" si="1"/>
        <v>880</v>
      </c>
      <c r="AP43" s="110">
        <f t="shared" si="4"/>
        <v>14.915254237288135</v>
      </c>
      <c r="AQ43" s="110">
        <f t="shared" si="2"/>
        <v>0.22593068035943517</v>
      </c>
      <c r="AR43" s="108">
        <v>0</v>
      </c>
      <c r="AS43" s="108">
        <v>0</v>
      </c>
      <c r="AT43" s="108">
        <v>3895</v>
      </c>
    </row>
    <row r="44" spans="1:46" ht="13.5" thickBot="1" x14ac:dyDescent="0.25">
      <c r="A44" s="48" t="s">
        <v>768</v>
      </c>
      <c r="B44" s="47" t="s">
        <v>767</v>
      </c>
      <c r="C44" s="48" t="s">
        <v>34</v>
      </c>
      <c r="D44" s="48" t="s">
        <v>1649</v>
      </c>
      <c r="E44" s="48" t="s">
        <v>1649</v>
      </c>
      <c r="F44" s="108">
        <v>7</v>
      </c>
      <c r="G44" s="108">
        <v>75</v>
      </c>
      <c r="H44" s="108">
        <v>0</v>
      </c>
      <c r="I44" s="108">
        <v>0</v>
      </c>
      <c r="J44" s="108">
        <v>0</v>
      </c>
      <c r="K44" s="108">
        <v>0</v>
      </c>
      <c r="L44" s="108">
        <v>0</v>
      </c>
      <c r="M44" s="108">
        <v>0</v>
      </c>
      <c r="N44" s="108">
        <v>0</v>
      </c>
      <c r="O44" s="108">
        <v>0</v>
      </c>
      <c r="P44" s="108">
        <v>0</v>
      </c>
      <c r="Q44" s="108">
        <v>0</v>
      </c>
      <c r="R44" s="108">
        <v>0</v>
      </c>
      <c r="S44" s="108">
        <v>7</v>
      </c>
      <c r="T44" s="108">
        <v>75</v>
      </c>
      <c r="U44" s="109" t="s">
        <v>1648</v>
      </c>
      <c r="V44" s="108">
        <v>7</v>
      </c>
      <c r="W44" s="108">
        <v>75</v>
      </c>
      <c r="X44" s="108">
        <v>0</v>
      </c>
      <c r="Y44" s="108">
        <v>0</v>
      </c>
      <c r="Z44" s="108">
        <v>0</v>
      </c>
      <c r="AA44" s="108">
        <v>0</v>
      </c>
      <c r="AB44" s="108">
        <v>0</v>
      </c>
      <c r="AC44" s="108">
        <v>0</v>
      </c>
      <c r="AD44" s="108">
        <v>7</v>
      </c>
      <c r="AE44" s="108">
        <v>34</v>
      </c>
      <c r="AF44" s="108">
        <v>0</v>
      </c>
      <c r="AG44" s="108">
        <v>0</v>
      </c>
      <c r="AH44" s="108">
        <v>36</v>
      </c>
      <c r="AI44" s="108">
        <v>91</v>
      </c>
      <c r="AJ44" s="108">
        <v>0</v>
      </c>
      <c r="AK44" s="108">
        <v>0</v>
      </c>
      <c r="AL44" s="108">
        <v>50</v>
      </c>
      <c r="AM44" s="108">
        <v>200</v>
      </c>
      <c r="AN44" s="108">
        <f t="shared" si="0"/>
        <v>50</v>
      </c>
      <c r="AO44" s="108">
        <f t="shared" si="1"/>
        <v>200</v>
      </c>
      <c r="AP44" s="110">
        <f t="shared" si="4"/>
        <v>4</v>
      </c>
      <c r="AQ44" s="110">
        <f t="shared" si="2"/>
        <v>9.2764378478664186E-2</v>
      </c>
      <c r="AR44" s="108">
        <v>0</v>
      </c>
      <c r="AS44" s="108">
        <v>0</v>
      </c>
      <c r="AT44" s="108">
        <v>2156</v>
      </c>
    </row>
    <row r="45" spans="1:46" ht="13.5" thickBot="1" x14ac:dyDescent="0.25">
      <c r="A45" s="48" t="s">
        <v>770</v>
      </c>
      <c r="B45" s="47" t="s">
        <v>769</v>
      </c>
      <c r="C45" s="48" t="s">
        <v>34</v>
      </c>
      <c r="D45" s="48" t="s">
        <v>1649</v>
      </c>
      <c r="E45" s="48" t="s">
        <v>1649</v>
      </c>
      <c r="F45" s="108">
        <v>59</v>
      </c>
      <c r="G45" s="108">
        <v>1027</v>
      </c>
      <c r="H45" s="108">
        <v>5</v>
      </c>
      <c r="I45" s="108">
        <v>12</v>
      </c>
      <c r="J45" s="108">
        <v>4</v>
      </c>
      <c r="K45" s="108">
        <v>30</v>
      </c>
      <c r="L45" s="108">
        <v>0</v>
      </c>
      <c r="M45" s="108">
        <v>0</v>
      </c>
      <c r="N45" s="108">
        <v>50</v>
      </c>
      <c r="O45" s="108">
        <v>3</v>
      </c>
      <c r="P45" s="108">
        <v>53</v>
      </c>
      <c r="Q45" s="108">
        <v>0</v>
      </c>
      <c r="R45" s="108">
        <v>0</v>
      </c>
      <c r="S45" s="108">
        <v>63</v>
      </c>
      <c r="T45" s="108">
        <v>1057</v>
      </c>
      <c r="U45" s="109" t="s">
        <v>1648</v>
      </c>
      <c r="V45" s="108">
        <v>41</v>
      </c>
      <c r="W45" s="108">
        <v>714</v>
      </c>
      <c r="X45" s="108">
        <v>0</v>
      </c>
      <c r="Y45" s="108">
        <v>0</v>
      </c>
      <c r="Z45" s="108">
        <v>5</v>
      </c>
      <c r="AA45" s="108">
        <v>12</v>
      </c>
      <c r="AB45" s="108">
        <v>0</v>
      </c>
      <c r="AC45" s="108">
        <v>0</v>
      </c>
      <c r="AD45" s="108">
        <v>42</v>
      </c>
      <c r="AE45" s="108">
        <v>260</v>
      </c>
      <c r="AF45" s="108">
        <v>0</v>
      </c>
      <c r="AG45" s="108">
        <v>0</v>
      </c>
      <c r="AH45" s="108">
        <v>1</v>
      </c>
      <c r="AI45" s="108">
        <v>20</v>
      </c>
      <c r="AJ45" s="108">
        <v>0</v>
      </c>
      <c r="AK45" s="108">
        <v>0</v>
      </c>
      <c r="AL45" s="108">
        <v>111</v>
      </c>
      <c r="AM45" s="108">
        <v>1349</v>
      </c>
      <c r="AN45" s="108">
        <f t="shared" si="0"/>
        <v>111</v>
      </c>
      <c r="AO45" s="108">
        <f t="shared" si="1"/>
        <v>1349</v>
      </c>
      <c r="AP45" s="110">
        <f t="shared" si="4"/>
        <v>12.153153153153154</v>
      </c>
      <c r="AQ45" s="110">
        <f t="shared" si="2"/>
        <v>0.54505050505050501</v>
      </c>
      <c r="AR45" s="108">
        <v>0</v>
      </c>
      <c r="AS45" s="108">
        <v>0</v>
      </c>
      <c r="AT45" s="108">
        <v>2475</v>
      </c>
    </row>
    <row r="46" spans="1:46" ht="13.5" thickBot="1" x14ac:dyDescent="0.25">
      <c r="A46" s="48" t="s">
        <v>772</v>
      </c>
      <c r="B46" s="47" t="s">
        <v>771</v>
      </c>
      <c r="C46" s="48" t="s">
        <v>34</v>
      </c>
      <c r="D46" s="48" t="s">
        <v>1649</v>
      </c>
      <c r="E46" s="48" t="s">
        <v>1649</v>
      </c>
      <c r="F46" s="108">
        <v>0</v>
      </c>
      <c r="G46" s="108">
        <v>0</v>
      </c>
      <c r="H46" s="108">
        <v>0</v>
      </c>
      <c r="I46" s="108">
        <v>0</v>
      </c>
      <c r="J46" s="108">
        <v>5</v>
      </c>
      <c r="K46" s="108">
        <v>102</v>
      </c>
      <c r="L46" s="108">
        <v>0</v>
      </c>
      <c r="M46" s="108">
        <v>0</v>
      </c>
      <c r="N46" s="108">
        <v>0</v>
      </c>
      <c r="O46" s="108">
        <v>0</v>
      </c>
      <c r="P46" s="108">
        <v>0</v>
      </c>
      <c r="Q46" s="108">
        <v>0</v>
      </c>
      <c r="R46" s="108">
        <v>0</v>
      </c>
      <c r="S46" s="108">
        <v>5</v>
      </c>
      <c r="T46" s="108">
        <v>102</v>
      </c>
      <c r="U46" s="109" t="s">
        <v>1649</v>
      </c>
      <c r="V46" s="108">
        <v>0</v>
      </c>
      <c r="W46" s="108">
        <v>0</v>
      </c>
      <c r="X46" s="108">
        <v>0</v>
      </c>
      <c r="Y46" s="108">
        <v>0</v>
      </c>
      <c r="Z46" s="108">
        <v>0</v>
      </c>
      <c r="AA46" s="108">
        <v>0</v>
      </c>
      <c r="AB46" s="108">
        <v>0</v>
      </c>
      <c r="AC46" s="108">
        <v>0</v>
      </c>
      <c r="AD46" s="108">
        <v>0</v>
      </c>
      <c r="AE46" s="108">
        <v>0</v>
      </c>
      <c r="AF46" s="108">
        <v>0</v>
      </c>
      <c r="AG46" s="108">
        <v>0</v>
      </c>
      <c r="AH46" s="108">
        <v>0</v>
      </c>
      <c r="AI46" s="108">
        <v>0</v>
      </c>
      <c r="AJ46" s="108">
        <v>0</v>
      </c>
      <c r="AK46" s="108">
        <v>0</v>
      </c>
      <c r="AL46" s="108">
        <v>5</v>
      </c>
      <c r="AM46" s="108">
        <v>102</v>
      </c>
      <c r="AN46" s="108">
        <f t="shared" si="0"/>
        <v>5</v>
      </c>
      <c r="AO46" s="108">
        <f t="shared" si="1"/>
        <v>102</v>
      </c>
      <c r="AP46" s="110">
        <f t="shared" si="4"/>
        <v>20.399999999999999</v>
      </c>
      <c r="AQ46" s="110">
        <f t="shared" si="2"/>
        <v>5.1829268292682924E-2</v>
      </c>
      <c r="AR46" s="108">
        <v>0</v>
      </c>
      <c r="AS46" s="108">
        <v>0</v>
      </c>
      <c r="AT46" s="108">
        <v>1968</v>
      </c>
    </row>
    <row r="47" spans="1:46" ht="13.5" thickBot="1" x14ac:dyDescent="0.25">
      <c r="A47" s="48" t="s">
        <v>782</v>
      </c>
      <c r="B47" s="47" t="s">
        <v>781</v>
      </c>
      <c r="C47" s="48" t="s">
        <v>34</v>
      </c>
      <c r="D47" s="48" t="s">
        <v>1649</v>
      </c>
      <c r="E47" s="48" t="s">
        <v>1649</v>
      </c>
      <c r="F47" s="108">
        <v>0</v>
      </c>
      <c r="G47" s="108">
        <v>0</v>
      </c>
      <c r="H47" s="108">
        <v>0</v>
      </c>
      <c r="I47" s="108">
        <v>0</v>
      </c>
      <c r="J47" s="108">
        <v>0</v>
      </c>
      <c r="K47" s="108">
        <v>0</v>
      </c>
      <c r="L47" s="108">
        <v>0</v>
      </c>
      <c r="M47" s="108">
        <v>0</v>
      </c>
      <c r="N47" s="108">
        <v>0</v>
      </c>
      <c r="O47" s="108">
        <v>0</v>
      </c>
      <c r="P47" s="108">
        <v>0</v>
      </c>
      <c r="Q47" s="108">
        <v>0</v>
      </c>
      <c r="R47" s="108">
        <v>0</v>
      </c>
      <c r="S47" s="108">
        <v>0</v>
      </c>
      <c r="T47" s="108">
        <v>0</v>
      </c>
      <c r="U47" s="109" t="s">
        <v>1649</v>
      </c>
      <c r="V47" s="108">
        <v>0</v>
      </c>
      <c r="W47" s="108">
        <v>0</v>
      </c>
      <c r="X47" s="108">
        <v>0</v>
      </c>
      <c r="Y47" s="108">
        <v>0</v>
      </c>
      <c r="Z47" s="108">
        <v>0</v>
      </c>
      <c r="AA47" s="108">
        <v>0</v>
      </c>
      <c r="AB47" s="108">
        <v>0</v>
      </c>
      <c r="AC47" s="108">
        <v>0</v>
      </c>
      <c r="AD47" s="108">
        <v>2</v>
      </c>
      <c r="AE47" s="108">
        <v>112</v>
      </c>
      <c r="AF47" s="108">
        <v>0</v>
      </c>
      <c r="AG47" s="108">
        <v>0</v>
      </c>
      <c r="AH47" s="108">
        <v>0</v>
      </c>
      <c r="AI47" s="108">
        <v>0</v>
      </c>
      <c r="AJ47" s="108">
        <v>0</v>
      </c>
      <c r="AK47" s="108">
        <v>0</v>
      </c>
      <c r="AL47" s="108">
        <v>2</v>
      </c>
      <c r="AM47" s="108">
        <v>112</v>
      </c>
      <c r="AN47" s="108">
        <f t="shared" si="0"/>
        <v>2</v>
      </c>
      <c r="AO47" s="108">
        <f t="shared" si="1"/>
        <v>112</v>
      </c>
      <c r="AP47" s="110">
        <f t="shared" si="4"/>
        <v>56</v>
      </c>
      <c r="AQ47" s="110">
        <f t="shared" si="2"/>
        <v>5.0862851952770211E-2</v>
      </c>
      <c r="AR47" s="108">
        <v>0</v>
      </c>
      <c r="AS47" s="108">
        <v>0</v>
      </c>
      <c r="AT47" s="108">
        <v>2202</v>
      </c>
    </row>
    <row r="48" spans="1:46" ht="13.5" thickBot="1" x14ac:dyDescent="0.25">
      <c r="A48" s="48" t="s">
        <v>794</v>
      </c>
      <c r="B48" s="47" t="s">
        <v>793</v>
      </c>
      <c r="C48" s="48" t="s">
        <v>34</v>
      </c>
      <c r="D48" s="48" t="s">
        <v>1649</v>
      </c>
      <c r="E48" s="48" t="s">
        <v>1649</v>
      </c>
      <c r="F48" s="108">
        <v>6</v>
      </c>
      <c r="G48" s="108">
        <v>53</v>
      </c>
      <c r="H48" s="108">
        <v>0</v>
      </c>
      <c r="I48" s="108">
        <v>0</v>
      </c>
      <c r="J48" s="108">
        <v>6</v>
      </c>
      <c r="K48" s="108">
        <v>53</v>
      </c>
      <c r="L48" s="108">
        <v>0</v>
      </c>
      <c r="M48" s="108">
        <v>0</v>
      </c>
      <c r="N48" s="108">
        <v>0</v>
      </c>
      <c r="O48" s="108">
        <v>0</v>
      </c>
      <c r="P48" s="108">
        <v>0</v>
      </c>
      <c r="Q48" s="108">
        <v>0</v>
      </c>
      <c r="R48" s="108">
        <v>0</v>
      </c>
      <c r="S48" s="108">
        <v>12</v>
      </c>
      <c r="T48" s="108">
        <v>106</v>
      </c>
      <c r="U48" s="109" t="s">
        <v>1649</v>
      </c>
      <c r="V48" s="108">
        <v>0</v>
      </c>
      <c r="W48" s="108">
        <v>0</v>
      </c>
      <c r="X48" s="108">
        <v>0</v>
      </c>
      <c r="Y48" s="108">
        <v>0</v>
      </c>
      <c r="Z48" s="108">
        <v>0</v>
      </c>
      <c r="AA48" s="108">
        <v>0</v>
      </c>
      <c r="AB48" s="108">
        <v>0</v>
      </c>
      <c r="AC48" s="108">
        <v>0</v>
      </c>
      <c r="AD48" s="108">
        <v>0</v>
      </c>
      <c r="AE48" s="108">
        <v>0</v>
      </c>
      <c r="AF48" s="108">
        <v>0</v>
      </c>
      <c r="AG48" s="108">
        <v>0</v>
      </c>
      <c r="AH48" s="108">
        <v>0</v>
      </c>
      <c r="AI48" s="108">
        <v>0</v>
      </c>
      <c r="AJ48" s="108">
        <v>0</v>
      </c>
      <c r="AK48" s="108">
        <v>0</v>
      </c>
      <c r="AL48" s="108">
        <v>12</v>
      </c>
      <c r="AM48" s="108">
        <v>106</v>
      </c>
      <c r="AN48" s="108">
        <f t="shared" si="0"/>
        <v>12</v>
      </c>
      <c r="AO48" s="108">
        <f t="shared" si="1"/>
        <v>106</v>
      </c>
      <c r="AP48" s="110">
        <f t="shared" si="4"/>
        <v>8.8333333333333339</v>
      </c>
      <c r="AQ48" s="110">
        <f t="shared" si="2"/>
        <v>3.6388602814967384E-2</v>
      </c>
      <c r="AR48" s="108">
        <v>0</v>
      </c>
      <c r="AS48" s="108">
        <v>0</v>
      </c>
      <c r="AT48" s="108">
        <v>2913</v>
      </c>
    </row>
    <row r="49" spans="1:46" ht="13.5" thickBot="1" x14ac:dyDescent="0.25">
      <c r="A49" s="48" t="s">
        <v>806</v>
      </c>
      <c r="B49" s="47" t="s">
        <v>805</v>
      </c>
      <c r="C49" s="48" t="s">
        <v>34</v>
      </c>
      <c r="D49" s="48" t="s">
        <v>1649</v>
      </c>
      <c r="E49" s="48" t="s">
        <v>1649</v>
      </c>
      <c r="F49" s="108">
        <v>1</v>
      </c>
      <c r="G49" s="108">
        <v>4</v>
      </c>
      <c r="H49" s="108">
        <v>0</v>
      </c>
      <c r="I49" s="108">
        <v>0</v>
      </c>
      <c r="J49" s="108">
        <v>0</v>
      </c>
      <c r="K49" s="108">
        <v>0</v>
      </c>
      <c r="L49" s="108">
        <v>0</v>
      </c>
      <c r="M49" s="108">
        <v>0</v>
      </c>
      <c r="N49" s="108">
        <v>7</v>
      </c>
      <c r="O49" s="109">
        <v>0</v>
      </c>
      <c r="P49" s="108">
        <v>7</v>
      </c>
      <c r="Q49" s="108">
        <v>0</v>
      </c>
      <c r="R49" s="108">
        <v>0</v>
      </c>
      <c r="S49" s="108">
        <v>1</v>
      </c>
      <c r="T49" s="108">
        <v>4</v>
      </c>
      <c r="U49" s="109" t="s">
        <v>1648</v>
      </c>
      <c r="V49" s="108">
        <v>1</v>
      </c>
      <c r="W49" s="108">
        <v>8</v>
      </c>
      <c r="X49" s="108">
        <v>0</v>
      </c>
      <c r="Y49" s="108">
        <v>0</v>
      </c>
      <c r="Z49" s="108">
        <v>0</v>
      </c>
      <c r="AA49" s="108">
        <v>0</v>
      </c>
      <c r="AB49" s="108">
        <v>0</v>
      </c>
      <c r="AC49" s="108">
        <v>0</v>
      </c>
      <c r="AD49" s="108">
        <v>8</v>
      </c>
      <c r="AE49" s="108">
        <v>82</v>
      </c>
      <c r="AF49" s="108">
        <v>0</v>
      </c>
      <c r="AG49" s="108">
        <v>0</v>
      </c>
      <c r="AH49" s="108">
        <v>3</v>
      </c>
      <c r="AI49" s="108">
        <v>31</v>
      </c>
      <c r="AJ49" s="108">
        <v>0</v>
      </c>
      <c r="AK49" s="108">
        <v>0</v>
      </c>
      <c r="AL49" s="108">
        <v>12</v>
      </c>
      <c r="AM49" s="108">
        <v>117</v>
      </c>
      <c r="AN49" s="108">
        <f t="shared" si="0"/>
        <v>12</v>
      </c>
      <c r="AO49" s="108">
        <f t="shared" si="1"/>
        <v>117</v>
      </c>
      <c r="AP49" s="110">
        <f t="shared" si="4"/>
        <v>9.75</v>
      </c>
      <c r="AQ49" s="110">
        <f t="shared" si="2"/>
        <v>0.20347826086956522</v>
      </c>
      <c r="AR49" s="108">
        <v>0</v>
      </c>
      <c r="AS49" s="108">
        <v>0</v>
      </c>
      <c r="AT49" s="108">
        <v>575</v>
      </c>
    </row>
    <row r="50" spans="1:46" ht="13.5" thickBot="1" x14ac:dyDescent="0.25">
      <c r="A50" s="48" t="s">
        <v>814</v>
      </c>
      <c r="B50" s="47" t="s">
        <v>813</v>
      </c>
      <c r="C50" s="48" t="s">
        <v>34</v>
      </c>
      <c r="D50" s="48" t="s">
        <v>1649</v>
      </c>
      <c r="E50" s="48" t="s">
        <v>1649</v>
      </c>
      <c r="F50" s="108">
        <v>2</v>
      </c>
      <c r="G50" s="108">
        <v>239</v>
      </c>
      <c r="H50" s="108">
        <v>0</v>
      </c>
      <c r="I50" s="108">
        <v>0</v>
      </c>
      <c r="J50" s="108">
        <v>8</v>
      </c>
      <c r="K50" s="108">
        <v>104</v>
      </c>
      <c r="L50" s="108">
        <v>0</v>
      </c>
      <c r="M50" s="109">
        <v>0</v>
      </c>
      <c r="N50" s="108">
        <v>20</v>
      </c>
      <c r="O50" s="108">
        <v>0</v>
      </c>
      <c r="P50" s="108">
        <v>20</v>
      </c>
      <c r="Q50" s="108">
        <v>0</v>
      </c>
      <c r="R50" s="108">
        <v>0</v>
      </c>
      <c r="S50" s="108">
        <v>10</v>
      </c>
      <c r="T50" s="108">
        <v>343</v>
      </c>
      <c r="U50" s="109" t="s">
        <v>1649</v>
      </c>
      <c r="V50" s="108">
        <v>0</v>
      </c>
      <c r="W50" s="108">
        <v>0</v>
      </c>
      <c r="X50" s="108">
        <v>0</v>
      </c>
      <c r="Y50" s="108">
        <v>0</v>
      </c>
      <c r="Z50" s="108">
        <v>0</v>
      </c>
      <c r="AA50" s="108">
        <v>0</v>
      </c>
      <c r="AB50" s="108">
        <v>0</v>
      </c>
      <c r="AC50" s="108">
        <v>0</v>
      </c>
      <c r="AD50" s="108">
        <v>0</v>
      </c>
      <c r="AE50" s="108">
        <v>0</v>
      </c>
      <c r="AF50" s="108">
        <v>0</v>
      </c>
      <c r="AG50" s="108">
        <v>0</v>
      </c>
      <c r="AH50" s="108">
        <v>0</v>
      </c>
      <c r="AI50" s="108">
        <v>0</v>
      </c>
      <c r="AJ50" s="108">
        <v>0</v>
      </c>
      <c r="AK50" s="108">
        <v>0</v>
      </c>
      <c r="AL50" s="108">
        <v>10</v>
      </c>
      <c r="AM50" s="108">
        <v>343</v>
      </c>
      <c r="AN50" s="108">
        <f t="shared" si="0"/>
        <v>10</v>
      </c>
      <c r="AO50" s="108">
        <f t="shared" si="1"/>
        <v>343</v>
      </c>
      <c r="AP50" s="110">
        <f t="shared" si="4"/>
        <v>34.299999999999997</v>
      </c>
      <c r="AQ50" s="110">
        <f t="shared" si="2"/>
        <v>0.12527392257121986</v>
      </c>
      <c r="AR50" s="108">
        <v>0</v>
      </c>
      <c r="AS50" s="108">
        <v>0</v>
      </c>
      <c r="AT50" s="108">
        <v>2738</v>
      </c>
    </row>
    <row r="51" spans="1:46" ht="13.5" thickBot="1" x14ac:dyDescent="0.25">
      <c r="A51" s="48" t="s">
        <v>441</v>
      </c>
      <c r="B51" s="47" t="s">
        <v>440</v>
      </c>
      <c r="C51" s="48" t="s">
        <v>34</v>
      </c>
      <c r="D51" s="48" t="s">
        <v>1649</v>
      </c>
      <c r="E51" s="48" t="s">
        <v>1648</v>
      </c>
      <c r="F51" s="108">
        <v>40</v>
      </c>
      <c r="G51" s="108">
        <v>783</v>
      </c>
      <c r="H51" s="108">
        <v>0</v>
      </c>
      <c r="I51" s="108">
        <v>0</v>
      </c>
      <c r="J51" s="108">
        <v>25</v>
      </c>
      <c r="K51" s="108">
        <v>518</v>
      </c>
      <c r="L51" s="108">
        <v>2</v>
      </c>
      <c r="M51" s="108">
        <v>6</v>
      </c>
      <c r="N51" s="108">
        <v>52</v>
      </c>
      <c r="O51" s="108">
        <v>4</v>
      </c>
      <c r="P51" s="108">
        <v>56</v>
      </c>
      <c r="Q51" s="108">
        <v>0</v>
      </c>
      <c r="R51" s="108">
        <v>0</v>
      </c>
      <c r="S51" s="108">
        <v>65</v>
      </c>
      <c r="T51" s="108">
        <v>1301</v>
      </c>
      <c r="U51" s="109" t="s">
        <v>1648</v>
      </c>
      <c r="V51" s="108">
        <v>12</v>
      </c>
      <c r="W51" s="108">
        <v>192</v>
      </c>
      <c r="X51" s="108">
        <v>0</v>
      </c>
      <c r="Y51" s="108">
        <v>0</v>
      </c>
      <c r="Z51" s="108">
        <v>2</v>
      </c>
      <c r="AA51" s="108">
        <v>6</v>
      </c>
      <c r="AB51" s="108">
        <v>0</v>
      </c>
      <c r="AC51" s="108">
        <v>0</v>
      </c>
      <c r="AD51" s="108">
        <v>15</v>
      </c>
      <c r="AE51" s="108">
        <v>83</v>
      </c>
      <c r="AF51" s="108">
        <v>0</v>
      </c>
      <c r="AG51" s="108">
        <v>0</v>
      </c>
      <c r="AH51" s="108">
        <v>2</v>
      </c>
      <c r="AI51" s="108">
        <v>74</v>
      </c>
      <c r="AJ51" s="108">
        <v>0</v>
      </c>
      <c r="AK51" s="108">
        <v>0</v>
      </c>
      <c r="AL51" s="108">
        <v>84</v>
      </c>
      <c r="AM51" s="108">
        <v>1464</v>
      </c>
      <c r="AN51" s="108">
        <f t="shared" si="0"/>
        <v>84</v>
      </c>
      <c r="AO51" s="108">
        <f t="shared" si="1"/>
        <v>1464</v>
      </c>
      <c r="AP51" s="110">
        <f t="shared" si="4"/>
        <v>17.428571428571427</v>
      </c>
      <c r="AQ51" s="110">
        <f t="shared" si="2"/>
        <v>0.61720067453625638</v>
      </c>
      <c r="AR51" s="108">
        <v>2</v>
      </c>
      <c r="AS51" s="108">
        <v>253</v>
      </c>
      <c r="AT51" s="108">
        <v>2372</v>
      </c>
    </row>
    <row r="52" spans="1:46" ht="13.5" thickBot="1" x14ac:dyDescent="0.25">
      <c r="A52" s="48" t="s">
        <v>534</v>
      </c>
      <c r="B52" s="47" t="s">
        <v>533</v>
      </c>
      <c r="C52" s="48" t="s">
        <v>34</v>
      </c>
      <c r="D52" s="48" t="s">
        <v>1648</v>
      </c>
      <c r="E52" s="48" t="s">
        <v>1648</v>
      </c>
      <c r="F52" s="108">
        <v>15</v>
      </c>
      <c r="G52" s="108">
        <v>50</v>
      </c>
      <c r="H52" s="108">
        <v>0</v>
      </c>
      <c r="I52" s="108">
        <v>0</v>
      </c>
      <c r="J52" s="108">
        <v>9</v>
      </c>
      <c r="K52" s="108">
        <v>140</v>
      </c>
      <c r="L52" s="108">
        <v>0</v>
      </c>
      <c r="M52" s="108">
        <v>0</v>
      </c>
      <c r="N52" s="108">
        <v>100</v>
      </c>
      <c r="O52" s="108">
        <v>0</v>
      </c>
      <c r="P52" s="108">
        <v>100</v>
      </c>
      <c r="Q52" s="108">
        <v>4</v>
      </c>
      <c r="R52" s="108">
        <v>15</v>
      </c>
      <c r="S52" s="108">
        <v>24</v>
      </c>
      <c r="T52" s="108">
        <v>190</v>
      </c>
      <c r="U52" s="109" t="s">
        <v>1648</v>
      </c>
      <c r="V52" s="108">
        <v>10</v>
      </c>
      <c r="W52" s="108">
        <v>100</v>
      </c>
      <c r="X52" s="108">
        <v>0</v>
      </c>
      <c r="Y52" s="108">
        <v>0</v>
      </c>
      <c r="Z52" s="108">
        <v>0</v>
      </c>
      <c r="AA52" s="108">
        <v>0</v>
      </c>
      <c r="AB52" s="108">
        <v>0</v>
      </c>
      <c r="AC52" s="108">
        <v>0</v>
      </c>
      <c r="AD52" s="108">
        <v>7</v>
      </c>
      <c r="AE52" s="108">
        <v>84</v>
      </c>
      <c r="AF52" s="108">
        <v>0</v>
      </c>
      <c r="AG52" s="108">
        <v>0</v>
      </c>
      <c r="AH52" s="108">
        <v>5</v>
      </c>
      <c r="AI52" s="108">
        <v>75</v>
      </c>
      <c r="AJ52" s="108">
        <v>4</v>
      </c>
      <c r="AK52" s="108">
        <v>15</v>
      </c>
      <c r="AL52" s="108">
        <v>36</v>
      </c>
      <c r="AM52" s="108">
        <v>349</v>
      </c>
      <c r="AN52" s="108">
        <f t="shared" si="0"/>
        <v>40</v>
      </c>
      <c r="AO52" s="108">
        <f t="shared" si="1"/>
        <v>364</v>
      </c>
      <c r="AP52" s="110">
        <f t="shared" si="4"/>
        <v>9.1</v>
      </c>
      <c r="AQ52" s="110">
        <f t="shared" si="2"/>
        <v>9.9862825788751719E-2</v>
      </c>
      <c r="AR52" s="108">
        <v>2</v>
      </c>
      <c r="AS52" s="108">
        <v>120</v>
      </c>
      <c r="AT52" s="108">
        <v>3645</v>
      </c>
    </row>
    <row r="53" spans="1:46" ht="13.5" thickBot="1" x14ac:dyDescent="0.25">
      <c r="A53" s="48" t="s">
        <v>612</v>
      </c>
      <c r="B53" s="47" t="s">
        <v>611</v>
      </c>
      <c r="C53" s="48" t="s">
        <v>34</v>
      </c>
      <c r="D53" s="48" t="s">
        <v>1648</v>
      </c>
      <c r="E53" s="48" t="s">
        <v>1648</v>
      </c>
      <c r="F53" s="108">
        <v>28</v>
      </c>
      <c r="G53" s="108">
        <v>137</v>
      </c>
      <c r="H53" s="108">
        <v>16</v>
      </c>
      <c r="I53" s="108">
        <v>64</v>
      </c>
      <c r="J53" s="108">
        <v>5</v>
      </c>
      <c r="K53" s="108">
        <v>234</v>
      </c>
      <c r="L53" s="108">
        <v>0</v>
      </c>
      <c r="M53" s="108">
        <v>0</v>
      </c>
      <c r="N53" s="108">
        <v>49</v>
      </c>
      <c r="O53" s="108">
        <v>6</v>
      </c>
      <c r="P53" s="108">
        <v>55</v>
      </c>
      <c r="Q53" s="108">
        <v>0</v>
      </c>
      <c r="R53" s="108">
        <v>0</v>
      </c>
      <c r="S53" s="108">
        <v>33</v>
      </c>
      <c r="T53" s="108">
        <v>371</v>
      </c>
      <c r="U53" s="109" t="s">
        <v>1648</v>
      </c>
      <c r="V53" s="108">
        <v>3</v>
      </c>
      <c r="W53" s="108">
        <v>13</v>
      </c>
      <c r="X53" s="108">
        <v>0</v>
      </c>
      <c r="Y53" s="108">
        <v>0</v>
      </c>
      <c r="Z53" s="108">
        <v>16</v>
      </c>
      <c r="AA53" s="108">
        <v>64</v>
      </c>
      <c r="AB53" s="108">
        <v>0</v>
      </c>
      <c r="AC53" s="108">
        <v>0</v>
      </c>
      <c r="AD53" s="108">
        <v>12</v>
      </c>
      <c r="AE53" s="108">
        <v>100</v>
      </c>
      <c r="AF53" s="108">
        <v>0</v>
      </c>
      <c r="AG53" s="108">
        <v>0</v>
      </c>
      <c r="AH53" s="108">
        <v>15</v>
      </c>
      <c r="AI53" s="108">
        <v>90</v>
      </c>
      <c r="AJ53" s="108">
        <v>0</v>
      </c>
      <c r="AK53" s="108">
        <v>0</v>
      </c>
      <c r="AL53" s="108">
        <v>76</v>
      </c>
      <c r="AM53" s="108">
        <v>625</v>
      </c>
      <c r="AN53" s="108">
        <f t="shared" si="0"/>
        <v>76</v>
      </c>
      <c r="AO53" s="108">
        <f t="shared" si="1"/>
        <v>625</v>
      </c>
      <c r="AP53" s="110">
        <f t="shared" si="4"/>
        <v>8.223684210526315</v>
      </c>
      <c r="AQ53" s="110">
        <f t="shared" si="2"/>
        <v>0.16715699384862262</v>
      </c>
      <c r="AR53" s="108">
        <v>2</v>
      </c>
      <c r="AS53" s="108">
        <v>705</v>
      </c>
      <c r="AT53" s="108">
        <v>3739</v>
      </c>
    </row>
    <row r="54" spans="1:46" ht="13.5" thickBot="1" x14ac:dyDescent="0.25">
      <c r="A54" s="48" t="s">
        <v>630</v>
      </c>
      <c r="B54" s="47" t="s">
        <v>629</v>
      </c>
      <c r="C54" s="48" t="s">
        <v>34</v>
      </c>
      <c r="D54" s="48" t="s">
        <v>1648</v>
      </c>
      <c r="E54" s="48" t="s">
        <v>1648</v>
      </c>
      <c r="F54" s="108">
        <v>3</v>
      </c>
      <c r="G54" s="108">
        <v>101</v>
      </c>
      <c r="H54" s="108">
        <v>0</v>
      </c>
      <c r="I54" s="108">
        <v>0</v>
      </c>
      <c r="J54" s="108">
        <v>8</v>
      </c>
      <c r="K54" s="108">
        <v>214</v>
      </c>
      <c r="L54" s="108">
        <v>2</v>
      </c>
      <c r="M54" s="108">
        <v>34</v>
      </c>
      <c r="N54" s="108">
        <v>44</v>
      </c>
      <c r="O54" s="108">
        <v>7</v>
      </c>
      <c r="P54" s="108">
        <v>51</v>
      </c>
      <c r="Q54" s="108">
        <v>3</v>
      </c>
      <c r="R54" s="108">
        <v>32</v>
      </c>
      <c r="S54" s="108">
        <v>11</v>
      </c>
      <c r="T54" s="108">
        <v>315</v>
      </c>
      <c r="U54" s="109" t="s">
        <v>1648</v>
      </c>
      <c r="V54" s="108">
        <v>11</v>
      </c>
      <c r="W54" s="108">
        <v>315</v>
      </c>
      <c r="X54" s="108">
        <v>0</v>
      </c>
      <c r="Y54" s="108">
        <v>0</v>
      </c>
      <c r="Z54" s="108">
        <v>2</v>
      </c>
      <c r="AA54" s="108">
        <v>34</v>
      </c>
      <c r="AB54" s="108">
        <v>0</v>
      </c>
      <c r="AC54" s="108">
        <v>0</v>
      </c>
      <c r="AD54" s="108">
        <v>7</v>
      </c>
      <c r="AE54" s="108">
        <v>39</v>
      </c>
      <c r="AF54" s="108">
        <v>0</v>
      </c>
      <c r="AG54" s="108">
        <v>0</v>
      </c>
      <c r="AH54" s="108">
        <v>22</v>
      </c>
      <c r="AI54" s="108">
        <v>172</v>
      </c>
      <c r="AJ54" s="108">
        <v>3</v>
      </c>
      <c r="AK54" s="108">
        <v>32</v>
      </c>
      <c r="AL54" s="108">
        <v>42</v>
      </c>
      <c r="AM54" s="108">
        <v>560</v>
      </c>
      <c r="AN54" s="108">
        <f t="shared" si="0"/>
        <v>45</v>
      </c>
      <c r="AO54" s="108">
        <f t="shared" si="1"/>
        <v>592</v>
      </c>
      <c r="AP54" s="110">
        <f t="shared" si="4"/>
        <v>13.155555555555555</v>
      </c>
      <c r="AQ54" s="110">
        <f t="shared" si="2"/>
        <v>0.67120181405895696</v>
      </c>
      <c r="AR54" s="108">
        <v>2</v>
      </c>
      <c r="AS54" s="108">
        <v>2</v>
      </c>
      <c r="AT54" s="108">
        <v>882</v>
      </c>
    </row>
    <row r="55" spans="1:46" ht="13.5" thickBot="1" x14ac:dyDescent="0.25">
      <c r="A55" s="48" t="s">
        <v>80</v>
      </c>
      <c r="B55" s="47" t="s">
        <v>79</v>
      </c>
      <c r="C55" s="48" t="s">
        <v>34</v>
      </c>
      <c r="D55" s="48" t="s">
        <v>1648</v>
      </c>
      <c r="E55" s="48" t="s">
        <v>1648</v>
      </c>
      <c r="F55" s="108">
        <v>14</v>
      </c>
      <c r="G55" s="108">
        <v>89</v>
      </c>
      <c r="H55" s="108">
        <v>0</v>
      </c>
      <c r="I55" s="108">
        <v>0</v>
      </c>
      <c r="J55" s="108">
        <v>4</v>
      </c>
      <c r="K55" s="108">
        <v>28</v>
      </c>
      <c r="L55" s="108">
        <v>0</v>
      </c>
      <c r="M55" s="108">
        <v>0</v>
      </c>
      <c r="N55" s="108">
        <v>16</v>
      </c>
      <c r="O55" s="108">
        <v>5</v>
      </c>
      <c r="P55" s="108">
        <v>21</v>
      </c>
      <c r="Q55" s="108">
        <v>0</v>
      </c>
      <c r="R55" s="108">
        <v>0</v>
      </c>
      <c r="S55" s="108">
        <v>18</v>
      </c>
      <c r="T55" s="108">
        <v>117</v>
      </c>
      <c r="U55" s="109" t="s">
        <v>1648</v>
      </c>
      <c r="V55" s="108">
        <v>41</v>
      </c>
      <c r="W55" s="108">
        <v>351</v>
      </c>
      <c r="X55" s="108">
        <v>0</v>
      </c>
      <c r="Y55" s="108">
        <v>0</v>
      </c>
      <c r="Z55" s="108">
        <v>0</v>
      </c>
      <c r="AA55" s="108">
        <v>0</v>
      </c>
      <c r="AB55" s="108">
        <v>0</v>
      </c>
      <c r="AC55" s="108">
        <v>0</v>
      </c>
      <c r="AD55" s="108">
        <v>10</v>
      </c>
      <c r="AE55" s="108">
        <v>262</v>
      </c>
      <c r="AF55" s="108">
        <v>0</v>
      </c>
      <c r="AG55" s="108">
        <v>0</v>
      </c>
      <c r="AH55" s="108">
        <v>6</v>
      </c>
      <c r="AI55" s="108">
        <v>224</v>
      </c>
      <c r="AJ55" s="108">
        <v>0</v>
      </c>
      <c r="AK55" s="108">
        <v>0</v>
      </c>
      <c r="AL55" s="108">
        <v>34</v>
      </c>
      <c r="AM55" s="108">
        <v>603</v>
      </c>
      <c r="AN55" s="108">
        <f t="shared" si="0"/>
        <v>34</v>
      </c>
      <c r="AO55" s="108">
        <f t="shared" si="1"/>
        <v>603</v>
      </c>
      <c r="AP55" s="110">
        <f t="shared" si="4"/>
        <v>17.735294117647058</v>
      </c>
      <c r="AQ55" s="110">
        <f t="shared" si="2"/>
        <v>0.9178082191780822</v>
      </c>
      <c r="AR55" s="108">
        <v>3</v>
      </c>
      <c r="AS55" s="108">
        <v>0</v>
      </c>
      <c r="AT55" s="108">
        <v>657</v>
      </c>
    </row>
    <row r="56" spans="1:46" ht="13.5" thickBot="1" x14ac:dyDescent="0.25">
      <c r="A56" s="48" t="s">
        <v>206</v>
      </c>
      <c r="B56" s="47" t="s">
        <v>205</v>
      </c>
      <c r="C56" s="48" t="s">
        <v>34</v>
      </c>
      <c r="D56" s="48" t="s">
        <v>1648</v>
      </c>
      <c r="E56" s="48" t="s">
        <v>1648</v>
      </c>
      <c r="F56" s="108">
        <v>7</v>
      </c>
      <c r="G56" s="108">
        <v>162</v>
      </c>
      <c r="H56" s="108">
        <v>0</v>
      </c>
      <c r="I56" s="108">
        <v>0</v>
      </c>
      <c r="J56" s="108">
        <v>0</v>
      </c>
      <c r="K56" s="108">
        <v>0</v>
      </c>
      <c r="L56" s="108">
        <v>0</v>
      </c>
      <c r="M56" s="108">
        <v>0</v>
      </c>
      <c r="N56" s="108">
        <v>0</v>
      </c>
      <c r="O56" s="108">
        <v>0</v>
      </c>
      <c r="P56" s="108">
        <v>0</v>
      </c>
      <c r="Q56" s="108">
        <v>1</v>
      </c>
      <c r="R56" s="108">
        <v>14</v>
      </c>
      <c r="S56" s="108">
        <v>7</v>
      </c>
      <c r="T56" s="108">
        <v>162</v>
      </c>
      <c r="U56" s="109" t="s">
        <v>1649</v>
      </c>
      <c r="V56" s="108">
        <v>0</v>
      </c>
      <c r="W56" s="108">
        <v>0</v>
      </c>
      <c r="X56" s="108">
        <v>4</v>
      </c>
      <c r="Y56" s="108">
        <v>16</v>
      </c>
      <c r="Z56" s="108">
        <v>0</v>
      </c>
      <c r="AA56" s="108">
        <v>0</v>
      </c>
      <c r="AB56" s="108">
        <v>6</v>
      </c>
      <c r="AC56" s="108">
        <v>60</v>
      </c>
      <c r="AD56" s="108">
        <v>20</v>
      </c>
      <c r="AE56" s="108">
        <v>102</v>
      </c>
      <c r="AF56" s="108">
        <v>11</v>
      </c>
      <c r="AG56" s="108">
        <v>90</v>
      </c>
      <c r="AH56" s="108">
        <v>1</v>
      </c>
      <c r="AI56" s="108">
        <v>88</v>
      </c>
      <c r="AJ56" s="108">
        <v>22</v>
      </c>
      <c r="AK56" s="108">
        <v>180</v>
      </c>
      <c r="AL56" s="108">
        <v>28</v>
      </c>
      <c r="AM56" s="108">
        <v>352</v>
      </c>
      <c r="AN56" s="108">
        <f t="shared" si="0"/>
        <v>50</v>
      </c>
      <c r="AO56" s="108">
        <f t="shared" si="1"/>
        <v>532</v>
      </c>
      <c r="AP56" s="110">
        <f t="shared" si="4"/>
        <v>10.64</v>
      </c>
      <c r="AQ56" s="110">
        <f t="shared" si="2"/>
        <v>0.15406892557196641</v>
      </c>
      <c r="AR56" s="108">
        <v>3</v>
      </c>
      <c r="AS56" s="108">
        <v>44</v>
      </c>
      <c r="AT56" s="108">
        <v>3453</v>
      </c>
    </row>
    <row r="57" spans="1:46" ht="13.5" thickBot="1" x14ac:dyDescent="0.25">
      <c r="A57" s="48" t="s">
        <v>90</v>
      </c>
      <c r="B57" s="47" t="s">
        <v>89</v>
      </c>
      <c r="C57" s="48" t="s">
        <v>34</v>
      </c>
      <c r="D57" s="48" t="s">
        <v>1649</v>
      </c>
      <c r="E57" s="48" t="s">
        <v>1648</v>
      </c>
      <c r="F57" s="108">
        <v>61</v>
      </c>
      <c r="G57" s="108">
        <v>619</v>
      </c>
      <c r="H57" s="108">
        <v>10</v>
      </c>
      <c r="I57" s="108">
        <v>45</v>
      </c>
      <c r="J57" s="108">
        <v>0</v>
      </c>
      <c r="K57" s="108">
        <v>0</v>
      </c>
      <c r="L57" s="108">
        <v>4</v>
      </c>
      <c r="M57" s="108">
        <v>0</v>
      </c>
      <c r="N57" s="108">
        <v>49</v>
      </c>
      <c r="O57" s="108">
        <v>6</v>
      </c>
      <c r="P57" s="108">
        <v>55</v>
      </c>
      <c r="Q57" s="108">
        <v>0</v>
      </c>
      <c r="R57" s="108">
        <v>0</v>
      </c>
      <c r="S57" s="108">
        <v>61</v>
      </c>
      <c r="T57" s="108">
        <v>619</v>
      </c>
      <c r="U57" s="109" t="s">
        <v>1648</v>
      </c>
      <c r="V57" s="108">
        <v>61</v>
      </c>
      <c r="W57" s="108">
        <v>619</v>
      </c>
      <c r="X57" s="108">
        <v>4</v>
      </c>
      <c r="Y57" s="108">
        <v>0</v>
      </c>
      <c r="Z57" s="108">
        <v>14</v>
      </c>
      <c r="AA57" s="108">
        <v>45</v>
      </c>
      <c r="AB57" s="108">
        <v>3</v>
      </c>
      <c r="AC57" s="108">
        <v>12</v>
      </c>
      <c r="AD57" s="108">
        <v>3</v>
      </c>
      <c r="AE57" s="108">
        <v>106</v>
      </c>
      <c r="AF57" s="108">
        <v>0</v>
      </c>
      <c r="AG57" s="108">
        <v>0</v>
      </c>
      <c r="AH57" s="108">
        <v>2</v>
      </c>
      <c r="AI57" s="108">
        <v>45</v>
      </c>
      <c r="AJ57" s="108">
        <v>7</v>
      </c>
      <c r="AK57" s="108">
        <v>12</v>
      </c>
      <c r="AL57" s="108">
        <v>80</v>
      </c>
      <c r="AM57" s="108">
        <v>815</v>
      </c>
      <c r="AN57" s="108">
        <f t="shared" si="0"/>
        <v>87</v>
      </c>
      <c r="AO57" s="108">
        <f t="shared" si="1"/>
        <v>827</v>
      </c>
      <c r="AP57" s="110">
        <f t="shared" si="4"/>
        <v>9.5057471264367823</v>
      </c>
      <c r="AQ57" s="110">
        <f t="shared" si="2"/>
        <v>0.21700341117816846</v>
      </c>
      <c r="AR57" s="108">
        <v>4</v>
      </c>
      <c r="AS57" s="108">
        <v>145</v>
      </c>
      <c r="AT57" s="108">
        <v>3811</v>
      </c>
    </row>
    <row r="58" spans="1:46" ht="13.5" thickBot="1" x14ac:dyDescent="0.25">
      <c r="A58" s="48" t="s">
        <v>132</v>
      </c>
      <c r="B58" s="47" t="s">
        <v>131</v>
      </c>
      <c r="C58" s="48" t="s">
        <v>34</v>
      </c>
      <c r="D58" s="48" t="s">
        <v>1648</v>
      </c>
      <c r="E58" s="48" t="s">
        <v>1648</v>
      </c>
      <c r="F58" s="108">
        <v>2</v>
      </c>
      <c r="G58" s="108">
        <v>10</v>
      </c>
      <c r="H58" s="108">
        <v>0</v>
      </c>
      <c r="I58" s="108">
        <v>0</v>
      </c>
      <c r="J58" s="108">
        <v>4</v>
      </c>
      <c r="K58" s="108">
        <v>5</v>
      </c>
      <c r="L58" s="108">
        <v>0</v>
      </c>
      <c r="M58" s="108">
        <v>0</v>
      </c>
      <c r="N58" s="108">
        <v>9</v>
      </c>
      <c r="O58" s="108">
        <v>0</v>
      </c>
      <c r="P58" s="108">
        <v>9</v>
      </c>
      <c r="Q58" s="108">
        <v>4</v>
      </c>
      <c r="R58" s="108">
        <v>12</v>
      </c>
      <c r="S58" s="108">
        <v>6</v>
      </c>
      <c r="T58" s="108">
        <v>15</v>
      </c>
      <c r="U58" s="109" t="s">
        <v>1649</v>
      </c>
      <c r="V58" s="108">
        <v>0</v>
      </c>
      <c r="W58" s="108">
        <v>0</v>
      </c>
      <c r="X58" s="108">
        <v>0</v>
      </c>
      <c r="Y58" s="108">
        <v>0</v>
      </c>
      <c r="Z58" s="108">
        <v>0</v>
      </c>
      <c r="AA58" s="108">
        <v>0</v>
      </c>
      <c r="AB58" s="108">
        <v>0</v>
      </c>
      <c r="AC58" s="108">
        <v>0</v>
      </c>
      <c r="AD58" s="108">
        <v>0</v>
      </c>
      <c r="AE58" s="108">
        <v>0</v>
      </c>
      <c r="AF58" s="108">
        <v>0</v>
      </c>
      <c r="AG58" s="108">
        <v>0</v>
      </c>
      <c r="AH58" s="108">
        <v>2</v>
      </c>
      <c r="AI58" s="108">
        <v>10</v>
      </c>
      <c r="AJ58" s="108">
        <v>4</v>
      </c>
      <c r="AK58" s="108">
        <v>12</v>
      </c>
      <c r="AL58" s="108">
        <v>8</v>
      </c>
      <c r="AM58" s="108">
        <v>25</v>
      </c>
      <c r="AN58" s="108">
        <f t="shared" si="0"/>
        <v>12</v>
      </c>
      <c r="AO58" s="108">
        <f t="shared" si="1"/>
        <v>37</v>
      </c>
      <c r="AP58" s="110">
        <f t="shared" si="4"/>
        <v>3.0833333333333335</v>
      </c>
      <c r="AQ58" s="110">
        <f t="shared" si="2"/>
        <v>1.4170815779394868E-2</v>
      </c>
      <c r="AR58" s="108">
        <v>4</v>
      </c>
      <c r="AS58" s="108">
        <v>0</v>
      </c>
      <c r="AT58" s="108">
        <v>2611</v>
      </c>
    </row>
    <row r="59" spans="1:46" ht="13.5" thickBot="1" x14ac:dyDescent="0.25">
      <c r="A59" s="48" t="s">
        <v>690</v>
      </c>
      <c r="B59" s="47" t="s">
        <v>689</v>
      </c>
      <c r="C59" s="48" t="s">
        <v>34</v>
      </c>
      <c r="D59" s="48" t="s">
        <v>1649</v>
      </c>
      <c r="E59" s="48" t="s">
        <v>1648</v>
      </c>
      <c r="F59" s="108">
        <v>5</v>
      </c>
      <c r="G59" s="108">
        <v>40</v>
      </c>
      <c r="H59" s="108">
        <v>0</v>
      </c>
      <c r="I59" s="108">
        <v>0</v>
      </c>
      <c r="J59" s="108">
        <v>5</v>
      </c>
      <c r="K59" s="108">
        <v>40</v>
      </c>
      <c r="L59" s="108">
        <v>0</v>
      </c>
      <c r="M59" s="108">
        <v>0</v>
      </c>
      <c r="N59" s="108">
        <v>28</v>
      </c>
      <c r="O59" s="108">
        <v>0</v>
      </c>
      <c r="P59" s="108">
        <v>28</v>
      </c>
      <c r="Q59" s="108">
        <v>0</v>
      </c>
      <c r="R59" s="108">
        <v>0</v>
      </c>
      <c r="S59" s="108">
        <v>10</v>
      </c>
      <c r="T59" s="108">
        <v>80</v>
      </c>
      <c r="U59" s="109" t="s">
        <v>1649</v>
      </c>
      <c r="V59" s="108">
        <v>0</v>
      </c>
      <c r="W59" s="108">
        <v>0</v>
      </c>
      <c r="X59" s="108">
        <v>0</v>
      </c>
      <c r="Y59" s="108">
        <v>0</v>
      </c>
      <c r="Z59" s="108">
        <v>0</v>
      </c>
      <c r="AA59" s="108">
        <v>0</v>
      </c>
      <c r="AB59" s="108">
        <v>0</v>
      </c>
      <c r="AC59" s="108">
        <v>0</v>
      </c>
      <c r="AD59" s="108">
        <v>2</v>
      </c>
      <c r="AE59" s="108">
        <v>23</v>
      </c>
      <c r="AF59" s="108">
        <v>0</v>
      </c>
      <c r="AG59" s="108">
        <v>0</v>
      </c>
      <c r="AH59" s="108">
        <v>0</v>
      </c>
      <c r="AI59" s="108">
        <v>0</v>
      </c>
      <c r="AJ59" s="108">
        <v>0</v>
      </c>
      <c r="AK59" s="108">
        <v>0</v>
      </c>
      <c r="AL59" s="108">
        <v>12</v>
      </c>
      <c r="AM59" s="108">
        <v>103</v>
      </c>
      <c r="AN59" s="108">
        <f t="shared" si="0"/>
        <v>12</v>
      </c>
      <c r="AO59" s="108">
        <f t="shared" si="1"/>
        <v>103</v>
      </c>
      <c r="AP59" s="110">
        <f t="shared" si="4"/>
        <v>8.5833333333333339</v>
      </c>
      <c r="AQ59" s="110">
        <f t="shared" si="2"/>
        <v>3.0046674445740957E-2</v>
      </c>
      <c r="AR59" s="108">
        <v>5</v>
      </c>
      <c r="AS59" s="108">
        <v>35</v>
      </c>
      <c r="AT59" s="108">
        <v>3428</v>
      </c>
    </row>
    <row r="60" spans="1:46" ht="13.5" thickBot="1" x14ac:dyDescent="0.25">
      <c r="A60" s="48" t="s">
        <v>92</v>
      </c>
      <c r="B60" s="47" t="s">
        <v>91</v>
      </c>
      <c r="C60" s="48" t="s">
        <v>34</v>
      </c>
      <c r="D60" s="48" t="s">
        <v>1649</v>
      </c>
      <c r="E60" s="48" t="s">
        <v>1648</v>
      </c>
      <c r="F60" s="108">
        <v>55</v>
      </c>
      <c r="G60" s="108">
        <v>890</v>
      </c>
      <c r="H60" s="108">
        <v>8</v>
      </c>
      <c r="I60" s="108">
        <v>140</v>
      </c>
      <c r="J60" s="108">
        <v>5</v>
      </c>
      <c r="K60" s="108">
        <v>168</v>
      </c>
      <c r="L60" s="108">
        <v>0</v>
      </c>
      <c r="M60" s="108">
        <v>0</v>
      </c>
      <c r="N60" s="108">
        <v>200</v>
      </c>
      <c r="O60" s="108">
        <v>0</v>
      </c>
      <c r="P60" s="108">
        <v>200</v>
      </c>
      <c r="Q60" s="108">
        <v>0</v>
      </c>
      <c r="R60" s="108">
        <v>0</v>
      </c>
      <c r="S60" s="108">
        <v>60</v>
      </c>
      <c r="T60" s="108">
        <v>1058</v>
      </c>
      <c r="U60" s="109" t="s">
        <v>1648</v>
      </c>
      <c r="V60" s="108">
        <v>39</v>
      </c>
      <c r="W60" s="108">
        <v>561</v>
      </c>
      <c r="X60" s="108">
        <v>0</v>
      </c>
      <c r="Y60" s="108">
        <v>0</v>
      </c>
      <c r="Z60" s="108">
        <v>8</v>
      </c>
      <c r="AA60" s="108">
        <v>140</v>
      </c>
      <c r="AB60" s="108">
        <v>0</v>
      </c>
      <c r="AC60" s="108">
        <v>0</v>
      </c>
      <c r="AD60" s="108">
        <v>116</v>
      </c>
      <c r="AE60" s="108">
        <v>1101</v>
      </c>
      <c r="AF60" s="108">
        <v>0</v>
      </c>
      <c r="AG60" s="108">
        <v>0</v>
      </c>
      <c r="AH60" s="108">
        <v>5</v>
      </c>
      <c r="AI60" s="108">
        <v>177</v>
      </c>
      <c r="AJ60" s="108">
        <v>0</v>
      </c>
      <c r="AK60" s="108">
        <v>0</v>
      </c>
      <c r="AL60" s="108">
        <v>189</v>
      </c>
      <c r="AM60" s="108">
        <v>2476</v>
      </c>
      <c r="AN60" s="108">
        <f t="shared" si="0"/>
        <v>189</v>
      </c>
      <c r="AO60" s="108">
        <f t="shared" si="1"/>
        <v>2476</v>
      </c>
      <c r="AP60" s="110">
        <f t="shared" si="4"/>
        <v>13.100529100529101</v>
      </c>
      <c r="AQ60" s="110">
        <f t="shared" si="2"/>
        <v>0.68341153739994476</v>
      </c>
      <c r="AR60" s="108">
        <v>6</v>
      </c>
      <c r="AS60" s="108">
        <v>290</v>
      </c>
      <c r="AT60" s="108">
        <v>3623</v>
      </c>
    </row>
    <row r="61" spans="1:46" ht="13.5" thickBot="1" x14ac:dyDescent="0.25">
      <c r="A61" s="48" t="s">
        <v>164</v>
      </c>
      <c r="B61" s="47" t="s">
        <v>163</v>
      </c>
      <c r="C61" s="48" t="s">
        <v>34</v>
      </c>
      <c r="D61" s="48" t="s">
        <v>1649</v>
      </c>
      <c r="E61" s="48" t="s">
        <v>1648</v>
      </c>
      <c r="F61" s="108">
        <v>24</v>
      </c>
      <c r="G61" s="108">
        <v>248</v>
      </c>
      <c r="H61" s="108">
        <v>0</v>
      </c>
      <c r="I61" s="108">
        <v>0</v>
      </c>
      <c r="J61" s="108">
        <v>14</v>
      </c>
      <c r="K61" s="108">
        <v>260</v>
      </c>
      <c r="L61" s="108">
        <v>0</v>
      </c>
      <c r="M61" s="108">
        <v>0</v>
      </c>
      <c r="N61" s="108">
        <v>58</v>
      </c>
      <c r="O61" s="108">
        <v>0</v>
      </c>
      <c r="P61" s="108">
        <v>58</v>
      </c>
      <c r="Q61" s="108">
        <v>8</v>
      </c>
      <c r="R61" s="108">
        <v>0</v>
      </c>
      <c r="S61" s="108">
        <v>38</v>
      </c>
      <c r="T61" s="108">
        <v>508</v>
      </c>
      <c r="U61" s="109" t="s">
        <v>1648</v>
      </c>
      <c r="V61" s="108">
        <v>2</v>
      </c>
      <c r="W61" s="108">
        <v>22</v>
      </c>
      <c r="X61" s="108">
        <v>0</v>
      </c>
      <c r="Y61" s="108">
        <v>0</v>
      </c>
      <c r="Z61" s="108">
        <v>0</v>
      </c>
      <c r="AA61" s="108">
        <v>0</v>
      </c>
      <c r="AB61" s="108">
        <v>0</v>
      </c>
      <c r="AC61" s="108">
        <v>0</v>
      </c>
      <c r="AD61" s="108">
        <v>2</v>
      </c>
      <c r="AE61" s="108">
        <v>7</v>
      </c>
      <c r="AF61" s="108">
        <v>0</v>
      </c>
      <c r="AG61" s="108">
        <v>0</v>
      </c>
      <c r="AH61" s="108">
        <v>3</v>
      </c>
      <c r="AI61" s="108">
        <v>149</v>
      </c>
      <c r="AJ61" s="108">
        <v>8</v>
      </c>
      <c r="AK61" s="108">
        <v>0</v>
      </c>
      <c r="AL61" s="108">
        <v>43</v>
      </c>
      <c r="AM61" s="108">
        <v>664</v>
      </c>
      <c r="AN61" s="108">
        <f t="shared" si="0"/>
        <v>51</v>
      </c>
      <c r="AO61" s="108">
        <f t="shared" si="1"/>
        <v>664</v>
      </c>
      <c r="AP61" s="110">
        <f t="shared" si="4"/>
        <v>13.019607843137255</v>
      </c>
      <c r="AQ61" s="110">
        <f t="shared" si="2"/>
        <v>0.35814455231930958</v>
      </c>
      <c r="AR61" s="108">
        <v>8</v>
      </c>
      <c r="AS61" s="108">
        <v>0</v>
      </c>
      <c r="AT61" s="108">
        <v>1854</v>
      </c>
    </row>
    <row r="62" spans="1:46" ht="13.5" thickBot="1" x14ac:dyDescent="0.25">
      <c r="A62" s="48" t="s">
        <v>425</v>
      </c>
      <c r="B62" s="47" t="s">
        <v>424</v>
      </c>
      <c r="C62" s="48" t="s">
        <v>34</v>
      </c>
      <c r="D62" s="48" t="s">
        <v>1648</v>
      </c>
      <c r="E62" s="48" t="s">
        <v>1648</v>
      </c>
      <c r="F62" s="108">
        <v>51</v>
      </c>
      <c r="G62" s="108">
        <v>608</v>
      </c>
      <c r="H62" s="108">
        <v>0</v>
      </c>
      <c r="I62" s="108">
        <v>0</v>
      </c>
      <c r="J62" s="108">
        <v>12</v>
      </c>
      <c r="K62" s="108">
        <v>219</v>
      </c>
      <c r="L62" s="108">
        <v>0</v>
      </c>
      <c r="M62" s="108">
        <v>0</v>
      </c>
      <c r="N62" s="108">
        <v>22</v>
      </c>
      <c r="O62" s="108">
        <v>0</v>
      </c>
      <c r="P62" s="108">
        <v>22</v>
      </c>
      <c r="Q62" s="108">
        <v>0</v>
      </c>
      <c r="R62" s="108">
        <v>0</v>
      </c>
      <c r="S62" s="108">
        <v>63</v>
      </c>
      <c r="T62" s="108">
        <v>827</v>
      </c>
      <c r="U62" s="109" t="s">
        <v>1648</v>
      </c>
      <c r="V62" s="108">
        <v>53</v>
      </c>
      <c r="W62" s="108">
        <v>599</v>
      </c>
      <c r="X62" s="108">
        <v>0</v>
      </c>
      <c r="Y62" s="108">
        <v>0</v>
      </c>
      <c r="Z62" s="108">
        <v>0</v>
      </c>
      <c r="AA62" s="108">
        <v>0</v>
      </c>
      <c r="AB62" s="108">
        <v>3</v>
      </c>
      <c r="AC62" s="108">
        <v>42</v>
      </c>
      <c r="AD62" s="108">
        <v>35</v>
      </c>
      <c r="AE62" s="108">
        <v>622</v>
      </c>
      <c r="AF62" s="108">
        <v>0</v>
      </c>
      <c r="AG62" s="108">
        <v>0</v>
      </c>
      <c r="AH62" s="108">
        <v>3</v>
      </c>
      <c r="AI62" s="108">
        <v>414</v>
      </c>
      <c r="AJ62" s="108">
        <v>3</v>
      </c>
      <c r="AK62" s="108">
        <v>42</v>
      </c>
      <c r="AL62" s="108">
        <v>101</v>
      </c>
      <c r="AM62" s="108">
        <v>1863</v>
      </c>
      <c r="AN62" s="108">
        <f t="shared" si="0"/>
        <v>104</v>
      </c>
      <c r="AO62" s="108">
        <f t="shared" si="1"/>
        <v>1905</v>
      </c>
      <c r="AP62" s="110">
        <f t="shared" si="4"/>
        <v>18.317307692307693</v>
      </c>
      <c r="AQ62" s="110">
        <f t="shared" si="2"/>
        <v>0.9398125308337445</v>
      </c>
      <c r="AR62" s="108">
        <v>8</v>
      </c>
      <c r="AS62" s="108">
        <v>72</v>
      </c>
      <c r="AT62" s="108">
        <v>2027</v>
      </c>
    </row>
    <row r="63" spans="1:46" ht="13.5" thickBot="1" x14ac:dyDescent="0.25">
      <c r="A63" s="48" t="s">
        <v>498</v>
      </c>
      <c r="B63" s="47" t="s">
        <v>497</v>
      </c>
      <c r="C63" s="48" t="s">
        <v>34</v>
      </c>
      <c r="D63" s="48" t="s">
        <v>1648</v>
      </c>
      <c r="E63" s="48" t="s">
        <v>1648</v>
      </c>
      <c r="F63" s="108">
        <v>18</v>
      </c>
      <c r="G63" s="108">
        <v>185</v>
      </c>
      <c r="H63" s="108">
        <v>0</v>
      </c>
      <c r="I63" s="108">
        <v>0</v>
      </c>
      <c r="J63" s="108">
        <v>2</v>
      </c>
      <c r="K63" s="108">
        <v>130</v>
      </c>
      <c r="L63" s="108">
        <v>0</v>
      </c>
      <c r="M63" s="108">
        <v>0</v>
      </c>
      <c r="N63" s="108">
        <v>54</v>
      </c>
      <c r="O63" s="108">
        <v>8</v>
      </c>
      <c r="P63" s="108">
        <v>62</v>
      </c>
      <c r="Q63" s="108">
        <v>2</v>
      </c>
      <c r="R63" s="108">
        <v>8</v>
      </c>
      <c r="S63" s="108">
        <v>20</v>
      </c>
      <c r="T63" s="108">
        <v>315</v>
      </c>
      <c r="U63" s="109" t="s">
        <v>1648</v>
      </c>
      <c r="V63" s="108">
        <v>15</v>
      </c>
      <c r="W63" s="108">
        <v>68</v>
      </c>
      <c r="X63" s="108">
        <v>0</v>
      </c>
      <c r="Y63" s="108">
        <v>0</v>
      </c>
      <c r="Z63" s="108">
        <v>0</v>
      </c>
      <c r="AA63" s="108">
        <v>0</v>
      </c>
      <c r="AB63" s="108">
        <v>4</v>
      </c>
      <c r="AC63" s="108">
        <v>28</v>
      </c>
      <c r="AD63" s="108">
        <v>40</v>
      </c>
      <c r="AE63" s="108">
        <v>370</v>
      </c>
      <c r="AF63" s="108">
        <v>4</v>
      </c>
      <c r="AG63" s="108">
        <v>29</v>
      </c>
      <c r="AH63" s="108">
        <v>3</v>
      </c>
      <c r="AI63" s="108">
        <v>18</v>
      </c>
      <c r="AJ63" s="108">
        <v>10</v>
      </c>
      <c r="AK63" s="108">
        <v>65</v>
      </c>
      <c r="AL63" s="108">
        <v>63</v>
      </c>
      <c r="AM63" s="108">
        <v>703</v>
      </c>
      <c r="AN63" s="108">
        <f t="shared" si="0"/>
        <v>73</v>
      </c>
      <c r="AO63" s="108">
        <f t="shared" si="1"/>
        <v>768</v>
      </c>
      <c r="AP63" s="110">
        <f t="shared" si="4"/>
        <v>10.520547945205479</v>
      </c>
      <c r="AQ63" s="110">
        <f t="shared" si="2"/>
        <v>0.22371103990678706</v>
      </c>
      <c r="AR63" s="108">
        <v>10</v>
      </c>
      <c r="AS63" s="108">
        <v>978</v>
      </c>
      <c r="AT63" s="108">
        <v>3433</v>
      </c>
    </row>
    <row r="64" spans="1:46" ht="13.5" thickBot="1" x14ac:dyDescent="0.25">
      <c r="A64" s="48" t="s">
        <v>674</v>
      </c>
      <c r="B64" s="47" t="s">
        <v>673</v>
      </c>
      <c r="C64" s="48" t="s">
        <v>34</v>
      </c>
      <c r="D64" s="48" t="s">
        <v>1648</v>
      </c>
      <c r="E64" s="48" t="s">
        <v>1648</v>
      </c>
      <c r="F64" s="108">
        <v>91</v>
      </c>
      <c r="G64" s="108">
        <v>1956</v>
      </c>
      <c r="H64" s="108">
        <v>21</v>
      </c>
      <c r="I64" s="108">
        <v>129</v>
      </c>
      <c r="J64" s="108">
        <v>33</v>
      </c>
      <c r="K64" s="108">
        <v>664</v>
      </c>
      <c r="L64" s="108">
        <v>5</v>
      </c>
      <c r="M64" s="108">
        <v>56</v>
      </c>
      <c r="N64" s="108">
        <v>152</v>
      </c>
      <c r="O64" s="108">
        <v>46</v>
      </c>
      <c r="P64" s="108">
        <v>198</v>
      </c>
      <c r="Q64" s="108">
        <v>0</v>
      </c>
      <c r="R64" s="108">
        <v>0</v>
      </c>
      <c r="S64" s="108">
        <v>124</v>
      </c>
      <c r="T64" s="108">
        <v>2620</v>
      </c>
      <c r="U64" s="109" t="s">
        <v>1648</v>
      </c>
      <c r="V64" s="108">
        <v>72</v>
      </c>
      <c r="W64" s="108">
        <v>802</v>
      </c>
      <c r="X64" s="108">
        <v>0</v>
      </c>
      <c r="Y64" s="108">
        <v>0</v>
      </c>
      <c r="Z64" s="108">
        <v>26</v>
      </c>
      <c r="AA64" s="108">
        <v>185</v>
      </c>
      <c r="AB64" s="108">
        <v>0</v>
      </c>
      <c r="AC64" s="108">
        <v>0</v>
      </c>
      <c r="AD64" s="108">
        <v>34</v>
      </c>
      <c r="AE64" s="108">
        <v>963</v>
      </c>
      <c r="AF64" s="108">
        <v>0</v>
      </c>
      <c r="AG64" s="108">
        <v>0</v>
      </c>
      <c r="AH64" s="108">
        <v>31</v>
      </c>
      <c r="AI64" s="108">
        <v>748</v>
      </c>
      <c r="AJ64" s="108">
        <v>0</v>
      </c>
      <c r="AK64" s="108">
        <v>0</v>
      </c>
      <c r="AL64" s="108">
        <v>215</v>
      </c>
      <c r="AM64" s="108">
        <v>4516</v>
      </c>
      <c r="AN64" s="108">
        <f t="shared" si="0"/>
        <v>215</v>
      </c>
      <c r="AO64" s="108">
        <f t="shared" si="1"/>
        <v>4516</v>
      </c>
      <c r="AP64" s="110">
        <f t="shared" si="4"/>
        <v>21.004651162790697</v>
      </c>
      <c r="AQ64" s="110">
        <f t="shared" si="2"/>
        <v>1.1962913907284769</v>
      </c>
      <c r="AR64" s="108">
        <v>19</v>
      </c>
      <c r="AS64" s="108">
        <v>816</v>
      </c>
      <c r="AT64" s="108">
        <v>3775</v>
      </c>
    </row>
    <row r="65" spans="1:46" ht="13.5" thickBot="1" x14ac:dyDescent="0.25">
      <c r="A65" s="48" t="s">
        <v>100</v>
      </c>
      <c r="B65" s="47" t="s">
        <v>99</v>
      </c>
      <c r="C65" s="48" t="s">
        <v>34</v>
      </c>
      <c r="D65" s="48" t="s">
        <v>1649</v>
      </c>
      <c r="E65" s="48" t="s">
        <v>1648</v>
      </c>
      <c r="F65" s="108">
        <v>10</v>
      </c>
      <c r="G65" s="108">
        <v>210</v>
      </c>
      <c r="H65" s="108">
        <v>3</v>
      </c>
      <c r="I65" s="108">
        <v>11</v>
      </c>
      <c r="J65" s="108">
        <v>0</v>
      </c>
      <c r="K65" s="108">
        <v>0</v>
      </c>
      <c r="L65" s="108">
        <v>0</v>
      </c>
      <c r="M65" s="108">
        <v>0</v>
      </c>
      <c r="N65" s="108">
        <v>13</v>
      </c>
      <c r="O65" s="108">
        <v>2</v>
      </c>
      <c r="P65" s="108">
        <v>15</v>
      </c>
      <c r="Q65" s="108">
        <v>0</v>
      </c>
      <c r="R65" s="108">
        <v>0</v>
      </c>
      <c r="S65" s="108">
        <v>10</v>
      </c>
      <c r="T65" s="108">
        <v>210</v>
      </c>
      <c r="U65" s="109" t="s">
        <v>1649</v>
      </c>
      <c r="V65" s="108">
        <v>0</v>
      </c>
      <c r="W65" s="108">
        <v>0</v>
      </c>
      <c r="X65" s="108">
        <v>0</v>
      </c>
      <c r="Y65" s="108">
        <v>0</v>
      </c>
      <c r="Z65" s="108">
        <v>3</v>
      </c>
      <c r="AA65" s="108">
        <v>11</v>
      </c>
      <c r="AB65" s="108">
        <v>0</v>
      </c>
      <c r="AC65" s="108">
        <v>0</v>
      </c>
      <c r="AD65" s="108">
        <v>4</v>
      </c>
      <c r="AE65" s="108">
        <v>100</v>
      </c>
      <c r="AF65" s="108">
        <v>0</v>
      </c>
      <c r="AG65" s="108">
        <v>0</v>
      </c>
      <c r="AH65" s="108">
        <v>44</v>
      </c>
      <c r="AI65" s="108">
        <v>915</v>
      </c>
      <c r="AJ65" s="108">
        <v>0</v>
      </c>
      <c r="AK65" s="108">
        <v>0</v>
      </c>
      <c r="AL65" s="108">
        <v>61</v>
      </c>
      <c r="AM65" s="108">
        <v>1236</v>
      </c>
      <c r="AN65" s="108">
        <f t="shared" si="0"/>
        <v>61</v>
      </c>
      <c r="AO65" s="108">
        <f t="shared" si="1"/>
        <v>1236</v>
      </c>
      <c r="AP65" s="110">
        <f t="shared" si="4"/>
        <v>20.262295081967213</v>
      </c>
      <c r="AQ65" s="110">
        <f t="shared" si="2"/>
        <v>0.42083758937691523</v>
      </c>
      <c r="AR65" s="108">
        <v>21</v>
      </c>
      <c r="AS65" s="108">
        <v>600</v>
      </c>
      <c r="AT65" s="108">
        <v>2937</v>
      </c>
    </row>
    <row r="66" spans="1:46" ht="13.5" thickBot="1" x14ac:dyDescent="0.25">
      <c r="A66" s="48" t="s">
        <v>176</v>
      </c>
      <c r="B66" s="47" t="s">
        <v>175</v>
      </c>
      <c r="C66" s="48" t="s">
        <v>34</v>
      </c>
      <c r="D66" s="48" t="s">
        <v>1648</v>
      </c>
      <c r="E66" s="48" t="s">
        <v>1648</v>
      </c>
      <c r="F66" s="108">
        <v>124</v>
      </c>
      <c r="G66" s="108">
        <v>1025</v>
      </c>
      <c r="H66" s="108">
        <v>6</v>
      </c>
      <c r="I66" s="108">
        <v>7</v>
      </c>
      <c r="J66" s="108">
        <v>8</v>
      </c>
      <c r="K66" s="108">
        <v>90</v>
      </c>
      <c r="L66" s="108">
        <v>0</v>
      </c>
      <c r="M66" s="108">
        <v>0</v>
      </c>
      <c r="N66" s="108">
        <v>60</v>
      </c>
      <c r="O66" s="108">
        <v>17</v>
      </c>
      <c r="P66" s="108">
        <v>77</v>
      </c>
      <c r="Q66" s="108">
        <v>12</v>
      </c>
      <c r="R66" s="108">
        <v>104</v>
      </c>
      <c r="S66" s="108">
        <v>132</v>
      </c>
      <c r="T66" s="108">
        <v>1115</v>
      </c>
      <c r="U66" s="109" t="s">
        <v>1648</v>
      </c>
      <c r="V66" s="108">
        <v>98</v>
      </c>
      <c r="W66" s="108">
        <v>602</v>
      </c>
      <c r="X66" s="108">
        <v>0</v>
      </c>
      <c r="Y66" s="108">
        <v>0</v>
      </c>
      <c r="Z66" s="108">
        <v>6</v>
      </c>
      <c r="AA66" s="108">
        <v>7</v>
      </c>
      <c r="AB66" s="108">
        <v>5</v>
      </c>
      <c r="AC66" s="108">
        <v>14</v>
      </c>
      <c r="AD66" s="108">
        <v>13</v>
      </c>
      <c r="AE66" s="108">
        <v>75</v>
      </c>
      <c r="AF66" s="108">
        <v>0</v>
      </c>
      <c r="AG66" s="108">
        <v>0</v>
      </c>
      <c r="AH66" s="108">
        <v>40</v>
      </c>
      <c r="AI66" s="108">
        <v>368</v>
      </c>
      <c r="AJ66" s="108">
        <v>17</v>
      </c>
      <c r="AK66" s="108">
        <v>118</v>
      </c>
      <c r="AL66" s="108">
        <v>191</v>
      </c>
      <c r="AM66" s="108">
        <v>1565</v>
      </c>
      <c r="AN66" s="108">
        <f t="shared" si="0"/>
        <v>208</v>
      </c>
      <c r="AO66" s="108">
        <f t="shared" si="1"/>
        <v>1683</v>
      </c>
      <c r="AP66" s="110">
        <f t="shared" si="4"/>
        <v>8.0913461538461533</v>
      </c>
      <c r="AQ66" s="110">
        <f t="shared" si="2"/>
        <v>0.46698113207547171</v>
      </c>
      <c r="AR66" s="108">
        <v>25</v>
      </c>
      <c r="AS66" s="108">
        <v>1070</v>
      </c>
      <c r="AT66" s="108">
        <v>3604</v>
      </c>
    </row>
    <row r="67" spans="1:46" ht="13.5" thickBot="1" x14ac:dyDescent="0.25">
      <c r="A67" s="48" t="s">
        <v>258</v>
      </c>
      <c r="B67" s="47" t="s">
        <v>257</v>
      </c>
      <c r="C67" s="48" t="s">
        <v>34</v>
      </c>
      <c r="D67" s="48" t="s">
        <v>1649</v>
      </c>
      <c r="E67" s="48" t="s">
        <v>1648</v>
      </c>
      <c r="F67" s="108">
        <v>66</v>
      </c>
      <c r="G67" s="108">
        <v>1296</v>
      </c>
      <c r="H67" s="108">
        <v>0</v>
      </c>
      <c r="I67" s="108">
        <v>0</v>
      </c>
      <c r="J67" s="108">
        <v>12</v>
      </c>
      <c r="K67" s="108">
        <v>110</v>
      </c>
      <c r="L67" s="108">
        <v>1</v>
      </c>
      <c r="M67" s="108">
        <v>19</v>
      </c>
      <c r="N67" s="108">
        <v>153</v>
      </c>
      <c r="O67" s="108">
        <v>22</v>
      </c>
      <c r="P67" s="108">
        <v>175</v>
      </c>
      <c r="Q67" s="108">
        <v>0</v>
      </c>
      <c r="R67" s="108">
        <v>0</v>
      </c>
      <c r="S67" s="108">
        <v>78</v>
      </c>
      <c r="T67" s="108">
        <v>1406</v>
      </c>
      <c r="U67" s="109" t="s">
        <v>1648</v>
      </c>
      <c r="V67" s="108">
        <v>58</v>
      </c>
      <c r="W67" s="108">
        <v>560</v>
      </c>
      <c r="X67" s="108">
        <v>0</v>
      </c>
      <c r="Y67" s="108">
        <v>0</v>
      </c>
      <c r="Z67" s="108">
        <v>1</v>
      </c>
      <c r="AA67" s="108">
        <v>19</v>
      </c>
      <c r="AB67" s="108">
        <v>0</v>
      </c>
      <c r="AC67" s="108">
        <v>0</v>
      </c>
      <c r="AD67" s="108">
        <v>21</v>
      </c>
      <c r="AE67" s="108">
        <v>986</v>
      </c>
      <c r="AF67" s="108">
        <v>0</v>
      </c>
      <c r="AG67" s="108">
        <v>0</v>
      </c>
      <c r="AH67" s="108">
        <v>10</v>
      </c>
      <c r="AI67" s="108">
        <v>324</v>
      </c>
      <c r="AJ67" s="108">
        <v>0</v>
      </c>
      <c r="AK67" s="108">
        <v>0</v>
      </c>
      <c r="AL67" s="108">
        <v>110</v>
      </c>
      <c r="AM67" s="108">
        <v>2735</v>
      </c>
      <c r="AN67" s="108">
        <f t="shared" si="0"/>
        <v>110</v>
      </c>
      <c r="AO67" s="108">
        <f t="shared" si="1"/>
        <v>2735</v>
      </c>
      <c r="AP67" s="110">
        <f t="shared" si="4"/>
        <v>24.863636363636363</v>
      </c>
      <c r="AQ67" s="110">
        <f t="shared" si="2"/>
        <v>0.73167469234884963</v>
      </c>
      <c r="AR67" s="108">
        <v>42</v>
      </c>
      <c r="AS67" s="108">
        <v>969</v>
      </c>
      <c r="AT67" s="108">
        <v>3738</v>
      </c>
    </row>
    <row r="68" spans="1:46" ht="13.5" thickBot="1" x14ac:dyDescent="0.25">
      <c r="A68" s="48" t="s">
        <v>82</v>
      </c>
      <c r="B68" s="47" t="s">
        <v>81</v>
      </c>
      <c r="C68" s="48" t="s">
        <v>34</v>
      </c>
      <c r="D68" s="48" t="s">
        <v>1648</v>
      </c>
      <c r="E68" s="48" t="s">
        <v>1648</v>
      </c>
      <c r="F68" s="108">
        <v>48</v>
      </c>
      <c r="G68" s="108">
        <v>321</v>
      </c>
      <c r="H68" s="108">
        <v>13</v>
      </c>
      <c r="I68" s="108">
        <v>365</v>
      </c>
      <c r="J68" s="108">
        <v>10</v>
      </c>
      <c r="K68" s="108">
        <v>600</v>
      </c>
      <c r="L68" s="108">
        <v>0</v>
      </c>
      <c r="M68" s="108">
        <v>0</v>
      </c>
      <c r="N68" s="108">
        <v>116</v>
      </c>
      <c r="O68" s="108">
        <v>0</v>
      </c>
      <c r="P68" s="108">
        <v>116</v>
      </c>
      <c r="Q68" s="108">
        <v>1</v>
      </c>
      <c r="R68" s="108">
        <v>23</v>
      </c>
      <c r="S68" s="108">
        <v>58</v>
      </c>
      <c r="T68" s="108">
        <v>921</v>
      </c>
      <c r="U68" s="109" t="s">
        <v>1648</v>
      </c>
      <c r="V68" s="108">
        <v>48</v>
      </c>
      <c r="W68" s="108">
        <v>600</v>
      </c>
      <c r="X68" s="108">
        <v>0</v>
      </c>
      <c r="Y68" s="108">
        <v>0</v>
      </c>
      <c r="Z68" s="108">
        <v>13</v>
      </c>
      <c r="AA68" s="108">
        <v>365</v>
      </c>
      <c r="AB68" s="108">
        <v>3</v>
      </c>
      <c r="AC68" s="108">
        <v>18</v>
      </c>
      <c r="AD68" s="108">
        <v>20</v>
      </c>
      <c r="AE68" s="108">
        <v>998</v>
      </c>
      <c r="AF68" s="108">
        <v>0</v>
      </c>
      <c r="AG68" s="108">
        <v>0</v>
      </c>
      <c r="AH68" s="108">
        <v>0</v>
      </c>
      <c r="AI68" s="108">
        <v>0</v>
      </c>
      <c r="AJ68" s="108">
        <v>4</v>
      </c>
      <c r="AK68" s="108">
        <v>41</v>
      </c>
      <c r="AL68" s="108">
        <v>91</v>
      </c>
      <c r="AM68" s="108">
        <v>2284</v>
      </c>
      <c r="AN68" s="108">
        <f t="shared" ref="AN68:AN131" si="5">AL68+AJ68</f>
        <v>95</v>
      </c>
      <c r="AO68" s="108">
        <f t="shared" ref="AO68:AO131" si="6">AM68+AK68</f>
        <v>2325</v>
      </c>
      <c r="AP68" s="110">
        <f t="shared" si="4"/>
        <v>24.473684210526315</v>
      </c>
      <c r="AQ68" s="110">
        <f t="shared" ref="AQ68:AQ131" si="7">AO68/AT68</f>
        <v>0.61687450252056253</v>
      </c>
      <c r="AR68" s="108">
        <v>58</v>
      </c>
      <c r="AS68" s="108">
        <v>1730</v>
      </c>
      <c r="AT68" s="108">
        <v>3769</v>
      </c>
    </row>
    <row r="69" spans="1:46" ht="13.5" thickBot="1" x14ac:dyDescent="0.25">
      <c r="A69" s="48" t="s">
        <v>204</v>
      </c>
      <c r="B69" s="47" t="s">
        <v>203</v>
      </c>
      <c r="C69" s="48" t="s">
        <v>34</v>
      </c>
      <c r="D69" s="48" t="s">
        <v>1648</v>
      </c>
      <c r="E69" s="48" t="s">
        <v>1648</v>
      </c>
      <c r="F69" s="108">
        <v>38</v>
      </c>
      <c r="G69" s="108">
        <v>462</v>
      </c>
      <c r="H69" s="108">
        <v>4</v>
      </c>
      <c r="I69" s="108">
        <v>18</v>
      </c>
      <c r="J69" s="108">
        <v>32</v>
      </c>
      <c r="K69" s="108">
        <v>215</v>
      </c>
      <c r="L69" s="108">
        <v>4</v>
      </c>
      <c r="M69" s="108">
        <v>20</v>
      </c>
      <c r="N69" s="108">
        <v>68</v>
      </c>
      <c r="O69" s="108">
        <v>10</v>
      </c>
      <c r="P69" s="108">
        <v>78</v>
      </c>
      <c r="Q69" s="108">
        <v>62</v>
      </c>
      <c r="R69" s="108">
        <v>60</v>
      </c>
      <c r="S69" s="108">
        <v>70</v>
      </c>
      <c r="T69" s="108">
        <v>677</v>
      </c>
      <c r="U69" s="109" t="s">
        <v>1648</v>
      </c>
      <c r="V69" s="108">
        <v>30</v>
      </c>
      <c r="W69" s="108">
        <v>360</v>
      </c>
      <c r="X69" s="108">
        <v>0</v>
      </c>
      <c r="Y69" s="108">
        <v>0</v>
      </c>
      <c r="Z69" s="108">
        <v>8</v>
      </c>
      <c r="AA69" s="108">
        <v>38</v>
      </c>
      <c r="AB69" s="108">
        <v>3</v>
      </c>
      <c r="AC69" s="108">
        <v>15</v>
      </c>
      <c r="AD69" s="108">
        <v>38</v>
      </c>
      <c r="AE69" s="108">
        <v>456</v>
      </c>
      <c r="AF69" s="108">
        <v>0</v>
      </c>
      <c r="AG69" s="108">
        <v>0</v>
      </c>
      <c r="AH69" s="108">
        <v>2</v>
      </c>
      <c r="AI69" s="108">
        <v>61</v>
      </c>
      <c r="AJ69" s="108">
        <v>65</v>
      </c>
      <c r="AK69" s="108">
        <v>75</v>
      </c>
      <c r="AL69" s="108">
        <v>118</v>
      </c>
      <c r="AM69" s="108">
        <v>1232</v>
      </c>
      <c r="AN69" s="108">
        <f t="shared" si="5"/>
        <v>183</v>
      </c>
      <c r="AO69" s="108">
        <f t="shared" si="6"/>
        <v>1307</v>
      </c>
      <c r="AP69" s="110">
        <f t="shared" si="4"/>
        <v>7.1420765027322402</v>
      </c>
      <c r="AQ69" s="110">
        <f t="shared" si="7"/>
        <v>0.40489467162329618</v>
      </c>
      <c r="AR69" s="108">
        <v>65</v>
      </c>
      <c r="AS69" s="108">
        <v>75</v>
      </c>
      <c r="AT69" s="108">
        <v>3228</v>
      </c>
    </row>
    <row r="70" spans="1:46" ht="13.5" thickBot="1" x14ac:dyDescent="0.25">
      <c r="A70" s="48" t="s">
        <v>45</v>
      </c>
      <c r="B70" s="47" t="s">
        <v>44</v>
      </c>
      <c r="C70" s="48" t="s">
        <v>17</v>
      </c>
      <c r="D70" s="48" t="s">
        <v>1648</v>
      </c>
      <c r="E70" s="48" t="s">
        <v>1649</v>
      </c>
      <c r="F70" s="108">
        <v>13</v>
      </c>
      <c r="G70" s="108">
        <v>270</v>
      </c>
      <c r="H70" s="108">
        <v>0</v>
      </c>
      <c r="I70" s="108">
        <v>0</v>
      </c>
      <c r="J70" s="108">
        <v>0</v>
      </c>
      <c r="K70" s="108">
        <v>0</v>
      </c>
      <c r="L70" s="108">
        <v>0</v>
      </c>
      <c r="M70" s="108">
        <v>0</v>
      </c>
      <c r="N70" s="108">
        <v>42</v>
      </c>
      <c r="O70" s="108">
        <v>0</v>
      </c>
      <c r="P70" s="108">
        <v>42</v>
      </c>
      <c r="Q70" s="108">
        <v>1</v>
      </c>
      <c r="R70" s="108">
        <v>18</v>
      </c>
      <c r="S70" s="108">
        <v>13</v>
      </c>
      <c r="T70" s="108">
        <v>270</v>
      </c>
      <c r="U70" s="109" t="s">
        <v>1648</v>
      </c>
      <c r="V70" s="108">
        <v>13</v>
      </c>
      <c r="W70" s="108">
        <v>270</v>
      </c>
      <c r="X70" s="109">
        <v>0</v>
      </c>
      <c r="Y70" s="108">
        <v>0</v>
      </c>
      <c r="Z70" s="108">
        <v>0</v>
      </c>
      <c r="AA70" s="108">
        <v>0</v>
      </c>
      <c r="AB70" s="108">
        <v>0</v>
      </c>
      <c r="AC70" s="108">
        <v>0</v>
      </c>
      <c r="AD70" s="108">
        <v>2</v>
      </c>
      <c r="AE70" s="108">
        <v>40</v>
      </c>
      <c r="AF70" s="108">
        <v>0</v>
      </c>
      <c r="AG70" s="108">
        <v>0</v>
      </c>
      <c r="AH70" s="108">
        <v>0</v>
      </c>
      <c r="AI70" s="108">
        <v>0</v>
      </c>
      <c r="AJ70" s="108">
        <v>1</v>
      </c>
      <c r="AK70" s="108">
        <v>18</v>
      </c>
      <c r="AL70" s="108">
        <v>15</v>
      </c>
      <c r="AM70" s="108">
        <v>310</v>
      </c>
      <c r="AN70" s="108">
        <f t="shared" si="5"/>
        <v>16</v>
      </c>
      <c r="AO70" s="108">
        <f t="shared" si="6"/>
        <v>328</v>
      </c>
      <c r="AP70" s="110">
        <f t="shared" si="4"/>
        <v>20.5</v>
      </c>
      <c r="AQ70" s="110">
        <f t="shared" si="7"/>
        <v>4.9825307610511925E-2</v>
      </c>
      <c r="AR70" s="108">
        <v>0</v>
      </c>
      <c r="AS70" s="108">
        <v>0</v>
      </c>
      <c r="AT70" s="108">
        <v>6583</v>
      </c>
    </row>
    <row r="71" spans="1:46" ht="13.5" thickBot="1" x14ac:dyDescent="0.25">
      <c r="A71" s="48" t="s">
        <v>60</v>
      </c>
      <c r="B71" s="47" t="s">
        <v>59</v>
      </c>
      <c r="C71" s="48" t="s">
        <v>17</v>
      </c>
      <c r="D71" s="48" t="s">
        <v>1649</v>
      </c>
      <c r="E71" s="48" t="s">
        <v>1649</v>
      </c>
      <c r="F71" s="108">
        <v>0</v>
      </c>
      <c r="G71" s="108">
        <v>0</v>
      </c>
      <c r="H71" s="108">
        <v>30</v>
      </c>
      <c r="I71" s="108">
        <v>1260</v>
      </c>
      <c r="J71" s="108">
        <v>6</v>
      </c>
      <c r="K71" s="108">
        <v>10</v>
      </c>
      <c r="L71" s="108">
        <v>0</v>
      </c>
      <c r="M71" s="108">
        <v>0</v>
      </c>
      <c r="N71" s="108">
        <v>10</v>
      </c>
      <c r="O71" s="108">
        <v>0</v>
      </c>
      <c r="P71" s="108">
        <v>10</v>
      </c>
      <c r="Q71" s="108">
        <v>0</v>
      </c>
      <c r="R71" s="108">
        <v>0</v>
      </c>
      <c r="S71" s="108">
        <v>6</v>
      </c>
      <c r="T71" s="108">
        <v>10</v>
      </c>
      <c r="U71" s="109" t="s">
        <v>1648</v>
      </c>
      <c r="V71" s="108">
        <v>6</v>
      </c>
      <c r="W71" s="108">
        <v>6</v>
      </c>
      <c r="X71" s="108">
        <v>0</v>
      </c>
      <c r="Y71" s="108">
        <v>0</v>
      </c>
      <c r="Z71" s="108">
        <v>30</v>
      </c>
      <c r="AA71" s="108">
        <v>1260</v>
      </c>
      <c r="AB71" s="108">
        <v>0</v>
      </c>
      <c r="AC71" s="108">
        <v>0</v>
      </c>
      <c r="AD71" s="108">
        <v>0</v>
      </c>
      <c r="AE71" s="108">
        <v>0</v>
      </c>
      <c r="AF71" s="108">
        <v>0</v>
      </c>
      <c r="AG71" s="108">
        <v>0</v>
      </c>
      <c r="AH71" s="108">
        <v>0</v>
      </c>
      <c r="AI71" s="108">
        <v>0</v>
      </c>
      <c r="AJ71" s="108">
        <v>0</v>
      </c>
      <c r="AK71" s="108">
        <v>0</v>
      </c>
      <c r="AL71" s="108">
        <v>36</v>
      </c>
      <c r="AM71" s="108">
        <v>1270</v>
      </c>
      <c r="AN71" s="108">
        <f t="shared" si="5"/>
        <v>36</v>
      </c>
      <c r="AO71" s="108">
        <f t="shared" si="6"/>
        <v>1270</v>
      </c>
      <c r="AP71" s="110">
        <f t="shared" si="4"/>
        <v>35.277777777777779</v>
      </c>
      <c r="AQ71" s="110">
        <f t="shared" si="7"/>
        <v>0.29777256740914421</v>
      </c>
      <c r="AR71" s="108">
        <v>0</v>
      </c>
      <c r="AS71" s="108">
        <v>0</v>
      </c>
      <c r="AT71" s="108">
        <v>4265</v>
      </c>
    </row>
    <row r="72" spans="1:46" ht="13.5" thickBot="1" x14ac:dyDescent="0.25">
      <c r="A72" s="48" t="s">
        <v>74</v>
      </c>
      <c r="B72" s="47" t="s">
        <v>73</v>
      </c>
      <c r="C72" s="48" t="s">
        <v>17</v>
      </c>
      <c r="D72" s="48" t="s">
        <v>1649</v>
      </c>
      <c r="E72" s="48" t="s">
        <v>1649</v>
      </c>
      <c r="F72" s="108">
        <v>1</v>
      </c>
      <c r="G72" s="108">
        <v>102</v>
      </c>
      <c r="H72" s="108">
        <v>0</v>
      </c>
      <c r="I72" s="108">
        <v>0</v>
      </c>
      <c r="J72" s="108">
        <v>5</v>
      </c>
      <c r="K72" s="108">
        <v>127</v>
      </c>
      <c r="L72" s="108">
        <v>0</v>
      </c>
      <c r="M72" s="108">
        <v>0</v>
      </c>
      <c r="N72" s="108">
        <v>56</v>
      </c>
      <c r="O72" s="108">
        <v>0</v>
      </c>
      <c r="P72" s="108">
        <v>56</v>
      </c>
      <c r="Q72" s="108">
        <v>0</v>
      </c>
      <c r="R72" s="108">
        <v>0</v>
      </c>
      <c r="S72" s="108">
        <v>6</v>
      </c>
      <c r="T72" s="108">
        <v>229</v>
      </c>
      <c r="U72" s="109" t="s">
        <v>1649</v>
      </c>
      <c r="V72" s="108">
        <v>0</v>
      </c>
      <c r="W72" s="108">
        <v>0</v>
      </c>
      <c r="X72" s="108">
        <v>0</v>
      </c>
      <c r="Y72" s="108">
        <v>0</v>
      </c>
      <c r="Z72" s="108">
        <v>0</v>
      </c>
      <c r="AA72" s="108">
        <v>0</v>
      </c>
      <c r="AB72" s="108">
        <v>0</v>
      </c>
      <c r="AC72" s="108">
        <v>0</v>
      </c>
      <c r="AD72" s="108">
        <v>0</v>
      </c>
      <c r="AE72" s="108">
        <v>0</v>
      </c>
      <c r="AF72" s="108">
        <v>0</v>
      </c>
      <c r="AG72" s="108">
        <v>0</v>
      </c>
      <c r="AH72" s="108">
        <v>0</v>
      </c>
      <c r="AI72" s="108">
        <v>0</v>
      </c>
      <c r="AJ72" s="108">
        <v>0</v>
      </c>
      <c r="AK72" s="108">
        <v>0</v>
      </c>
      <c r="AL72" s="108">
        <v>6</v>
      </c>
      <c r="AM72" s="108">
        <v>229</v>
      </c>
      <c r="AN72" s="108">
        <f t="shared" si="5"/>
        <v>6</v>
      </c>
      <c r="AO72" s="108">
        <f t="shared" si="6"/>
        <v>229</v>
      </c>
      <c r="AP72" s="110">
        <f t="shared" si="4"/>
        <v>38.166666666666664</v>
      </c>
      <c r="AQ72" s="110">
        <f t="shared" si="7"/>
        <v>5.6196319018404911E-2</v>
      </c>
      <c r="AR72" s="108">
        <v>0</v>
      </c>
      <c r="AS72" s="108">
        <v>0</v>
      </c>
      <c r="AT72" s="108">
        <v>4075</v>
      </c>
    </row>
    <row r="73" spans="1:46" ht="13.5" thickBot="1" x14ac:dyDescent="0.25">
      <c r="A73" s="48" t="s">
        <v>98</v>
      </c>
      <c r="B73" s="47" t="s">
        <v>97</v>
      </c>
      <c r="C73" s="48" t="s">
        <v>17</v>
      </c>
      <c r="D73" s="48" t="s">
        <v>1649</v>
      </c>
      <c r="E73" s="48" t="s">
        <v>1649</v>
      </c>
      <c r="F73" s="108">
        <v>13</v>
      </c>
      <c r="G73" s="108">
        <v>262</v>
      </c>
      <c r="H73" s="108">
        <v>0</v>
      </c>
      <c r="I73" s="108">
        <v>0</v>
      </c>
      <c r="J73" s="108">
        <v>10</v>
      </c>
      <c r="K73" s="108">
        <v>102</v>
      </c>
      <c r="L73" s="108">
        <v>0</v>
      </c>
      <c r="M73" s="108">
        <v>0</v>
      </c>
      <c r="N73" s="108">
        <v>34</v>
      </c>
      <c r="O73" s="108">
        <v>5</v>
      </c>
      <c r="P73" s="108">
        <v>39</v>
      </c>
      <c r="Q73" s="108">
        <v>0</v>
      </c>
      <c r="R73" s="108">
        <v>0</v>
      </c>
      <c r="S73" s="108">
        <v>23</v>
      </c>
      <c r="T73" s="108">
        <v>364</v>
      </c>
      <c r="U73" s="109" t="s">
        <v>1648</v>
      </c>
      <c r="V73" s="108">
        <v>9</v>
      </c>
      <c r="W73" s="108">
        <v>101</v>
      </c>
      <c r="X73" s="108">
        <v>0</v>
      </c>
      <c r="Y73" s="108">
        <v>0</v>
      </c>
      <c r="Z73" s="108">
        <v>0</v>
      </c>
      <c r="AA73" s="108">
        <v>0</v>
      </c>
      <c r="AB73" s="108">
        <v>0</v>
      </c>
      <c r="AC73" s="108">
        <v>0</v>
      </c>
      <c r="AD73" s="108">
        <v>0</v>
      </c>
      <c r="AE73" s="108">
        <v>0</v>
      </c>
      <c r="AF73" s="108">
        <v>0</v>
      </c>
      <c r="AG73" s="108">
        <v>0</v>
      </c>
      <c r="AH73" s="108">
        <v>0</v>
      </c>
      <c r="AI73" s="108">
        <v>0</v>
      </c>
      <c r="AJ73" s="108">
        <v>0</v>
      </c>
      <c r="AK73" s="108">
        <v>0</v>
      </c>
      <c r="AL73" s="108">
        <v>23</v>
      </c>
      <c r="AM73" s="108">
        <v>364</v>
      </c>
      <c r="AN73" s="108">
        <f t="shared" si="5"/>
        <v>23</v>
      </c>
      <c r="AO73" s="108">
        <f t="shared" si="6"/>
        <v>364</v>
      </c>
      <c r="AP73" s="110">
        <f t="shared" si="4"/>
        <v>15.826086956521738</v>
      </c>
      <c r="AQ73" s="110">
        <f t="shared" si="7"/>
        <v>6.723309937199852E-2</v>
      </c>
      <c r="AR73" s="108">
        <v>0</v>
      </c>
      <c r="AS73" s="108">
        <v>0</v>
      </c>
      <c r="AT73" s="108">
        <v>5414</v>
      </c>
    </row>
    <row r="74" spans="1:46" ht="13.5" thickBot="1" x14ac:dyDescent="0.25">
      <c r="A74" s="48" t="s">
        <v>120</v>
      </c>
      <c r="B74" s="47" t="s">
        <v>119</v>
      </c>
      <c r="C74" s="48" t="s">
        <v>17</v>
      </c>
      <c r="D74" s="48" t="s">
        <v>1648</v>
      </c>
      <c r="E74" s="48" t="s">
        <v>1648</v>
      </c>
      <c r="F74" s="108">
        <v>155</v>
      </c>
      <c r="G74" s="108">
        <v>2593</v>
      </c>
      <c r="H74" s="108">
        <v>16</v>
      </c>
      <c r="I74" s="108">
        <v>299</v>
      </c>
      <c r="J74" s="108">
        <v>1</v>
      </c>
      <c r="K74" s="108">
        <v>20</v>
      </c>
      <c r="L74" s="108">
        <v>0</v>
      </c>
      <c r="M74" s="108">
        <v>0</v>
      </c>
      <c r="N74" s="108">
        <v>54</v>
      </c>
      <c r="O74" s="108">
        <v>14</v>
      </c>
      <c r="P74" s="108">
        <v>68</v>
      </c>
      <c r="Q74" s="108">
        <v>0</v>
      </c>
      <c r="R74" s="108">
        <v>0</v>
      </c>
      <c r="S74" s="108">
        <v>156</v>
      </c>
      <c r="T74" s="108">
        <v>2613</v>
      </c>
      <c r="U74" s="109" t="s">
        <v>1648</v>
      </c>
      <c r="V74" s="108">
        <v>93</v>
      </c>
      <c r="W74" s="108">
        <v>660</v>
      </c>
      <c r="X74" s="108">
        <v>0</v>
      </c>
      <c r="Y74" s="108">
        <v>0</v>
      </c>
      <c r="Z74" s="108">
        <v>16</v>
      </c>
      <c r="AA74" s="108">
        <v>299</v>
      </c>
      <c r="AB74" s="108">
        <v>0</v>
      </c>
      <c r="AC74" s="108">
        <v>0</v>
      </c>
      <c r="AD74" s="108">
        <v>75</v>
      </c>
      <c r="AE74" s="108">
        <v>619</v>
      </c>
      <c r="AF74" s="108">
        <v>1</v>
      </c>
      <c r="AG74" s="108">
        <v>50</v>
      </c>
      <c r="AH74" s="108">
        <v>13</v>
      </c>
      <c r="AI74" s="108">
        <v>464</v>
      </c>
      <c r="AJ74" s="108">
        <v>1</v>
      </c>
      <c r="AK74" s="108">
        <v>50</v>
      </c>
      <c r="AL74" s="108">
        <v>260</v>
      </c>
      <c r="AM74" s="108">
        <v>3995</v>
      </c>
      <c r="AN74" s="108">
        <f t="shared" si="5"/>
        <v>261</v>
      </c>
      <c r="AO74" s="108">
        <f t="shared" si="6"/>
        <v>4045</v>
      </c>
      <c r="AP74" s="110">
        <f t="shared" si="4"/>
        <v>15.498084291187739</v>
      </c>
      <c r="AQ74" s="110">
        <f t="shared" si="7"/>
        <v>0.64247141041931388</v>
      </c>
      <c r="AR74" s="108">
        <v>0</v>
      </c>
      <c r="AS74" s="108">
        <v>0</v>
      </c>
      <c r="AT74" s="108">
        <v>6296</v>
      </c>
    </row>
    <row r="75" spans="1:46" ht="13.5" thickBot="1" x14ac:dyDescent="0.25">
      <c r="A75" s="48" t="s">
        <v>126</v>
      </c>
      <c r="B75" s="47" t="s">
        <v>125</v>
      </c>
      <c r="C75" s="48" t="s">
        <v>17</v>
      </c>
      <c r="D75" s="48" t="s">
        <v>1649</v>
      </c>
      <c r="E75" s="48" t="s">
        <v>1649</v>
      </c>
      <c r="F75" s="108">
        <v>1</v>
      </c>
      <c r="G75" s="108">
        <v>55</v>
      </c>
      <c r="H75" s="108">
        <v>2</v>
      </c>
      <c r="I75" s="108">
        <v>40</v>
      </c>
      <c r="J75" s="108">
        <v>1</v>
      </c>
      <c r="K75" s="108">
        <v>65</v>
      </c>
      <c r="L75" s="108">
        <v>1</v>
      </c>
      <c r="M75" s="108">
        <v>26</v>
      </c>
      <c r="N75" s="108">
        <v>67</v>
      </c>
      <c r="O75" s="108">
        <v>9</v>
      </c>
      <c r="P75" s="108">
        <v>76</v>
      </c>
      <c r="Q75" s="108">
        <v>0</v>
      </c>
      <c r="R75" s="108">
        <v>0</v>
      </c>
      <c r="S75" s="108">
        <v>2</v>
      </c>
      <c r="T75" s="108">
        <v>120</v>
      </c>
      <c r="U75" s="109" t="s">
        <v>1649</v>
      </c>
      <c r="V75" s="108">
        <v>0</v>
      </c>
      <c r="W75" s="108">
        <v>0</v>
      </c>
      <c r="X75" s="108">
        <v>0</v>
      </c>
      <c r="Y75" s="108">
        <v>0</v>
      </c>
      <c r="Z75" s="108">
        <v>3</v>
      </c>
      <c r="AA75" s="108">
        <v>66</v>
      </c>
      <c r="AB75" s="108">
        <v>0</v>
      </c>
      <c r="AC75" s="108">
        <v>0</v>
      </c>
      <c r="AD75" s="108">
        <v>1</v>
      </c>
      <c r="AE75" s="108">
        <v>18</v>
      </c>
      <c r="AF75" s="108">
        <v>0</v>
      </c>
      <c r="AG75" s="108">
        <v>0</v>
      </c>
      <c r="AH75" s="108">
        <v>1</v>
      </c>
      <c r="AI75" s="108">
        <v>123</v>
      </c>
      <c r="AJ75" s="108">
        <v>0</v>
      </c>
      <c r="AK75" s="108">
        <v>0</v>
      </c>
      <c r="AL75" s="108">
        <v>7</v>
      </c>
      <c r="AM75" s="108">
        <v>327</v>
      </c>
      <c r="AN75" s="108">
        <f t="shared" si="5"/>
        <v>7</v>
      </c>
      <c r="AO75" s="108">
        <f t="shared" si="6"/>
        <v>327</v>
      </c>
      <c r="AP75" s="110">
        <f t="shared" si="4"/>
        <v>46.714285714285715</v>
      </c>
      <c r="AQ75" s="110">
        <f t="shared" si="7"/>
        <v>8.1647940074906361E-2</v>
      </c>
      <c r="AR75" s="108">
        <v>0</v>
      </c>
      <c r="AS75" s="108">
        <v>0</v>
      </c>
      <c r="AT75" s="108">
        <v>4005</v>
      </c>
    </row>
    <row r="76" spans="1:46" ht="13.5" thickBot="1" x14ac:dyDescent="0.25">
      <c r="A76" s="48" t="s">
        <v>138</v>
      </c>
      <c r="B76" s="47" t="s">
        <v>137</v>
      </c>
      <c r="C76" s="48" t="s">
        <v>17</v>
      </c>
      <c r="D76" s="48" t="s">
        <v>1648</v>
      </c>
      <c r="E76" s="48" t="s">
        <v>1649</v>
      </c>
      <c r="F76" s="108">
        <v>200</v>
      </c>
      <c r="G76" s="108">
        <v>1800</v>
      </c>
      <c r="H76" s="108">
        <v>3</v>
      </c>
      <c r="I76" s="108">
        <v>4</v>
      </c>
      <c r="J76" s="108">
        <v>26</v>
      </c>
      <c r="K76" s="108">
        <v>140</v>
      </c>
      <c r="L76" s="108">
        <v>4</v>
      </c>
      <c r="M76" s="108">
        <v>4</v>
      </c>
      <c r="N76" s="108">
        <v>30</v>
      </c>
      <c r="O76" s="108">
        <v>4</v>
      </c>
      <c r="P76" s="108">
        <v>34</v>
      </c>
      <c r="Q76" s="108">
        <v>4</v>
      </c>
      <c r="R76" s="108">
        <v>2</v>
      </c>
      <c r="S76" s="108">
        <v>226</v>
      </c>
      <c r="T76" s="108">
        <v>1940</v>
      </c>
      <c r="U76" s="109" t="s">
        <v>1648</v>
      </c>
      <c r="V76" s="108">
        <v>28</v>
      </c>
      <c r="W76" s="108">
        <v>30</v>
      </c>
      <c r="X76" s="108">
        <v>2</v>
      </c>
      <c r="Y76" s="108">
        <v>2</v>
      </c>
      <c r="Z76" s="108">
        <v>7</v>
      </c>
      <c r="AA76" s="108">
        <v>8</v>
      </c>
      <c r="AB76" s="108">
        <v>2</v>
      </c>
      <c r="AC76" s="108">
        <v>0</v>
      </c>
      <c r="AD76" s="108">
        <v>5</v>
      </c>
      <c r="AE76" s="108">
        <v>45</v>
      </c>
      <c r="AF76" s="108">
        <v>2</v>
      </c>
      <c r="AG76" s="108">
        <v>0</v>
      </c>
      <c r="AH76" s="108">
        <v>3</v>
      </c>
      <c r="AI76" s="108">
        <v>80</v>
      </c>
      <c r="AJ76" s="108">
        <v>10</v>
      </c>
      <c r="AK76" s="108">
        <v>4</v>
      </c>
      <c r="AL76" s="108">
        <v>241</v>
      </c>
      <c r="AM76" s="108">
        <v>2073</v>
      </c>
      <c r="AN76" s="108">
        <f t="shared" si="5"/>
        <v>251</v>
      </c>
      <c r="AO76" s="108">
        <f t="shared" si="6"/>
        <v>2077</v>
      </c>
      <c r="AP76" s="110">
        <f t="shared" si="4"/>
        <v>8.2749003984063751</v>
      </c>
      <c r="AQ76" s="110">
        <f t="shared" si="7"/>
        <v>0.49558577905034595</v>
      </c>
      <c r="AR76" s="108">
        <v>0</v>
      </c>
      <c r="AS76" s="108">
        <v>0</v>
      </c>
      <c r="AT76" s="108">
        <v>4191</v>
      </c>
    </row>
    <row r="77" spans="1:46" ht="13.5" thickBot="1" x14ac:dyDescent="0.25">
      <c r="A77" s="48" t="s">
        <v>194</v>
      </c>
      <c r="B77" s="47" t="s">
        <v>193</v>
      </c>
      <c r="C77" s="48" t="s">
        <v>17</v>
      </c>
      <c r="D77" s="48" t="s">
        <v>1648</v>
      </c>
      <c r="E77" s="48" t="s">
        <v>1649</v>
      </c>
      <c r="F77" s="108">
        <v>117</v>
      </c>
      <c r="G77" s="108">
        <v>1272</v>
      </c>
      <c r="H77" s="108">
        <v>3</v>
      </c>
      <c r="I77" s="108">
        <v>19</v>
      </c>
      <c r="J77" s="108">
        <v>15</v>
      </c>
      <c r="K77" s="108">
        <v>569</v>
      </c>
      <c r="L77" s="108">
        <v>2</v>
      </c>
      <c r="M77" s="108">
        <v>19</v>
      </c>
      <c r="N77" s="108">
        <v>77</v>
      </c>
      <c r="O77" s="108">
        <v>25</v>
      </c>
      <c r="P77" s="108">
        <v>102</v>
      </c>
      <c r="Q77" s="108">
        <v>3</v>
      </c>
      <c r="R77" s="108">
        <v>193</v>
      </c>
      <c r="S77" s="108">
        <v>132</v>
      </c>
      <c r="T77" s="108">
        <v>1841</v>
      </c>
      <c r="U77" s="109" t="s">
        <v>1648</v>
      </c>
      <c r="V77" s="108">
        <v>99</v>
      </c>
      <c r="W77" s="108">
        <v>400</v>
      </c>
      <c r="X77" s="108">
        <v>0</v>
      </c>
      <c r="Y77" s="108">
        <v>0</v>
      </c>
      <c r="Z77" s="108">
        <v>5</v>
      </c>
      <c r="AA77" s="108">
        <v>38</v>
      </c>
      <c r="AB77" s="108">
        <v>0</v>
      </c>
      <c r="AC77" s="108">
        <v>0</v>
      </c>
      <c r="AD77" s="108">
        <v>42</v>
      </c>
      <c r="AE77" s="108">
        <v>358</v>
      </c>
      <c r="AF77" s="108">
        <v>0</v>
      </c>
      <c r="AG77" s="108">
        <v>0</v>
      </c>
      <c r="AH77" s="108">
        <v>10</v>
      </c>
      <c r="AI77" s="108">
        <v>805</v>
      </c>
      <c r="AJ77" s="108">
        <v>3</v>
      </c>
      <c r="AK77" s="108">
        <v>193</v>
      </c>
      <c r="AL77" s="108">
        <v>189</v>
      </c>
      <c r="AM77" s="108">
        <v>3042</v>
      </c>
      <c r="AN77" s="108">
        <f t="shared" si="5"/>
        <v>192</v>
      </c>
      <c r="AO77" s="108">
        <f t="shared" si="6"/>
        <v>3235</v>
      </c>
      <c r="AP77" s="110">
        <f t="shared" si="4"/>
        <v>16.848958333333332</v>
      </c>
      <c r="AQ77" s="110">
        <f t="shared" si="7"/>
        <v>0.64881668672282389</v>
      </c>
      <c r="AR77" s="108">
        <v>0</v>
      </c>
      <c r="AS77" s="108">
        <v>0</v>
      </c>
      <c r="AT77" s="108">
        <v>4986</v>
      </c>
    </row>
    <row r="78" spans="1:46" ht="13.5" thickBot="1" x14ac:dyDescent="0.25">
      <c r="A78" s="48" t="s">
        <v>216</v>
      </c>
      <c r="B78" s="47" t="s">
        <v>215</v>
      </c>
      <c r="C78" s="48" t="s">
        <v>17</v>
      </c>
      <c r="D78" s="48" t="s">
        <v>1649</v>
      </c>
      <c r="E78" s="48" t="s">
        <v>1649</v>
      </c>
      <c r="F78" s="108">
        <v>3</v>
      </c>
      <c r="G78" s="108">
        <v>87</v>
      </c>
      <c r="H78" s="108">
        <v>4</v>
      </c>
      <c r="I78" s="108">
        <v>15</v>
      </c>
      <c r="J78" s="108">
        <v>7</v>
      </c>
      <c r="K78" s="108">
        <v>77</v>
      </c>
      <c r="L78" s="108">
        <v>0</v>
      </c>
      <c r="M78" s="108">
        <v>0</v>
      </c>
      <c r="N78" s="108">
        <v>40</v>
      </c>
      <c r="O78" s="108">
        <v>0</v>
      </c>
      <c r="P78" s="108">
        <v>40</v>
      </c>
      <c r="Q78" s="108">
        <v>0</v>
      </c>
      <c r="R78" s="108">
        <v>0</v>
      </c>
      <c r="S78" s="108">
        <v>10</v>
      </c>
      <c r="T78" s="108">
        <v>164</v>
      </c>
      <c r="U78" s="109" t="s">
        <v>1648</v>
      </c>
      <c r="V78" s="108">
        <v>1</v>
      </c>
      <c r="W78" s="108">
        <v>35</v>
      </c>
      <c r="X78" s="108">
        <v>0</v>
      </c>
      <c r="Y78" s="108">
        <v>0</v>
      </c>
      <c r="Z78" s="108">
        <v>4</v>
      </c>
      <c r="AA78" s="108">
        <v>15</v>
      </c>
      <c r="AB78" s="108">
        <v>0</v>
      </c>
      <c r="AC78" s="108">
        <v>0</v>
      </c>
      <c r="AD78" s="108">
        <v>8</v>
      </c>
      <c r="AE78" s="108">
        <v>46</v>
      </c>
      <c r="AF78" s="108">
        <v>0</v>
      </c>
      <c r="AG78" s="108">
        <v>0</v>
      </c>
      <c r="AH78" s="108">
        <v>4</v>
      </c>
      <c r="AI78" s="108">
        <v>89</v>
      </c>
      <c r="AJ78" s="108">
        <v>0</v>
      </c>
      <c r="AK78" s="108">
        <v>0</v>
      </c>
      <c r="AL78" s="108">
        <v>26</v>
      </c>
      <c r="AM78" s="108">
        <v>314</v>
      </c>
      <c r="AN78" s="108">
        <f t="shared" si="5"/>
        <v>26</v>
      </c>
      <c r="AO78" s="108">
        <f t="shared" si="6"/>
        <v>314</v>
      </c>
      <c r="AP78" s="110">
        <f t="shared" si="4"/>
        <v>12.076923076923077</v>
      </c>
      <c r="AQ78" s="110">
        <f t="shared" si="7"/>
        <v>6.9561364643331861E-2</v>
      </c>
      <c r="AR78" s="108">
        <v>0</v>
      </c>
      <c r="AS78" s="108">
        <v>0</v>
      </c>
      <c r="AT78" s="108">
        <v>4514</v>
      </c>
    </row>
    <row r="79" spans="1:46" ht="13.5" thickBot="1" x14ac:dyDescent="0.25">
      <c r="A79" s="48" t="s">
        <v>230</v>
      </c>
      <c r="B79" s="47" t="s">
        <v>229</v>
      </c>
      <c r="C79" s="48" t="s">
        <v>17</v>
      </c>
      <c r="D79" s="48" t="s">
        <v>1648</v>
      </c>
      <c r="E79" s="48" t="s">
        <v>1649</v>
      </c>
      <c r="F79" s="108">
        <v>66</v>
      </c>
      <c r="G79" s="108">
        <v>789</v>
      </c>
      <c r="H79" s="108">
        <v>2</v>
      </c>
      <c r="I79" s="108">
        <v>5</v>
      </c>
      <c r="J79" s="108">
        <v>5</v>
      </c>
      <c r="K79" s="108">
        <v>174</v>
      </c>
      <c r="L79" s="108">
        <v>1</v>
      </c>
      <c r="M79" s="108">
        <v>2</v>
      </c>
      <c r="N79" s="108">
        <v>135</v>
      </c>
      <c r="O79" s="108">
        <v>20</v>
      </c>
      <c r="P79" s="108">
        <v>155</v>
      </c>
      <c r="Q79" s="108">
        <v>0</v>
      </c>
      <c r="R79" s="108">
        <v>0</v>
      </c>
      <c r="S79" s="108">
        <v>71</v>
      </c>
      <c r="T79" s="108">
        <v>963</v>
      </c>
      <c r="U79" s="109" t="s">
        <v>1648</v>
      </c>
      <c r="V79" s="108">
        <v>30</v>
      </c>
      <c r="W79" s="108">
        <v>333</v>
      </c>
      <c r="X79" s="108">
        <v>0</v>
      </c>
      <c r="Y79" s="108">
        <v>0</v>
      </c>
      <c r="Z79" s="108">
        <v>3</v>
      </c>
      <c r="AA79" s="108">
        <v>7</v>
      </c>
      <c r="AB79" s="108">
        <v>6</v>
      </c>
      <c r="AC79" s="108">
        <v>39</v>
      </c>
      <c r="AD79" s="108">
        <v>24</v>
      </c>
      <c r="AE79" s="108">
        <v>242</v>
      </c>
      <c r="AF79" s="108">
        <v>0</v>
      </c>
      <c r="AG79" s="108">
        <v>0</v>
      </c>
      <c r="AH79" s="108">
        <v>1</v>
      </c>
      <c r="AI79" s="108">
        <v>115</v>
      </c>
      <c r="AJ79" s="108">
        <v>6</v>
      </c>
      <c r="AK79" s="108">
        <v>39</v>
      </c>
      <c r="AL79" s="108">
        <v>99</v>
      </c>
      <c r="AM79" s="108">
        <v>1327</v>
      </c>
      <c r="AN79" s="108">
        <f t="shared" si="5"/>
        <v>105</v>
      </c>
      <c r="AO79" s="108">
        <f t="shared" si="6"/>
        <v>1366</v>
      </c>
      <c r="AP79" s="110">
        <f t="shared" si="4"/>
        <v>13.009523809523809</v>
      </c>
      <c r="AQ79" s="110">
        <f t="shared" si="7"/>
        <v>0.19976601345422637</v>
      </c>
      <c r="AR79" s="108">
        <v>0</v>
      </c>
      <c r="AS79" s="108">
        <v>0</v>
      </c>
      <c r="AT79" s="108">
        <v>6838</v>
      </c>
    </row>
    <row r="80" spans="1:46" ht="13.5" thickBot="1" x14ac:dyDescent="0.25">
      <c r="A80" s="48" t="s">
        <v>236</v>
      </c>
      <c r="B80" s="47" t="s">
        <v>235</v>
      </c>
      <c r="C80" s="48" t="s">
        <v>17</v>
      </c>
      <c r="D80" s="48" t="s">
        <v>1648</v>
      </c>
      <c r="E80" s="48" t="s">
        <v>1649</v>
      </c>
      <c r="F80" s="108">
        <v>0</v>
      </c>
      <c r="G80" s="108">
        <v>0</v>
      </c>
      <c r="H80" s="108">
        <v>1</v>
      </c>
      <c r="I80" s="108">
        <v>6</v>
      </c>
      <c r="J80" s="108">
        <v>1</v>
      </c>
      <c r="K80" s="108">
        <v>0</v>
      </c>
      <c r="L80" s="108">
        <v>1</v>
      </c>
      <c r="M80" s="108">
        <v>0</v>
      </c>
      <c r="N80" s="108">
        <v>0</v>
      </c>
      <c r="O80" s="108">
        <v>0</v>
      </c>
      <c r="P80" s="108">
        <v>0</v>
      </c>
      <c r="Q80" s="108">
        <v>0</v>
      </c>
      <c r="R80" s="108">
        <v>0</v>
      </c>
      <c r="S80" s="108">
        <v>1</v>
      </c>
      <c r="T80" s="108">
        <v>0</v>
      </c>
      <c r="U80" s="109" t="s">
        <v>1648</v>
      </c>
      <c r="V80" s="108">
        <v>1</v>
      </c>
      <c r="W80" s="108">
        <v>7</v>
      </c>
      <c r="X80" s="108">
        <v>0</v>
      </c>
      <c r="Y80" s="108">
        <v>0</v>
      </c>
      <c r="Z80" s="108">
        <v>2</v>
      </c>
      <c r="AA80" s="108">
        <v>6</v>
      </c>
      <c r="AB80" s="108">
        <v>0</v>
      </c>
      <c r="AC80" s="108">
        <v>0</v>
      </c>
      <c r="AD80" s="108">
        <v>1</v>
      </c>
      <c r="AE80" s="108">
        <v>43</v>
      </c>
      <c r="AF80" s="108">
        <v>0</v>
      </c>
      <c r="AG80" s="108">
        <v>0</v>
      </c>
      <c r="AH80" s="108">
        <v>0</v>
      </c>
      <c r="AI80" s="108">
        <v>0</v>
      </c>
      <c r="AJ80" s="108">
        <v>0</v>
      </c>
      <c r="AK80" s="108">
        <v>0</v>
      </c>
      <c r="AL80" s="108">
        <v>4</v>
      </c>
      <c r="AM80" s="108">
        <v>49</v>
      </c>
      <c r="AN80" s="108">
        <f t="shared" si="5"/>
        <v>4</v>
      </c>
      <c r="AO80" s="108">
        <f t="shared" si="6"/>
        <v>49</v>
      </c>
      <c r="AP80" s="110">
        <f t="shared" si="4"/>
        <v>12.25</v>
      </c>
      <c r="AQ80" s="110">
        <f t="shared" si="7"/>
        <v>1.0063668104333538E-2</v>
      </c>
      <c r="AR80" s="108">
        <v>0</v>
      </c>
      <c r="AS80" s="108">
        <v>0</v>
      </c>
      <c r="AT80" s="108">
        <v>4869</v>
      </c>
    </row>
    <row r="81" spans="1:46" ht="13.5" thickBot="1" x14ac:dyDescent="0.25">
      <c r="A81" s="48" t="s">
        <v>238</v>
      </c>
      <c r="B81" s="47" t="s">
        <v>237</v>
      </c>
      <c r="C81" s="48" t="s">
        <v>17</v>
      </c>
      <c r="D81" s="48" t="s">
        <v>1649</v>
      </c>
      <c r="E81" s="48" t="s">
        <v>1649</v>
      </c>
      <c r="F81" s="108">
        <v>33</v>
      </c>
      <c r="G81" s="108">
        <v>132</v>
      </c>
      <c r="H81" s="108">
        <v>0</v>
      </c>
      <c r="I81" s="108">
        <v>0</v>
      </c>
      <c r="J81" s="108">
        <v>2</v>
      </c>
      <c r="K81" s="108">
        <v>24</v>
      </c>
      <c r="L81" s="108">
        <v>0</v>
      </c>
      <c r="M81" s="108">
        <v>0</v>
      </c>
      <c r="N81" s="108">
        <v>15</v>
      </c>
      <c r="O81" s="108">
        <v>0</v>
      </c>
      <c r="P81" s="108">
        <v>15</v>
      </c>
      <c r="Q81" s="108">
        <v>0</v>
      </c>
      <c r="R81" s="108">
        <v>0</v>
      </c>
      <c r="S81" s="108">
        <v>35</v>
      </c>
      <c r="T81" s="108">
        <v>156</v>
      </c>
      <c r="U81" s="109" t="s">
        <v>1648</v>
      </c>
      <c r="V81" s="108">
        <v>7</v>
      </c>
      <c r="W81" s="108">
        <v>47</v>
      </c>
      <c r="X81" s="108">
        <v>0</v>
      </c>
      <c r="Y81" s="108">
        <v>0</v>
      </c>
      <c r="Z81" s="108">
        <v>0</v>
      </c>
      <c r="AA81" s="108">
        <v>0</v>
      </c>
      <c r="AB81" s="108">
        <v>0</v>
      </c>
      <c r="AC81" s="108">
        <v>0</v>
      </c>
      <c r="AD81" s="108">
        <v>0</v>
      </c>
      <c r="AE81" s="108">
        <v>0</v>
      </c>
      <c r="AF81" s="108">
        <v>0</v>
      </c>
      <c r="AG81" s="108">
        <v>0</v>
      </c>
      <c r="AH81" s="108">
        <v>2</v>
      </c>
      <c r="AI81" s="108">
        <v>35</v>
      </c>
      <c r="AJ81" s="108">
        <v>0</v>
      </c>
      <c r="AK81" s="108">
        <v>0</v>
      </c>
      <c r="AL81" s="108">
        <v>37</v>
      </c>
      <c r="AM81" s="108">
        <v>191</v>
      </c>
      <c r="AN81" s="108">
        <f t="shared" si="5"/>
        <v>37</v>
      </c>
      <c r="AO81" s="108">
        <f t="shared" si="6"/>
        <v>191</v>
      </c>
      <c r="AP81" s="110">
        <f t="shared" si="4"/>
        <v>5.1621621621621623</v>
      </c>
      <c r="AQ81" s="110">
        <f t="shared" si="7"/>
        <v>4.0058724832214766E-2</v>
      </c>
      <c r="AR81" s="108">
        <v>0</v>
      </c>
      <c r="AS81" s="108">
        <v>0</v>
      </c>
      <c r="AT81" s="108">
        <v>4768</v>
      </c>
    </row>
    <row r="82" spans="1:46" ht="13.5" thickBot="1" x14ac:dyDescent="0.25">
      <c r="A82" s="48" t="s">
        <v>280</v>
      </c>
      <c r="B82" s="47" t="s">
        <v>279</v>
      </c>
      <c r="C82" s="48" t="s">
        <v>17</v>
      </c>
      <c r="D82" s="48" t="s">
        <v>1648</v>
      </c>
      <c r="E82" s="48" t="s">
        <v>1649</v>
      </c>
      <c r="F82" s="108">
        <v>80</v>
      </c>
      <c r="G82" s="108">
        <v>1464</v>
      </c>
      <c r="H82" s="108">
        <v>0</v>
      </c>
      <c r="I82" s="108">
        <v>0</v>
      </c>
      <c r="J82" s="108">
        <v>26</v>
      </c>
      <c r="K82" s="108">
        <v>303</v>
      </c>
      <c r="L82" s="108">
        <v>0</v>
      </c>
      <c r="M82" s="108">
        <v>0</v>
      </c>
      <c r="N82" s="108">
        <v>111</v>
      </c>
      <c r="O82" s="108">
        <v>9</v>
      </c>
      <c r="P82" s="108">
        <v>120</v>
      </c>
      <c r="Q82" s="108">
        <v>0</v>
      </c>
      <c r="R82" s="108">
        <v>0</v>
      </c>
      <c r="S82" s="108">
        <v>106</v>
      </c>
      <c r="T82" s="108">
        <v>1767</v>
      </c>
      <c r="U82" s="109" t="s">
        <v>1648</v>
      </c>
      <c r="V82" s="108">
        <v>47</v>
      </c>
      <c r="W82" s="108">
        <v>728</v>
      </c>
      <c r="X82" s="108">
        <v>0</v>
      </c>
      <c r="Y82" s="108">
        <v>0</v>
      </c>
      <c r="Z82" s="108">
        <v>0</v>
      </c>
      <c r="AA82" s="108">
        <v>0</v>
      </c>
      <c r="AB82" s="108">
        <v>3</v>
      </c>
      <c r="AC82" s="108">
        <v>75</v>
      </c>
      <c r="AD82" s="108">
        <v>3</v>
      </c>
      <c r="AE82" s="108">
        <v>114</v>
      </c>
      <c r="AF82" s="108">
        <v>0</v>
      </c>
      <c r="AG82" s="108">
        <v>0</v>
      </c>
      <c r="AH82" s="108">
        <v>4</v>
      </c>
      <c r="AI82" s="108">
        <v>270</v>
      </c>
      <c r="AJ82" s="108">
        <v>3</v>
      </c>
      <c r="AK82" s="108">
        <v>75</v>
      </c>
      <c r="AL82" s="108">
        <v>113</v>
      </c>
      <c r="AM82" s="108">
        <v>2151</v>
      </c>
      <c r="AN82" s="108">
        <f t="shared" si="5"/>
        <v>116</v>
      </c>
      <c r="AO82" s="108">
        <f t="shared" si="6"/>
        <v>2226</v>
      </c>
      <c r="AP82" s="110">
        <f t="shared" si="4"/>
        <v>19.189655172413794</v>
      </c>
      <c r="AQ82" s="110">
        <f t="shared" si="7"/>
        <v>0.36112913692407528</v>
      </c>
      <c r="AR82" s="108">
        <v>0</v>
      </c>
      <c r="AS82" s="108">
        <v>0</v>
      </c>
      <c r="AT82" s="108">
        <v>6164</v>
      </c>
    </row>
    <row r="83" spans="1:46" ht="13.5" thickBot="1" x14ac:dyDescent="0.25">
      <c r="A83" s="48" t="s">
        <v>334</v>
      </c>
      <c r="B83" s="47" t="s">
        <v>333</v>
      </c>
      <c r="C83" s="48" t="s">
        <v>17</v>
      </c>
      <c r="D83" s="48" t="s">
        <v>1649</v>
      </c>
      <c r="E83" s="48" t="s">
        <v>1648</v>
      </c>
      <c r="F83" s="108">
        <v>13</v>
      </c>
      <c r="G83" s="108">
        <v>268</v>
      </c>
      <c r="H83" s="108">
        <v>0</v>
      </c>
      <c r="I83" s="108">
        <v>0</v>
      </c>
      <c r="J83" s="108">
        <v>3</v>
      </c>
      <c r="K83" s="108">
        <v>133</v>
      </c>
      <c r="L83" s="108">
        <v>0</v>
      </c>
      <c r="M83" s="108">
        <v>0</v>
      </c>
      <c r="N83" s="108">
        <v>60</v>
      </c>
      <c r="O83" s="108">
        <v>3</v>
      </c>
      <c r="P83" s="108">
        <v>63</v>
      </c>
      <c r="Q83" s="108">
        <v>0</v>
      </c>
      <c r="R83" s="108">
        <v>0</v>
      </c>
      <c r="S83" s="108">
        <v>16</v>
      </c>
      <c r="T83" s="108">
        <v>401</v>
      </c>
      <c r="U83" s="109" t="s">
        <v>1649</v>
      </c>
      <c r="V83" s="108">
        <v>3</v>
      </c>
      <c r="W83" s="108">
        <v>21</v>
      </c>
      <c r="X83" s="108">
        <v>0</v>
      </c>
      <c r="Y83" s="108">
        <v>0</v>
      </c>
      <c r="Z83" s="108">
        <v>0</v>
      </c>
      <c r="AA83" s="108">
        <v>0</v>
      </c>
      <c r="AB83" s="108">
        <v>0</v>
      </c>
      <c r="AC83" s="108">
        <v>0</v>
      </c>
      <c r="AD83" s="108">
        <v>26</v>
      </c>
      <c r="AE83" s="108">
        <v>269</v>
      </c>
      <c r="AF83" s="108">
        <v>0</v>
      </c>
      <c r="AG83" s="108">
        <v>0</v>
      </c>
      <c r="AH83" s="108">
        <v>36</v>
      </c>
      <c r="AI83" s="108">
        <v>780</v>
      </c>
      <c r="AJ83" s="108">
        <v>0</v>
      </c>
      <c r="AK83" s="108">
        <v>0</v>
      </c>
      <c r="AL83" s="108">
        <v>78</v>
      </c>
      <c r="AM83" s="108">
        <v>1450</v>
      </c>
      <c r="AN83" s="108">
        <f t="shared" si="5"/>
        <v>78</v>
      </c>
      <c r="AO83" s="108">
        <f t="shared" si="6"/>
        <v>1450</v>
      </c>
      <c r="AP83" s="110">
        <f t="shared" si="4"/>
        <v>18.589743589743591</v>
      </c>
      <c r="AQ83" s="110">
        <f t="shared" si="7"/>
        <v>0.23696682464454977</v>
      </c>
      <c r="AR83" s="108">
        <v>0</v>
      </c>
      <c r="AS83" s="108">
        <v>0</v>
      </c>
      <c r="AT83" s="108">
        <v>6119</v>
      </c>
    </row>
    <row r="84" spans="1:46" ht="13.5" thickBot="1" x14ac:dyDescent="0.25">
      <c r="A84" s="48" t="s">
        <v>344</v>
      </c>
      <c r="B84" s="47" t="s">
        <v>343</v>
      </c>
      <c r="C84" s="48" t="s">
        <v>17</v>
      </c>
      <c r="D84" s="48" t="s">
        <v>1649</v>
      </c>
      <c r="E84" s="48" t="s">
        <v>1649</v>
      </c>
      <c r="F84" s="108">
        <v>124</v>
      </c>
      <c r="G84" s="108">
        <v>2673</v>
      </c>
      <c r="H84" s="108">
        <v>3</v>
      </c>
      <c r="I84" s="108">
        <v>30</v>
      </c>
      <c r="J84" s="108">
        <v>40</v>
      </c>
      <c r="K84" s="108">
        <v>1652</v>
      </c>
      <c r="L84" s="108">
        <v>7</v>
      </c>
      <c r="M84" s="108">
        <v>35</v>
      </c>
      <c r="N84" s="108">
        <v>123</v>
      </c>
      <c r="O84" s="108">
        <v>12</v>
      </c>
      <c r="P84" s="108">
        <v>135</v>
      </c>
      <c r="Q84" s="108">
        <v>0</v>
      </c>
      <c r="R84" s="108">
        <v>0</v>
      </c>
      <c r="S84" s="108">
        <v>164</v>
      </c>
      <c r="T84" s="108">
        <v>4325</v>
      </c>
      <c r="U84" s="109" t="s">
        <v>1648</v>
      </c>
      <c r="V84" s="108">
        <v>72</v>
      </c>
      <c r="W84" s="108">
        <v>176</v>
      </c>
      <c r="X84" s="108">
        <v>0</v>
      </c>
      <c r="Y84" s="108">
        <v>0</v>
      </c>
      <c r="Z84" s="108">
        <v>10</v>
      </c>
      <c r="AA84" s="108">
        <v>65</v>
      </c>
      <c r="AB84" s="108">
        <v>0</v>
      </c>
      <c r="AC84" s="108">
        <v>0</v>
      </c>
      <c r="AD84" s="108">
        <v>5</v>
      </c>
      <c r="AE84" s="108">
        <v>38</v>
      </c>
      <c r="AF84" s="108">
        <v>0</v>
      </c>
      <c r="AG84" s="108">
        <v>0</v>
      </c>
      <c r="AH84" s="108">
        <v>5</v>
      </c>
      <c r="AI84" s="108">
        <v>60</v>
      </c>
      <c r="AJ84" s="108">
        <v>0</v>
      </c>
      <c r="AK84" s="108">
        <v>0</v>
      </c>
      <c r="AL84" s="108">
        <v>184</v>
      </c>
      <c r="AM84" s="108">
        <v>4488</v>
      </c>
      <c r="AN84" s="108">
        <f t="shared" si="5"/>
        <v>184</v>
      </c>
      <c r="AO84" s="108">
        <f t="shared" si="6"/>
        <v>4488</v>
      </c>
      <c r="AP84" s="110">
        <f t="shared" si="4"/>
        <v>24.391304347826086</v>
      </c>
      <c r="AQ84" s="110">
        <f t="shared" si="7"/>
        <v>0.68185961713764809</v>
      </c>
      <c r="AR84" s="108">
        <v>0</v>
      </c>
      <c r="AS84" s="108">
        <v>0</v>
      </c>
      <c r="AT84" s="108">
        <v>6582</v>
      </c>
    </row>
    <row r="85" spans="1:46" ht="13.5" thickBot="1" x14ac:dyDescent="0.25">
      <c r="A85" s="48" t="s">
        <v>354</v>
      </c>
      <c r="B85" s="47" t="s">
        <v>353</v>
      </c>
      <c r="C85" s="48" t="s">
        <v>17</v>
      </c>
      <c r="D85" s="48" t="s">
        <v>1649</v>
      </c>
      <c r="E85" s="48" t="s">
        <v>1649</v>
      </c>
      <c r="F85" s="108">
        <v>42</v>
      </c>
      <c r="G85" s="108">
        <v>312</v>
      </c>
      <c r="H85" s="108">
        <v>5</v>
      </c>
      <c r="I85" s="108">
        <v>63</v>
      </c>
      <c r="J85" s="108">
        <v>0</v>
      </c>
      <c r="K85" s="108">
        <v>0</v>
      </c>
      <c r="L85" s="108">
        <v>0</v>
      </c>
      <c r="M85" s="108">
        <v>0</v>
      </c>
      <c r="N85" s="108">
        <v>44</v>
      </c>
      <c r="O85" s="109">
        <v>0</v>
      </c>
      <c r="P85" s="108">
        <v>44</v>
      </c>
      <c r="Q85" s="108">
        <v>0</v>
      </c>
      <c r="R85" s="108">
        <v>0</v>
      </c>
      <c r="S85" s="108">
        <v>42</v>
      </c>
      <c r="T85" s="108">
        <v>312</v>
      </c>
      <c r="U85" s="109" t="s">
        <v>1648</v>
      </c>
      <c r="V85" s="108">
        <v>30</v>
      </c>
      <c r="W85" s="108">
        <v>202</v>
      </c>
      <c r="X85" s="108">
        <v>0</v>
      </c>
      <c r="Y85" s="108">
        <v>0</v>
      </c>
      <c r="Z85" s="108">
        <v>5</v>
      </c>
      <c r="AA85" s="108">
        <v>63</v>
      </c>
      <c r="AB85" s="108">
        <v>0</v>
      </c>
      <c r="AC85" s="108">
        <v>0</v>
      </c>
      <c r="AD85" s="108">
        <v>2</v>
      </c>
      <c r="AE85" s="108">
        <v>28</v>
      </c>
      <c r="AF85" s="108">
        <v>0</v>
      </c>
      <c r="AG85" s="108">
        <v>0</v>
      </c>
      <c r="AH85" s="108">
        <v>1</v>
      </c>
      <c r="AI85" s="108">
        <v>29</v>
      </c>
      <c r="AJ85" s="108">
        <v>0</v>
      </c>
      <c r="AK85" s="108">
        <v>0</v>
      </c>
      <c r="AL85" s="108">
        <v>50</v>
      </c>
      <c r="AM85" s="108">
        <v>432</v>
      </c>
      <c r="AN85" s="108">
        <f t="shared" si="5"/>
        <v>50</v>
      </c>
      <c r="AO85" s="108">
        <f t="shared" si="6"/>
        <v>432</v>
      </c>
      <c r="AP85" s="110">
        <f t="shared" si="4"/>
        <v>8.64</v>
      </c>
      <c r="AQ85" s="110">
        <f t="shared" si="7"/>
        <v>7.2813079386482391E-2</v>
      </c>
      <c r="AR85" s="108">
        <v>0</v>
      </c>
      <c r="AS85" s="108">
        <v>0</v>
      </c>
      <c r="AT85" s="108">
        <v>5933</v>
      </c>
    </row>
    <row r="86" spans="1:46" ht="13.5" thickBot="1" x14ac:dyDescent="0.25">
      <c r="A86" s="48" t="s">
        <v>362</v>
      </c>
      <c r="B86" s="47" t="s">
        <v>361</v>
      </c>
      <c r="C86" s="48" t="s">
        <v>17</v>
      </c>
      <c r="D86" s="48" t="s">
        <v>1648</v>
      </c>
      <c r="E86" s="48" t="s">
        <v>1649</v>
      </c>
      <c r="F86" s="108">
        <v>6</v>
      </c>
      <c r="G86" s="108">
        <v>72</v>
      </c>
      <c r="H86" s="108">
        <v>0</v>
      </c>
      <c r="I86" s="108">
        <v>0</v>
      </c>
      <c r="J86" s="108">
        <v>3</v>
      </c>
      <c r="K86" s="108">
        <v>81</v>
      </c>
      <c r="L86" s="108">
        <v>3</v>
      </c>
      <c r="M86" s="108">
        <v>80</v>
      </c>
      <c r="N86" s="108">
        <v>4</v>
      </c>
      <c r="O86" s="108">
        <v>1</v>
      </c>
      <c r="P86" s="108">
        <v>5</v>
      </c>
      <c r="Q86" s="108">
        <v>1</v>
      </c>
      <c r="R86" s="108">
        <v>20</v>
      </c>
      <c r="S86" s="108">
        <v>9</v>
      </c>
      <c r="T86" s="108">
        <v>153</v>
      </c>
      <c r="U86" s="109" t="s">
        <v>1648</v>
      </c>
      <c r="V86" s="108">
        <v>6</v>
      </c>
      <c r="W86" s="108">
        <v>72</v>
      </c>
      <c r="X86" s="108">
        <v>1</v>
      </c>
      <c r="Y86" s="108">
        <v>20</v>
      </c>
      <c r="Z86" s="108">
        <v>3</v>
      </c>
      <c r="AA86" s="108">
        <v>80</v>
      </c>
      <c r="AB86" s="108">
        <v>0</v>
      </c>
      <c r="AC86" s="108">
        <v>0</v>
      </c>
      <c r="AD86" s="108">
        <v>9</v>
      </c>
      <c r="AE86" s="108">
        <v>45</v>
      </c>
      <c r="AF86" s="108">
        <v>1</v>
      </c>
      <c r="AG86" s="108">
        <v>20</v>
      </c>
      <c r="AH86" s="108">
        <v>0</v>
      </c>
      <c r="AI86" s="108">
        <v>0</v>
      </c>
      <c r="AJ86" s="108">
        <v>3</v>
      </c>
      <c r="AK86" s="108">
        <v>60</v>
      </c>
      <c r="AL86" s="108">
        <v>21</v>
      </c>
      <c r="AM86" s="108">
        <v>278</v>
      </c>
      <c r="AN86" s="108">
        <f t="shared" si="5"/>
        <v>24</v>
      </c>
      <c r="AO86" s="108">
        <f t="shared" si="6"/>
        <v>338</v>
      </c>
      <c r="AP86" s="110">
        <f t="shared" si="4"/>
        <v>14.083333333333334</v>
      </c>
      <c r="AQ86" s="110">
        <f t="shared" si="7"/>
        <v>8.0094786729857814E-2</v>
      </c>
      <c r="AR86" s="108">
        <v>0</v>
      </c>
      <c r="AS86" s="108">
        <v>0</v>
      </c>
      <c r="AT86" s="108">
        <v>4220</v>
      </c>
    </row>
    <row r="87" spans="1:46" ht="13.5" thickBot="1" x14ac:dyDescent="0.25">
      <c r="A87" s="48" t="s">
        <v>366</v>
      </c>
      <c r="B87" s="47" t="s">
        <v>365</v>
      </c>
      <c r="C87" s="48" t="s">
        <v>17</v>
      </c>
      <c r="D87" s="48" t="s">
        <v>1649</v>
      </c>
      <c r="E87" s="48" t="s">
        <v>1649</v>
      </c>
      <c r="F87" s="108">
        <v>68</v>
      </c>
      <c r="G87" s="108">
        <v>761</v>
      </c>
      <c r="H87" s="108">
        <v>32</v>
      </c>
      <c r="I87" s="108">
        <v>286</v>
      </c>
      <c r="J87" s="108">
        <v>24</v>
      </c>
      <c r="K87" s="108">
        <v>536</v>
      </c>
      <c r="L87" s="108">
        <v>8</v>
      </c>
      <c r="M87" s="108">
        <v>133</v>
      </c>
      <c r="N87" s="108">
        <v>154</v>
      </c>
      <c r="O87" s="108">
        <v>48</v>
      </c>
      <c r="P87" s="108">
        <v>202</v>
      </c>
      <c r="Q87" s="108">
        <v>0</v>
      </c>
      <c r="R87" s="108">
        <v>0</v>
      </c>
      <c r="S87" s="108">
        <v>92</v>
      </c>
      <c r="T87" s="108">
        <v>1297</v>
      </c>
      <c r="U87" s="109" t="s">
        <v>1648</v>
      </c>
      <c r="V87" s="108">
        <v>9</v>
      </c>
      <c r="W87" s="108">
        <v>34</v>
      </c>
      <c r="X87" s="108">
        <v>0</v>
      </c>
      <c r="Y87" s="108">
        <v>0</v>
      </c>
      <c r="Z87" s="108">
        <v>40</v>
      </c>
      <c r="AA87" s="108">
        <v>419</v>
      </c>
      <c r="AB87" s="108">
        <v>0</v>
      </c>
      <c r="AC87" s="108">
        <v>0</v>
      </c>
      <c r="AD87" s="108">
        <v>143</v>
      </c>
      <c r="AE87" s="108">
        <v>2498</v>
      </c>
      <c r="AF87" s="108">
        <v>0</v>
      </c>
      <c r="AG87" s="108">
        <v>0</v>
      </c>
      <c r="AH87" s="108">
        <v>10</v>
      </c>
      <c r="AI87" s="108">
        <v>341</v>
      </c>
      <c r="AJ87" s="108">
        <v>0</v>
      </c>
      <c r="AK87" s="108">
        <v>0</v>
      </c>
      <c r="AL87" s="108">
        <v>285</v>
      </c>
      <c r="AM87" s="108">
        <v>4555</v>
      </c>
      <c r="AN87" s="108">
        <f t="shared" si="5"/>
        <v>285</v>
      </c>
      <c r="AO87" s="108">
        <f t="shared" si="6"/>
        <v>4555</v>
      </c>
      <c r="AP87" s="110">
        <f t="shared" si="4"/>
        <v>15.982456140350877</v>
      </c>
      <c r="AQ87" s="110">
        <f t="shared" si="7"/>
        <v>0.98806941431670281</v>
      </c>
      <c r="AR87" s="108">
        <v>0</v>
      </c>
      <c r="AS87" s="108">
        <v>0</v>
      </c>
      <c r="AT87" s="108">
        <v>4610</v>
      </c>
    </row>
    <row r="88" spans="1:46" ht="13.5" thickBot="1" x14ac:dyDescent="0.25">
      <c r="A88" s="48" t="s">
        <v>372</v>
      </c>
      <c r="B88" s="47" t="s">
        <v>371</v>
      </c>
      <c r="C88" s="48" t="s">
        <v>17</v>
      </c>
      <c r="D88" s="48" t="s">
        <v>1649</v>
      </c>
      <c r="E88" s="48" t="s">
        <v>1649</v>
      </c>
      <c r="F88" s="108">
        <v>71</v>
      </c>
      <c r="G88" s="108">
        <v>636</v>
      </c>
      <c r="H88" s="108">
        <v>14</v>
      </c>
      <c r="I88" s="108">
        <v>16</v>
      </c>
      <c r="J88" s="108">
        <v>16</v>
      </c>
      <c r="K88" s="108">
        <v>582</v>
      </c>
      <c r="L88" s="108">
        <v>0</v>
      </c>
      <c r="M88" s="108">
        <v>0</v>
      </c>
      <c r="N88" s="108">
        <v>34</v>
      </c>
      <c r="O88" s="108">
        <v>0</v>
      </c>
      <c r="P88" s="108">
        <v>34</v>
      </c>
      <c r="Q88" s="108">
        <v>0</v>
      </c>
      <c r="R88" s="108">
        <v>0</v>
      </c>
      <c r="S88" s="108">
        <v>87</v>
      </c>
      <c r="T88" s="108">
        <v>1218</v>
      </c>
      <c r="U88" s="109" t="s">
        <v>1648</v>
      </c>
      <c r="V88" s="108">
        <v>18</v>
      </c>
      <c r="W88" s="108">
        <v>203</v>
      </c>
      <c r="X88" s="108">
        <v>0</v>
      </c>
      <c r="Y88" s="108">
        <v>0</v>
      </c>
      <c r="Z88" s="108">
        <v>14</v>
      </c>
      <c r="AA88" s="108">
        <v>16</v>
      </c>
      <c r="AB88" s="108">
        <v>0</v>
      </c>
      <c r="AC88" s="108">
        <v>0</v>
      </c>
      <c r="AD88" s="108">
        <v>97</v>
      </c>
      <c r="AE88" s="108">
        <v>813</v>
      </c>
      <c r="AF88" s="108">
        <v>0</v>
      </c>
      <c r="AG88" s="108">
        <v>0</v>
      </c>
      <c r="AH88" s="108">
        <v>1</v>
      </c>
      <c r="AI88" s="108">
        <v>448</v>
      </c>
      <c r="AJ88" s="108">
        <v>0</v>
      </c>
      <c r="AK88" s="108">
        <v>0</v>
      </c>
      <c r="AL88" s="108">
        <v>199</v>
      </c>
      <c r="AM88" s="108">
        <v>2495</v>
      </c>
      <c r="AN88" s="108">
        <f t="shared" si="5"/>
        <v>199</v>
      </c>
      <c r="AO88" s="108">
        <f t="shared" si="6"/>
        <v>2495</v>
      </c>
      <c r="AP88" s="110">
        <f t="shared" si="4"/>
        <v>12.537688442211055</v>
      </c>
      <c r="AQ88" s="110">
        <f t="shared" si="7"/>
        <v>0.45109383474959319</v>
      </c>
      <c r="AR88" s="108">
        <v>0</v>
      </c>
      <c r="AS88" s="108">
        <v>0</v>
      </c>
      <c r="AT88" s="108">
        <v>5531</v>
      </c>
    </row>
    <row r="89" spans="1:46" ht="13.5" thickBot="1" x14ac:dyDescent="0.25">
      <c r="A89" s="48" t="s">
        <v>376</v>
      </c>
      <c r="B89" s="47" t="s">
        <v>375</v>
      </c>
      <c r="C89" s="48" t="s">
        <v>17</v>
      </c>
      <c r="D89" s="48" t="s">
        <v>1648</v>
      </c>
      <c r="E89" s="48" t="s">
        <v>1649</v>
      </c>
      <c r="F89" s="108">
        <v>90</v>
      </c>
      <c r="G89" s="108">
        <v>1600</v>
      </c>
      <c r="H89" s="108">
        <v>0</v>
      </c>
      <c r="I89" s="108">
        <v>0</v>
      </c>
      <c r="J89" s="108">
        <v>13</v>
      </c>
      <c r="K89" s="108">
        <v>150</v>
      </c>
      <c r="L89" s="108">
        <v>0</v>
      </c>
      <c r="M89" s="108">
        <v>0</v>
      </c>
      <c r="N89" s="108">
        <v>21</v>
      </c>
      <c r="O89" s="108">
        <v>3</v>
      </c>
      <c r="P89" s="108">
        <v>24</v>
      </c>
      <c r="Q89" s="108">
        <v>0</v>
      </c>
      <c r="R89" s="108">
        <v>0</v>
      </c>
      <c r="S89" s="108">
        <v>103</v>
      </c>
      <c r="T89" s="108">
        <v>1750</v>
      </c>
      <c r="U89" s="109" t="s">
        <v>1648</v>
      </c>
      <c r="V89" s="108">
        <v>30</v>
      </c>
      <c r="W89" s="108">
        <v>375</v>
      </c>
      <c r="X89" s="108">
        <v>0</v>
      </c>
      <c r="Y89" s="108">
        <v>0</v>
      </c>
      <c r="Z89" s="108">
        <v>0</v>
      </c>
      <c r="AA89" s="108">
        <v>0</v>
      </c>
      <c r="AB89" s="108">
        <v>6</v>
      </c>
      <c r="AC89" s="108">
        <v>32</v>
      </c>
      <c r="AD89" s="108">
        <v>64</v>
      </c>
      <c r="AE89" s="108">
        <v>675</v>
      </c>
      <c r="AF89" s="108">
        <v>0</v>
      </c>
      <c r="AG89" s="108">
        <v>0</v>
      </c>
      <c r="AH89" s="108">
        <v>0</v>
      </c>
      <c r="AI89" s="108">
        <v>0</v>
      </c>
      <c r="AJ89" s="108">
        <v>6</v>
      </c>
      <c r="AK89" s="108">
        <v>32</v>
      </c>
      <c r="AL89" s="108">
        <v>167</v>
      </c>
      <c r="AM89" s="108">
        <v>2425</v>
      </c>
      <c r="AN89" s="108">
        <f t="shared" si="5"/>
        <v>173</v>
      </c>
      <c r="AO89" s="108">
        <f t="shared" si="6"/>
        <v>2457</v>
      </c>
      <c r="AP89" s="110">
        <f t="shared" si="4"/>
        <v>14.202312138728324</v>
      </c>
      <c r="AQ89" s="110">
        <f t="shared" si="7"/>
        <v>0.48110436655570787</v>
      </c>
      <c r="AR89" s="108">
        <v>0</v>
      </c>
      <c r="AS89" s="108">
        <v>0</v>
      </c>
      <c r="AT89" s="108">
        <v>5107</v>
      </c>
    </row>
    <row r="90" spans="1:46" ht="13.5" thickBot="1" x14ac:dyDescent="0.25">
      <c r="A90" s="48" t="s">
        <v>396</v>
      </c>
      <c r="B90" s="47" t="s">
        <v>395</v>
      </c>
      <c r="C90" s="48" t="s">
        <v>17</v>
      </c>
      <c r="D90" s="48" t="s">
        <v>1648</v>
      </c>
      <c r="E90" s="48" t="s">
        <v>1649</v>
      </c>
      <c r="F90" s="108">
        <v>2</v>
      </c>
      <c r="G90" s="108">
        <v>32</v>
      </c>
      <c r="H90" s="108">
        <v>1</v>
      </c>
      <c r="I90" s="108">
        <v>1</v>
      </c>
      <c r="J90" s="108">
        <v>1</v>
      </c>
      <c r="K90" s="108">
        <v>1</v>
      </c>
      <c r="L90" s="108">
        <v>1</v>
      </c>
      <c r="M90" s="108">
        <v>1</v>
      </c>
      <c r="N90" s="108">
        <v>17</v>
      </c>
      <c r="O90" s="108">
        <v>1</v>
      </c>
      <c r="P90" s="108">
        <v>18</v>
      </c>
      <c r="Q90" s="108">
        <v>0</v>
      </c>
      <c r="R90" s="108">
        <v>0</v>
      </c>
      <c r="S90" s="108">
        <v>3</v>
      </c>
      <c r="T90" s="108">
        <v>33</v>
      </c>
      <c r="U90" s="109" t="s">
        <v>1648</v>
      </c>
      <c r="V90" s="108">
        <v>3</v>
      </c>
      <c r="W90" s="108">
        <v>10</v>
      </c>
      <c r="X90" s="108">
        <v>0</v>
      </c>
      <c r="Y90" s="108">
        <v>0</v>
      </c>
      <c r="Z90" s="108">
        <v>2</v>
      </c>
      <c r="AA90" s="108">
        <v>2</v>
      </c>
      <c r="AB90" s="108">
        <v>0</v>
      </c>
      <c r="AC90" s="108">
        <v>0</v>
      </c>
      <c r="AD90" s="108">
        <v>1</v>
      </c>
      <c r="AE90" s="108">
        <v>3</v>
      </c>
      <c r="AF90" s="108">
        <v>0</v>
      </c>
      <c r="AG90" s="108">
        <v>0</v>
      </c>
      <c r="AH90" s="108">
        <v>0</v>
      </c>
      <c r="AI90" s="108">
        <v>0</v>
      </c>
      <c r="AJ90" s="108">
        <v>0</v>
      </c>
      <c r="AK90" s="108">
        <v>0</v>
      </c>
      <c r="AL90" s="108">
        <v>6</v>
      </c>
      <c r="AM90" s="108">
        <v>38</v>
      </c>
      <c r="AN90" s="108">
        <f t="shared" si="5"/>
        <v>6</v>
      </c>
      <c r="AO90" s="108">
        <f t="shared" si="6"/>
        <v>38</v>
      </c>
      <c r="AP90" s="110">
        <f t="shared" si="4"/>
        <v>6.333333333333333</v>
      </c>
      <c r="AQ90" s="110">
        <f t="shared" si="7"/>
        <v>9.3137254901960783E-3</v>
      </c>
      <c r="AR90" s="108">
        <v>0</v>
      </c>
      <c r="AS90" s="108">
        <v>0</v>
      </c>
      <c r="AT90" s="108">
        <v>4080</v>
      </c>
    </row>
    <row r="91" spans="1:46" ht="13.5" thickBot="1" x14ac:dyDescent="0.25">
      <c r="A91" s="48" t="s">
        <v>398</v>
      </c>
      <c r="B91" s="47" t="s">
        <v>397</v>
      </c>
      <c r="C91" s="48" t="s">
        <v>17</v>
      </c>
      <c r="D91" s="48" t="s">
        <v>1649</v>
      </c>
      <c r="E91" s="48" t="s">
        <v>1649</v>
      </c>
      <c r="F91" s="108">
        <v>63</v>
      </c>
      <c r="G91" s="108">
        <v>2169</v>
      </c>
      <c r="H91" s="108">
        <v>12</v>
      </c>
      <c r="I91" s="108">
        <v>42</v>
      </c>
      <c r="J91" s="108">
        <v>21</v>
      </c>
      <c r="K91" s="108">
        <v>353</v>
      </c>
      <c r="L91" s="108">
        <v>2</v>
      </c>
      <c r="M91" s="108">
        <v>16</v>
      </c>
      <c r="N91" s="108">
        <v>120</v>
      </c>
      <c r="O91" s="108">
        <v>28</v>
      </c>
      <c r="P91" s="108">
        <v>148</v>
      </c>
      <c r="Q91" s="108">
        <v>0</v>
      </c>
      <c r="R91" s="108">
        <v>0</v>
      </c>
      <c r="S91" s="108">
        <v>84</v>
      </c>
      <c r="T91" s="108">
        <v>2522</v>
      </c>
      <c r="U91" s="109" t="s">
        <v>1648</v>
      </c>
      <c r="V91" s="108">
        <v>35</v>
      </c>
      <c r="W91" s="108">
        <v>339</v>
      </c>
      <c r="X91" s="108">
        <v>0</v>
      </c>
      <c r="Y91" s="108">
        <v>0</v>
      </c>
      <c r="Z91" s="108">
        <v>14</v>
      </c>
      <c r="AA91" s="108">
        <v>58</v>
      </c>
      <c r="AB91" s="108">
        <v>0</v>
      </c>
      <c r="AC91" s="108">
        <v>0</v>
      </c>
      <c r="AD91" s="108">
        <v>54</v>
      </c>
      <c r="AE91" s="108">
        <v>264</v>
      </c>
      <c r="AF91" s="108">
        <v>0</v>
      </c>
      <c r="AG91" s="108">
        <v>0</v>
      </c>
      <c r="AH91" s="108">
        <v>34</v>
      </c>
      <c r="AI91" s="108">
        <v>538</v>
      </c>
      <c r="AJ91" s="108">
        <v>0</v>
      </c>
      <c r="AK91" s="108">
        <v>0</v>
      </c>
      <c r="AL91" s="108">
        <v>186</v>
      </c>
      <c r="AM91" s="108">
        <v>3382</v>
      </c>
      <c r="AN91" s="108">
        <f t="shared" si="5"/>
        <v>186</v>
      </c>
      <c r="AO91" s="108">
        <f t="shared" si="6"/>
        <v>3382</v>
      </c>
      <c r="AP91" s="110">
        <f t="shared" si="4"/>
        <v>18.182795698924732</v>
      </c>
      <c r="AQ91" s="110">
        <f t="shared" si="7"/>
        <v>0.64913627639155469</v>
      </c>
      <c r="AR91" s="108">
        <v>0</v>
      </c>
      <c r="AS91" s="108">
        <v>0</v>
      </c>
      <c r="AT91" s="108">
        <v>5210</v>
      </c>
    </row>
    <row r="92" spans="1:46" ht="13.5" thickBot="1" x14ac:dyDescent="0.25">
      <c r="A92" s="48" t="s">
        <v>414</v>
      </c>
      <c r="B92" s="47" t="s">
        <v>413</v>
      </c>
      <c r="C92" s="48" t="s">
        <v>17</v>
      </c>
      <c r="D92" s="48" t="s">
        <v>1648</v>
      </c>
      <c r="E92" s="48" t="s">
        <v>1648</v>
      </c>
      <c r="F92" s="108">
        <v>95</v>
      </c>
      <c r="G92" s="108">
        <v>1367</v>
      </c>
      <c r="H92" s="108">
        <v>21</v>
      </c>
      <c r="I92" s="108">
        <v>170</v>
      </c>
      <c r="J92" s="108">
        <v>8</v>
      </c>
      <c r="K92" s="108">
        <v>703</v>
      </c>
      <c r="L92" s="108">
        <v>8</v>
      </c>
      <c r="M92" s="108">
        <v>154</v>
      </c>
      <c r="N92" s="108">
        <v>259</v>
      </c>
      <c r="O92" s="108">
        <v>39</v>
      </c>
      <c r="P92" s="108">
        <v>298</v>
      </c>
      <c r="Q92" s="108">
        <v>26</v>
      </c>
      <c r="R92" s="108">
        <v>158</v>
      </c>
      <c r="S92" s="108">
        <v>103</v>
      </c>
      <c r="T92" s="108">
        <v>2070</v>
      </c>
      <c r="U92" s="109" t="s">
        <v>1648</v>
      </c>
      <c r="V92" s="108">
        <v>82</v>
      </c>
      <c r="W92" s="108">
        <v>954</v>
      </c>
      <c r="X92" s="108">
        <v>0</v>
      </c>
      <c r="Y92" s="108">
        <v>0</v>
      </c>
      <c r="Z92" s="108">
        <v>29</v>
      </c>
      <c r="AA92" s="108">
        <v>324</v>
      </c>
      <c r="AB92" s="108">
        <v>2</v>
      </c>
      <c r="AC92" s="108">
        <v>8</v>
      </c>
      <c r="AD92" s="108">
        <v>119</v>
      </c>
      <c r="AE92" s="108">
        <v>876</v>
      </c>
      <c r="AF92" s="108">
        <v>0</v>
      </c>
      <c r="AG92" s="108">
        <v>0</v>
      </c>
      <c r="AH92" s="108">
        <v>34</v>
      </c>
      <c r="AI92" s="108">
        <v>528</v>
      </c>
      <c r="AJ92" s="108">
        <v>28</v>
      </c>
      <c r="AK92" s="108">
        <v>166</v>
      </c>
      <c r="AL92" s="108">
        <v>285</v>
      </c>
      <c r="AM92" s="108">
        <v>3798</v>
      </c>
      <c r="AN92" s="108">
        <f t="shared" si="5"/>
        <v>313</v>
      </c>
      <c r="AO92" s="108">
        <f t="shared" si="6"/>
        <v>3964</v>
      </c>
      <c r="AP92" s="110">
        <f t="shared" si="4"/>
        <v>12.664536741214057</v>
      </c>
      <c r="AQ92" s="110">
        <f t="shared" si="7"/>
        <v>0.95105566218809978</v>
      </c>
      <c r="AR92" s="108">
        <v>28</v>
      </c>
      <c r="AS92" s="108">
        <v>26</v>
      </c>
      <c r="AT92" s="108">
        <v>4168</v>
      </c>
    </row>
    <row r="93" spans="1:46" ht="13.5" thickBot="1" x14ac:dyDescent="0.25">
      <c r="A93" s="48" t="s">
        <v>429</v>
      </c>
      <c r="B93" s="47" t="s">
        <v>428</v>
      </c>
      <c r="C93" s="48" t="s">
        <v>17</v>
      </c>
      <c r="D93" s="48" t="s">
        <v>1648</v>
      </c>
      <c r="E93" s="48" t="s">
        <v>1648</v>
      </c>
      <c r="F93" s="108">
        <v>53</v>
      </c>
      <c r="G93" s="108">
        <v>748</v>
      </c>
      <c r="H93" s="108">
        <v>0</v>
      </c>
      <c r="I93" s="108">
        <v>0</v>
      </c>
      <c r="J93" s="108">
        <v>9</v>
      </c>
      <c r="K93" s="108">
        <v>255</v>
      </c>
      <c r="L93" s="108">
        <v>0</v>
      </c>
      <c r="M93" s="108">
        <v>0</v>
      </c>
      <c r="N93" s="108">
        <v>25</v>
      </c>
      <c r="O93" s="109">
        <v>0</v>
      </c>
      <c r="P93" s="108">
        <v>25</v>
      </c>
      <c r="Q93" s="108">
        <v>7</v>
      </c>
      <c r="R93" s="108">
        <v>84</v>
      </c>
      <c r="S93" s="108">
        <v>62</v>
      </c>
      <c r="T93" s="108">
        <v>1003</v>
      </c>
      <c r="U93" s="109" t="s">
        <v>1648</v>
      </c>
      <c r="V93" s="108">
        <v>53</v>
      </c>
      <c r="W93" s="108">
        <v>748</v>
      </c>
      <c r="X93" s="108">
        <v>0</v>
      </c>
      <c r="Y93" s="108">
        <v>0</v>
      </c>
      <c r="Z93" s="108">
        <v>0</v>
      </c>
      <c r="AA93" s="108">
        <v>0</v>
      </c>
      <c r="AB93" s="108">
        <v>7</v>
      </c>
      <c r="AC93" s="108">
        <v>71</v>
      </c>
      <c r="AD93" s="108">
        <v>139</v>
      </c>
      <c r="AE93" s="108">
        <v>1311</v>
      </c>
      <c r="AF93" s="108">
        <v>0</v>
      </c>
      <c r="AG93" s="108">
        <v>0</v>
      </c>
      <c r="AH93" s="108">
        <v>0</v>
      </c>
      <c r="AI93" s="108">
        <v>0</v>
      </c>
      <c r="AJ93" s="108">
        <v>14</v>
      </c>
      <c r="AK93" s="108">
        <v>155</v>
      </c>
      <c r="AL93" s="108">
        <v>201</v>
      </c>
      <c r="AM93" s="108">
        <v>2314</v>
      </c>
      <c r="AN93" s="108">
        <f t="shared" si="5"/>
        <v>215</v>
      </c>
      <c r="AO93" s="108">
        <f t="shared" si="6"/>
        <v>2469</v>
      </c>
      <c r="AP93" s="110">
        <f t="shared" si="4"/>
        <v>11.483720930232558</v>
      </c>
      <c r="AQ93" s="110">
        <f t="shared" si="7"/>
        <v>0.42154686699675603</v>
      </c>
      <c r="AR93" s="108">
        <v>0</v>
      </c>
      <c r="AS93" s="108">
        <v>0</v>
      </c>
      <c r="AT93" s="108">
        <v>5857</v>
      </c>
    </row>
    <row r="94" spans="1:46" ht="13.5" thickBot="1" x14ac:dyDescent="0.25">
      <c r="A94" s="48" t="s">
        <v>450</v>
      </c>
      <c r="B94" s="47" t="s">
        <v>449</v>
      </c>
      <c r="C94" s="48" t="s">
        <v>17</v>
      </c>
      <c r="D94" s="48" t="s">
        <v>1649</v>
      </c>
      <c r="E94" s="48" t="s">
        <v>1649</v>
      </c>
      <c r="F94" s="108">
        <v>34</v>
      </c>
      <c r="G94" s="108">
        <v>168</v>
      </c>
      <c r="H94" s="108">
        <v>0</v>
      </c>
      <c r="I94" s="108">
        <v>0</v>
      </c>
      <c r="J94" s="108">
        <v>5</v>
      </c>
      <c r="K94" s="108">
        <v>73</v>
      </c>
      <c r="L94" s="108">
        <v>0</v>
      </c>
      <c r="M94" s="108">
        <v>0</v>
      </c>
      <c r="N94" s="108">
        <v>12</v>
      </c>
      <c r="O94" s="108">
        <v>6</v>
      </c>
      <c r="P94" s="108">
        <v>18</v>
      </c>
      <c r="Q94" s="108">
        <v>0</v>
      </c>
      <c r="R94" s="108">
        <v>0</v>
      </c>
      <c r="S94" s="108">
        <v>39</v>
      </c>
      <c r="T94" s="108">
        <v>241</v>
      </c>
      <c r="U94" s="109" t="s">
        <v>1649</v>
      </c>
      <c r="V94" s="108">
        <v>34</v>
      </c>
      <c r="W94" s="108">
        <v>168</v>
      </c>
      <c r="X94" s="108">
        <v>0</v>
      </c>
      <c r="Y94" s="108">
        <v>0</v>
      </c>
      <c r="Z94" s="108">
        <v>0</v>
      </c>
      <c r="AA94" s="108">
        <v>0</v>
      </c>
      <c r="AB94" s="108">
        <v>0</v>
      </c>
      <c r="AC94" s="108">
        <v>0</v>
      </c>
      <c r="AD94" s="108">
        <v>28</v>
      </c>
      <c r="AE94" s="108">
        <v>50</v>
      </c>
      <c r="AF94" s="108">
        <v>0</v>
      </c>
      <c r="AG94" s="108">
        <v>0</v>
      </c>
      <c r="AH94" s="108">
        <v>11</v>
      </c>
      <c r="AI94" s="108">
        <v>131</v>
      </c>
      <c r="AJ94" s="108">
        <v>0</v>
      </c>
      <c r="AK94" s="108">
        <v>0</v>
      </c>
      <c r="AL94" s="108">
        <v>78</v>
      </c>
      <c r="AM94" s="108">
        <v>422</v>
      </c>
      <c r="AN94" s="108">
        <f t="shared" si="5"/>
        <v>78</v>
      </c>
      <c r="AO94" s="108">
        <f t="shared" si="6"/>
        <v>422</v>
      </c>
      <c r="AP94" s="110">
        <f t="shared" si="4"/>
        <v>5.4102564102564106</v>
      </c>
      <c r="AQ94" s="110">
        <f t="shared" si="7"/>
        <v>0.10190775175078483</v>
      </c>
      <c r="AR94" s="108">
        <v>0</v>
      </c>
      <c r="AS94" s="108">
        <v>0</v>
      </c>
      <c r="AT94" s="108">
        <v>4141</v>
      </c>
    </row>
    <row r="95" spans="1:46" ht="13.5" thickBot="1" x14ac:dyDescent="0.25">
      <c r="A95" s="48" t="s">
        <v>456</v>
      </c>
      <c r="B95" s="47" t="s">
        <v>455</v>
      </c>
      <c r="C95" s="48" t="s">
        <v>17</v>
      </c>
      <c r="D95" s="48" t="s">
        <v>1649</v>
      </c>
      <c r="E95" s="48" t="s">
        <v>1649</v>
      </c>
      <c r="F95" s="108">
        <v>3</v>
      </c>
      <c r="G95" s="108">
        <v>225</v>
      </c>
      <c r="H95" s="108">
        <v>0</v>
      </c>
      <c r="I95" s="108">
        <v>0</v>
      </c>
      <c r="J95" s="108">
        <v>1</v>
      </c>
      <c r="K95" s="108">
        <v>24</v>
      </c>
      <c r="L95" s="108">
        <v>0</v>
      </c>
      <c r="M95" s="108">
        <v>0</v>
      </c>
      <c r="N95" s="108">
        <v>51</v>
      </c>
      <c r="O95" s="108">
        <v>4</v>
      </c>
      <c r="P95" s="108">
        <v>55</v>
      </c>
      <c r="Q95" s="108">
        <v>0</v>
      </c>
      <c r="R95" s="108">
        <v>0</v>
      </c>
      <c r="S95" s="108">
        <v>4</v>
      </c>
      <c r="T95" s="108">
        <v>249</v>
      </c>
      <c r="U95" s="109" t="s">
        <v>1648</v>
      </c>
      <c r="V95" s="108">
        <v>1</v>
      </c>
      <c r="W95" s="108">
        <v>11</v>
      </c>
      <c r="X95" s="108">
        <v>0</v>
      </c>
      <c r="Y95" s="108">
        <v>0</v>
      </c>
      <c r="Z95" s="108">
        <v>0</v>
      </c>
      <c r="AA95" s="108">
        <v>0</v>
      </c>
      <c r="AB95" s="108">
        <v>0</v>
      </c>
      <c r="AC95" s="108">
        <v>0</v>
      </c>
      <c r="AD95" s="108">
        <v>7</v>
      </c>
      <c r="AE95" s="108">
        <v>135</v>
      </c>
      <c r="AF95" s="108">
        <v>0</v>
      </c>
      <c r="AG95" s="108">
        <v>0</v>
      </c>
      <c r="AH95" s="108">
        <v>0</v>
      </c>
      <c r="AI95" s="108">
        <v>0</v>
      </c>
      <c r="AJ95" s="108">
        <v>0</v>
      </c>
      <c r="AK95" s="108">
        <v>0</v>
      </c>
      <c r="AL95" s="108">
        <v>11</v>
      </c>
      <c r="AM95" s="108">
        <v>384</v>
      </c>
      <c r="AN95" s="108">
        <f t="shared" si="5"/>
        <v>11</v>
      </c>
      <c r="AO95" s="108">
        <f t="shared" si="6"/>
        <v>384</v>
      </c>
      <c r="AP95" s="110">
        <f t="shared" si="4"/>
        <v>34.909090909090907</v>
      </c>
      <c r="AQ95" s="110">
        <f t="shared" si="7"/>
        <v>9.1493924231593998E-2</v>
      </c>
      <c r="AR95" s="108">
        <v>0</v>
      </c>
      <c r="AS95" s="108">
        <v>0</v>
      </c>
      <c r="AT95" s="108">
        <v>4197</v>
      </c>
    </row>
    <row r="96" spans="1:46" ht="13.5" thickBot="1" x14ac:dyDescent="0.25">
      <c r="A96" s="48" t="s">
        <v>466</v>
      </c>
      <c r="B96" s="47" t="s">
        <v>465</v>
      </c>
      <c r="C96" s="48" t="s">
        <v>17</v>
      </c>
      <c r="D96" s="48" t="s">
        <v>1649</v>
      </c>
      <c r="E96" s="48" t="s">
        <v>1649</v>
      </c>
      <c r="F96" s="108">
        <v>31</v>
      </c>
      <c r="G96" s="108">
        <v>282</v>
      </c>
      <c r="H96" s="108">
        <v>0</v>
      </c>
      <c r="I96" s="108">
        <v>0</v>
      </c>
      <c r="J96" s="108">
        <v>1</v>
      </c>
      <c r="K96" s="108">
        <v>31</v>
      </c>
      <c r="L96" s="108">
        <v>0</v>
      </c>
      <c r="M96" s="108">
        <v>0</v>
      </c>
      <c r="N96" s="109">
        <v>0</v>
      </c>
      <c r="O96" s="109">
        <v>0</v>
      </c>
      <c r="P96" s="109">
        <v>0</v>
      </c>
      <c r="Q96" s="108">
        <v>0</v>
      </c>
      <c r="R96" s="108">
        <v>0</v>
      </c>
      <c r="S96" s="108">
        <v>32</v>
      </c>
      <c r="T96" s="108">
        <v>313</v>
      </c>
      <c r="U96" s="109" t="s">
        <v>1648</v>
      </c>
      <c r="V96" s="108">
        <v>34</v>
      </c>
      <c r="W96" s="108">
        <v>282</v>
      </c>
      <c r="X96" s="108">
        <v>0</v>
      </c>
      <c r="Y96" s="108">
        <v>0</v>
      </c>
      <c r="Z96" s="108">
        <v>0</v>
      </c>
      <c r="AA96" s="108">
        <v>0</v>
      </c>
      <c r="AB96" s="108">
        <v>0</v>
      </c>
      <c r="AC96" s="108">
        <v>0</v>
      </c>
      <c r="AD96" s="108">
        <v>0</v>
      </c>
      <c r="AE96" s="108">
        <v>0</v>
      </c>
      <c r="AF96" s="108">
        <v>0</v>
      </c>
      <c r="AG96" s="108">
        <v>0</v>
      </c>
      <c r="AH96" s="108">
        <v>0</v>
      </c>
      <c r="AI96" s="108">
        <v>0</v>
      </c>
      <c r="AJ96" s="108">
        <v>0</v>
      </c>
      <c r="AK96" s="108">
        <v>0</v>
      </c>
      <c r="AL96" s="108">
        <v>32</v>
      </c>
      <c r="AM96" s="108">
        <v>313</v>
      </c>
      <c r="AN96" s="108">
        <f t="shared" si="5"/>
        <v>32</v>
      </c>
      <c r="AO96" s="108">
        <f t="shared" si="6"/>
        <v>313</v>
      </c>
      <c r="AP96" s="110">
        <f t="shared" si="4"/>
        <v>9.78125</v>
      </c>
      <c r="AQ96" s="110">
        <f t="shared" si="7"/>
        <v>6.3003220611916266E-2</v>
      </c>
      <c r="AR96" s="108">
        <v>0</v>
      </c>
      <c r="AS96" s="108">
        <v>0</v>
      </c>
      <c r="AT96" s="108">
        <v>4968</v>
      </c>
    </row>
    <row r="97" spans="1:46" ht="13.5" thickBot="1" x14ac:dyDescent="0.25">
      <c r="A97" s="48" t="s">
        <v>478</v>
      </c>
      <c r="B97" s="47" t="s">
        <v>477</v>
      </c>
      <c r="C97" s="48" t="s">
        <v>17</v>
      </c>
      <c r="D97" s="48" t="s">
        <v>1649</v>
      </c>
      <c r="E97" s="48" t="s">
        <v>1649</v>
      </c>
      <c r="F97" s="108">
        <v>9</v>
      </c>
      <c r="G97" s="108">
        <v>83</v>
      </c>
      <c r="H97" s="108">
        <v>0</v>
      </c>
      <c r="I97" s="108">
        <v>0</v>
      </c>
      <c r="J97" s="108">
        <v>0</v>
      </c>
      <c r="K97" s="108">
        <v>0</v>
      </c>
      <c r="L97" s="108">
        <v>0</v>
      </c>
      <c r="M97" s="108">
        <v>0</v>
      </c>
      <c r="N97" s="108">
        <v>23</v>
      </c>
      <c r="O97" s="108">
        <v>0</v>
      </c>
      <c r="P97" s="108">
        <v>23</v>
      </c>
      <c r="Q97" s="108">
        <v>0</v>
      </c>
      <c r="R97" s="108">
        <v>0</v>
      </c>
      <c r="S97" s="108">
        <v>9</v>
      </c>
      <c r="T97" s="108">
        <v>83</v>
      </c>
      <c r="U97" s="109" t="s">
        <v>1648</v>
      </c>
      <c r="V97" s="108">
        <v>9</v>
      </c>
      <c r="W97" s="108">
        <v>83</v>
      </c>
      <c r="X97" s="108">
        <v>0</v>
      </c>
      <c r="Y97" s="108">
        <v>0</v>
      </c>
      <c r="Z97" s="108">
        <v>0</v>
      </c>
      <c r="AA97" s="108">
        <v>0</v>
      </c>
      <c r="AB97" s="108">
        <v>0</v>
      </c>
      <c r="AC97" s="108">
        <v>0</v>
      </c>
      <c r="AD97" s="108">
        <v>15</v>
      </c>
      <c r="AE97" s="108">
        <v>201</v>
      </c>
      <c r="AF97" s="108">
        <v>0</v>
      </c>
      <c r="AG97" s="108">
        <v>0</v>
      </c>
      <c r="AH97" s="108">
        <v>0</v>
      </c>
      <c r="AI97" s="108">
        <v>0</v>
      </c>
      <c r="AJ97" s="108">
        <v>0</v>
      </c>
      <c r="AK97" s="108">
        <v>0</v>
      </c>
      <c r="AL97" s="108">
        <v>24</v>
      </c>
      <c r="AM97" s="108">
        <v>284</v>
      </c>
      <c r="AN97" s="108">
        <f t="shared" si="5"/>
        <v>24</v>
      </c>
      <c r="AO97" s="108">
        <f t="shared" si="6"/>
        <v>284</v>
      </c>
      <c r="AP97" s="110">
        <f t="shared" si="4"/>
        <v>11.833333333333334</v>
      </c>
      <c r="AQ97" s="110">
        <f t="shared" si="7"/>
        <v>6.9251402097049497E-2</v>
      </c>
      <c r="AR97" s="108">
        <v>0</v>
      </c>
      <c r="AS97" s="108">
        <v>0</v>
      </c>
      <c r="AT97" s="108">
        <v>4101</v>
      </c>
    </row>
    <row r="98" spans="1:46" ht="13.5" thickBot="1" x14ac:dyDescent="0.25">
      <c r="A98" s="48" t="s">
        <v>480</v>
      </c>
      <c r="B98" s="47" t="s">
        <v>479</v>
      </c>
      <c r="C98" s="48" t="s">
        <v>17</v>
      </c>
      <c r="D98" s="48" t="s">
        <v>1649</v>
      </c>
      <c r="E98" s="48" t="s">
        <v>1649</v>
      </c>
      <c r="F98" s="108">
        <v>14</v>
      </c>
      <c r="G98" s="108">
        <v>409</v>
      </c>
      <c r="H98" s="108">
        <v>0</v>
      </c>
      <c r="I98" s="108">
        <v>0</v>
      </c>
      <c r="J98" s="108">
        <v>3</v>
      </c>
      <c r="K98" s="108">
        <v>140</v>
      </c>
      <c r="L98" s="108">
        <v>0</v>
      </c>
      <c r="M98" s="108">
        <v>0</v>
      </c>
      <c r="N98" s="108">
        <v>174</v>
      </c>
      <c r="O98" s="108">
        <v>22</v>
      </c>
      <c r="P98" s="108">
        <v>196</v>
      </c>
      <c r="Q98" s="108">
        <v>0</v>
      </c>
      <c r="R98" s="108">
        <v>0</v>
      </c>
      <c r="S98" s="108">
        <v>17</v>
      </c>
      <c r="T98" s="108">
        <v>549</v>
      </c>
      <c r="U98" s="109" t="s">
        <v>1648</v>
      </c>
      <c r="V98" s="108">
        <v>12</v>
      </c>
      <c r="W98" s="108">
        <v>367</v>
      </c>
      <c r="X98" s="108">
        <v>0</v>
      </c>
      <c r="Y98" s="108">
        <v>0</v>
      </c>
      <c r="Z98" s="108">
        <v>0</v>
      </c>
      <c r="AA98" s="108">
        <v>0</v>
      </c>
      <c r="AB98" s="108">
        <v>0</v>
      </c>
      <c r="AC98" s="108">
        <v>0</v>
      </c>
      <c r="AD98" s="108">
        <v>11</v>
      </c>
      <c r="AE98" s="108">
        <v>81</v>
      </c>
      <c r="AF98" s="108">
        <v>0</v>
      </c>
      <c r="AG98" s="108">
        <v>0</v>
      </c>
      <c r="AH98" s="109">
        <v>0</v>
      </c>
      <c r="AI98" s="108">
        <v>0</v>
      </c>
      <c r="AJ98" s="108">
        <v>0</v>
      </c>
      <c r="AK98" s="108">
        <v>0</v>
      </c>
      <c r="AL98" s="108">
        <v>28</v>
      </c>
      <c r="AM98" s="108">
        <v>630</v>
      </c>
      <c r="AN98" s="108">
        <f t="shared" si="5"/>
        <v>28</v>
      </c>
      <c r="AO98" s="108">
        <f t="shared" si="6"/>
        <v>630</v>
      </c>
      <c r="AP98" s="110">
        <f t="shared" si="4"/>
        <v>22.5</v>
      </c>
      <c r="AQ98" s="110">
        <f t="shared" si="7"/>
        <v>0.12020606754436176</v>
      </c>
      <c r="AR98" s="108">
        <v>0</v>
      </c>
      <c r="AS98" s="108">
        <v>0</v>
      </c>
      <c r="AT98" s="108">
        <v>5241</v>
      </c>
    </row>
    <row r="99" spans="1:46" ht="13.5" thickBot="1" x14ac:dyDescent="0.25">
      <c r="A99" s="48" t="s">
        <v>488</v>
      </c>
      <c r="B99" s="47" t="s">
        <v>487</v>
      </c>
      <c r="C99" s="48" t="s">
        <v>17</v>
      </c>
      <c r="D99" s="48" t="s">
        <v>1649</v>
      </c>
      <c r="E99" s="48" t="s">
        <v>1649</v>
      </c>
      <c r="F99" s="108">
        <v>18</v>
      </c>
      <c r="G99" s="108">
        <v>195</v>
      </c>
      <c r="H99" s="108">
        <v>2</v>
      </c>
      <c r="I99" s="108">
        <v>22</v>
      </c>
      <c r="J99" s="108">
        <v>0</v>
      </c>
      <c r="K99" s="108">
        <v>0</v>
      </c>
      <c r="L99" s="108">
        <v>0</v>
      </c>
      <c r="M99" s="108">
        <v>0</v>
      </c>
      <c r="N99" s="108">
        <v>66</v>
      </c>
      <c r="O99" s="108">
        <v>12</v>
      </c>
      <c r="P99" s="108">
        <v>78</v>
      </c>
      <c r="Q99" s="108">
        <v>0</v>
      </c>
      <c r="R99" s="108">
        <v>0</v>
      </c>
      <c r="S99" s="108">
        <v>18</v>
      </c>
      <c r="T99" s="108">
        <v>195</v>
      </c>
      <c r="U99" s="109" t="s">
        <v>1648</v>
      </c>
      <c r="V99" s="108">
        <v>6</v>
      </c>
      <c r="W99" s="108">
        <v>66</v>
      </c>
      <c r="X99" s="108">
        <v>0</v>
      </c>
      <c r="Y99" s="108">
        <v>0</v>
      </c>
      <c r="Z99" s="108">
        <v>2</v>
      </c>
      <c r="AA99" s="108">
        <v>22</v>
      </c>
      <c r="AB99" s="108">
        <v>0</v>
      </c>
      <c r="AC99" s="108">
        <v>0</v>
      </c>
      <c r="AD99" s="108">
        <v>4</v>
      </c>
      <c r="AE99" s="108">
        <v>79</v>
      </c>
      <c r="AF99" s="108">
        <v>0</v>
      </c>
      <c r="AG99" s="108">
        <v>0</v>
      </c>
      <c r="AH99" s="108">
        <v>2</v>
      </c>
      <c r="AI99" s="108">
        <v>301</v>
      </c>
      <c r="AJ99" s="108">
        <v>0</v>
      </c>
      <c r="AK99" s="108">
        <v>0</v>
      </c>
      <c r="AL99" s="108">
        <v>26</v>
      </c>
      <c r="AM99" s="108">
        <v>597</v>
      </c>
      <c r="AN99" s="108">
        <f t="shared" si="5"/>
        <v>26</v>
      </c>
      <c r="AO99" s="108">
        <f t="shared" si="6"/>
        <v>597</v>
      </c>
      <c r="AP99" s="110">
        <f t="shared" si="4"/>
        <v>22.96153846153846</v>
      </c>
      <c r="AQ99" s="110">
        <f t="shared" si="7"/>
        <v>0.11569767441860465</v>
      </c>
      <c r="AR99" s="108">
        <v>0</v>
      </c>
      <c r="AS99" s="108">
        <v>0</v>
      </c>
      <c r="AT99" s="108">
        <v>5160</v>
      </c>
    </row>
    <row r="100" spans="1:46" ht="13.5" thickBot="1" x14ac:dyDescent="0.25">
      <c r="A100" s="48" t="s">
        <v>490</v>
      </c>
      <c r="B100" s="47" t="s">
        <v>489</v>
      </c>
      <c r="C100" s="48" t="s">
        <v>17</v>
      </c>
      <c r="D100" s="48" t="s">
        <v>1648</v>
      </c>
      <c r="E100" s="48" t="s">
        <v>1649</v>
      </c>
      <c r="F100" s="108">
        <v>346</v>
      </c>
      <c r="G100" s="108">
        <v>10470</v>
      </c>
      <c r="H100" s="108">
        <v>0</v>
      </c>
      <c r="I100" s="108">
        <v>0</v>
      </c>
      <c r="J100" s="108">
        <v>7</v>
      </c>
      <c r="K100" s="108">
        <v>275</v>
      </c>
      <c r="L100" s="108">
        <v>0</v>
      </c>
      <c r="M100" s="108">
        <v>0</v>
      </c>
      <c r="N100" s="108">
        <v>85</v>
      </c>
      <c r="O100" s="108">
        <v>0</v>
      </c>
      <c r="P100" s="108">
        <v>85</v>
      </c>
      <c r="Q100" s="108">
        <v>0</v>
      </c>
      <c r="R100" s="108">
        <v>0</v>
      </c>
      <c r="S100" s="108">
        <v>353</v>
      </c>
      <c r="T100" s="108">
        <v>10745</v>
      </c>
      <c r="U100" s="109" t="s">
        <v>1648</v>
      </c>
      <c r="V100" s="108">
        <v>26</v>
      </c>
      <c r="W100" s="108">
        <v>280</v>
      </c>
      <c r="X100" s="108">
        <v>0</v>
      </c>
      <c r="Y100" s="108">
        <v>0</v>
      </c>
      <c r="Z100" s="108">
        <v>0</v>
      </c>
      <c r="AA100" s="108">
        <v>0</v>
      </c>
      <c r="AB100" s="108">
        <v>0</v>
      </c>
      <c r="AC100" s="108">
        <v>0</v>
      </c>
      <c r="AD100" s="108">
        <v>0</v>
      </c>
      <c r="AE100" s="108">
        <v>0</v>
      </c>
      <c r="AF100" s="108">
        <v>0</v>
      </c>
      <c r="AG100" s="108">
        <v>0</v>
      </c>
      <c r="AH100" s="108">
        <v>4</v>
      </c>
      <c r="AI100" s="108">
        <v>125</v>
      </c>
      <c r="AJ100" s="108">
        <v>0</v>
      </c>
      <c r="AK100" s="108">
        <v>0</v>
      </c>
      <c r="AL100" s="108">
        <v>357</v>
      </c>
      <c r="AM100" s="108">
        <v>10870</v>
      </c>
      <c r="AN100" s="108">
        <f t="shared" si="5"/>
        <v>357</v>
      </c>
      <c r="AO100" s="108">
        <f t="shared" si="6"/>
        <v>10870</v>
      </c>
      <c r="AP100" s="110">
        <f t="shared" ref="AP100:AP163" si="8">AO100/AN100</f>
        <v>30.448179271708682</v>
      </c>
      <c r="AQ100" s="110">
        <f t="shared" si="7"/>
        <v>1.8609827084403356</v>
      </c>
      <c r="AR100" s="108">
        <v>0</v>
      </c>
      <c r="AS100" s="108">
        <v>0</v>
      </c>
      <c r="AT100" s="108">
        <v>5841</v>
      </c>
    </row>
    <row r="101" spans="1:46" ht="13.5" thickBot="1" x14ac:dyDescent="0.25">
      <c r="A101" s="48" t="s">
        <v>494</v>
      </c>
      <c r="B101" s="47" t="s">
        <v>493</v>
      </c>
      <c r="C101" s="48" t="s">
        <v>17</v>
      </c>
      <c r="D101" s="48" t="s">
        <v>1649</v>
      </c>
      <c r="E101" s="48" t="s">
        <v>1649</v>
      </c>
      <c r="F101" s="108">
        <v>30</v>
      </c>
      <c r="G101" s="108">
        <v>524</v>
      </c>
      <c r="H101" s="108">
        <v>0</v>
      </c>
      <c r="I101" s="108">
        <v>0</v>
      </c>
      <c r="J101" s="108">
        <v>6</v>
      </c>
      <c r="K101" s="108">
        <v>190</v>
      </c>
      <c r="L101" s="108">
        <v>0</v>
      </c>
      <c r="M101" s="108">
        <v>0</v>
      </c>
      <c r="N101" s="108">
        <v>524</v>
      </c>
      <c r="O101" s="108">
        <v>0</v>
      </c>
      <c r="P101" s="108">
        <v>524</v>
      </c>
      <c r="Q101" s="108">
        <v>0</v>
      </c>
      <c r="R101" s="108">
        <v>0</v>
      </c>
      <c r="S101" s="108">
        <v>36</v>
      </c>
      <c r="T101" s="108">
        <v>714</v>
      </c>
      <c r="U101" s="109" t="s">
        <v>1648</v>
      </c>
      <c r="V101" s="108">
        <v>30</v>
      </c>
      <c r="W101" s="109">
        <v>0</v>
      </c>
      <c r="X101" s="108">
        <v>0</v>
      </c>
      <c r="Y101" s="108">
        <v>0</v>
      </c>
      <c r="Z101" s="108">
        <v>0</v>
      </c>
      <c r="AA101" s="108">
        <v>0</v>
      </c>
      <c r="AB101" s="108">
        <v>0</v>
      </c>
      <c r="AC101" s="108">
        <v>0</v>
      </c>
      <c r="AD101" s="108">
        <v>0</v>
      </c>
      <c r="AE101" s="108">
        <v>0</v>
      </c>
      <c r="AF101" s="108">
        <v>0</v>
      </c>
      <c r="AG101" s="108">
        <v>0</v>
      </c>
      <c r="AH101" s="108">
        <v>97</v>
      </c>
      <c r="AI101" s="108">
        <v>453</v>
      </c>
      <c r="AJ101" s="108">
        <v>0</v>
      </c>
      <c r="AK101" s="108">
        <v>0</v>
      </c>
      <c r="AL101" s="108">
        <v>133</v>
      </c>
      <c r="AM101" s="108">
        <v>1167</v>
      </c>
      <c r="AN101" s="108">
        <f t="shared" si="5"/>
        <v>133</v>
      </c>
      <c r="AO101" s="108">
        <f t="shared" si="6"/>
        <v>1167</v>
      </c>
      <c r="AP101" s="110">
        <f t="shared" si="8"/>
        <v>8.7744360902255636</v>
      </c>
      <c r="AQ101" s="110">
        <f t="shared" si="7"/>
        <v>0.24672304439746301</v>
      </c>
      <c r="AR101" s="108">
        <v>0</v>
      </c>
      <c r="AS101" s="108">
        <v>0</v>
      </c>
      <c r="AT101" s="108">
        <v>4730</v>
      </c>
    </row>
    <row r="102" spans="1:46" ht="13.5" thickBot="1" x14ac:dyDescent="0.25">
      <c r="A102" s="48" t="s">
        <v>512</v>
      </c>
      <c r="B102" s="47" t="s">
        <v>511</v>
      </c>
      <c r="C102" s="48" t="s">
        <v>17</v>
      </c>
      <c r="D102" s="48" t="s">
        <v>1649</v>
      </c>
      <c r="E102" s="48" t="s">
        <v>1649</v>
      </c>
      <c r="F102" s="108">
        <v>15</v>
      </c>
      <c r="G102" s="108">
        <v>148</v>
      </c>
      <c r="H102" s="108">
        <v>1</v>
      </c>
      <c r="I102" s="108">
        <v>7</v>
      </c>
      <c r="J102" s="108">
        <v>6</v>
      </c>
      <c r="K102" s="108">
        <v>121</v>
      </c>
      <c r="L102" s="108">
        <v>4</v>
      </c>
      <c r="M102" s="108">
        <v>22</v>
      </c>
      <c r="N102" s="108">
        <v>62</v>
      </c>
      <c r="O102" s="108">
        <v>10</v>
      </c>
      <c r="P102" s="108">
        <v>72</v>
      </c>
      <c r="Q102" s="108">
        <v>0</v>
      </c>
      <c r="R102" s="108">
        <v>0</v>
      </c>
      <c r="S102" s="108">
        <v>21</v>
      </c>
      <c r="T102" s="108">
        <v>269</v>
      </c>
      <c r="U102" s="109" t="s">
        <v>1648</v>
      </c>
      <c r="V102" s="108">
        <v>15</v>
      </c>
      <c r="W102" s="108">
        <v>148</v>
      </c>
      <c r="X102" s="108">
        <v>0</v>
      </c>
      <c r="Y102" s="108">
        <v>0</v>
      </c>
      <c r="Z102" s="108">
        <v>5</v>
      </c>
      <c r="AA102" s="108">
        <v>29</v>
      </c>
      <c r="AB102" s="108">
        <v>0</v>
      </c>
      <c r="AC102" s="108">
        <v>0</v>
      </c>
      <c r="AD102" s="108">
        <v>71</v>
      </c>
      <c r="AE102" s="108">
        <v>661</v>
      </c>
      <c r="AF102" s="108">
        <v>0</v>
      </c>
      <c r="AG102" s="108">
        <v>0</v>
      </c>
      <c r="AH102" s="108">
        <v>3</v>
      </c>
      <c r="AI102" s="108">
        <v>265</v>
      </c>
      <c r="AJ102" s="108">
        <v>0</v>
      </c>
      <c r="AK102" s="108">
        <v>0</v>
      </c>
      <c r="AL102" s="108">
        <v>100</v>
      </c>
      <c r="AM102" s="108">
        <v>1224</v>
      </c>
      <c r="AN102" s="108">
        <f t="shared" si="5"/>
        <v>100</v>
      </c>
      <c r="AO102" s="108">
        <f t="shared" si="6"/>
        <v>1224</v>
      </c>
      <c r="AP102" s="110">
        <f t="shared" si="8"/>
        <v>12.24</v>
      </c>
      <c r="AQ102" s="110">
        <f t="shared" si="7"/>
        <v>0.24132492113564669</v>
      </c>
      <c r="AR102" s="108">
        <v>0</v>
      </c>
      <c r="AS102" s="108">
        <v>0</v>
      </c>
      <c r="AT102" s="108">
        <v>5072</v>
      </c>
    </row>
    <row r="103" spans="1:46" ht="13.5" thickBot="1" x14ac:dyDescent="0.25">
      <c r="A103" s="48" t="s">
        <v>532</v>
      </c>
      <c r="B103" s="47" t="s">
        <v>531</v>
      </c>
      <c r="C103" s="48" t="s">
        <v>17</v>
      </c>
      <c r="D103" s="48" t="s">
        <v>1649</v>
      </c>
      <c r="E103" s="48" t="s">
        <v>1649</v>
      </c>
      <c r="F103" s="108">
        <v>9</v>
      </c>
      <c r="G103" s="108">
        <v>4</v>
      </c>
      <c r="H103" s="108">
        <v>0</v>
      </c>
      <c r="I103" s="108">
        <v>0</v>
      </c>
      <c r="J103" s="108">
        <v>2</v>
      </c>
      <c r="K103" s="108">
        <v>0</v>
      </c>
      <c r="L103" s="108">
        <v>0</v>
      </c>
      <c r="M103" s="108">
        <v>0</v>
      </c>
      <c r="N103" s="108">
        <v>0</v>
      </c>
      <c r="O103" s="108">
        <v>0</v>
      </c>
      <c r="P103" s="108">
        <v>0</v>
      </c>
      <c r="Q103" s="108">
        <v>0</v>
      </c>
      <c r="R103" s="108">
        <v>0</v>
      </c>
      <c r="S103" s="108">
        <v>11</v>
      </c>
      <c r="T103" s="108">
        <v>4</v>
      </c>
      <c r="U103" s="109" t="s">
        <v>1648</v>
      </c>
      <c r="V103" s="108">
        <v>1</v>
      </c>
      <c r="W103" s="108">
        <v>4</v>
      </c>
      <c r="X103" s="108">
        <v>0</v>
      </c>
      <c r="Y103" s="108">
        <v>0</v>
      </c>
      <c r="Z103" s="108">
        <v>0</v>
      </c>
      <c r="AA103" s="108">
        <v>0</v>
      </c>
      <c r="AB103" s="108">
        <v>0</v>
      </c>
      <c r="AC103" s="108">
        <v>0</v>
      </c>
      <c r="AD103" s="108">
        <v>16</v>
      </c>
      <c r="AE103" s="108">
        <v>0</v>
      </c>
      <c r="AF103" s="108">
        <v>0</v>
      </c>
      <c r="AG103" s="108">
        <v>0</v>
      </c>
      <c r="AH103" s="108">
        <v>4</v>
      </c>
      <c r="AI103" s="108">
        <v>187</v>
      </c>
      <c r="AJ103" s="108">
        <v>0</v>
      </c>
      <c r="AK103" s="108">
        <v>0</v>
      </c>
      <c r="AL103" s="108">
        <v>31</v>
      </c>
      <c r="AM103" s="108">
        <v>191</v>
      </c>
      <c r="AN103" s="108">
        <f t="shared" si="5"/>
        <v>31</v>
      </c>
      <c r="AO103" s="108">
        <f t="shared" si="6"/>
        <v>191</v>
      </c>
      <c r="AP103" s="110">
        <f t="shared" si="8"/>
        <v>6.161290322580645</v>
      </c>
      <c r="AQ103" s="110">
        <f t="shared" si="7"/>
        <v>4.2738867755650035E-2</v>
      </c>
      <c r="AR103" s="108">
        <v>0</v>
      </c>
      <c r="AS103" s="108">
        <v>0</v>
      </c>
      <c r="AT103" s="108">
        <v>4469</v>
      </c>
    </row>
    <row r="104" spans="1:46" ht="13.5" thickBot="1" x14ac:dyDescent="0.25">
      <c r="A104" s="48" t="s">
        <v>560</v>
      </c>
      <c r="B104" s="47" t="s">
        <v>559</v>
      </c>
      <c r="C104" s="48" t="s">
        <v>17</v>
      </c>
      <c r="D104" s="48" t="s">
        <v>1649</v>
      </c>
      <c r="E104" s="48" t="s">
        <v>1649</v>
      </c>
      <c r="F104" s="108">
        <v>16</v>
      </c>
      <c r="G104" s="108">
        <v>395</v>
      </c>
      <c r="H104" s="108">
        <v>3</v>
      </c>
      <c r="I104" s="108">
        <v>16</v>
      </c>
      <c r="J104" s="108">
        <v>0</v>
      </c>
      <c r="K104" s="108">
        <v>0</v>
      </c>
      <c r="L104" s="108">
        <v>0</v>
      </c>
      <c r="M104" s="108">
        <v>0</v>
      </c>
      <c r="N104" s="108">
        <v>28</v>
      </c>
      <c r="O104" s="108">
        <v>7</v>
      </c>
      <c r="P104" s="108">
        <v>35</v>
      </c>
      <c r="Q104" s="108">
        <v>0</v>
      </c>
      <c r="R104" s="108">
        <v>0</v>
      </c>
      <c r="S104" s="108">
        <v>16</v>
      </c>
      <c r="T104" s="108">
        <v>395</v>
      </c>
      <c r="U104" s="109" t="s">
        <v>1648</v>
      </c>
      <c r="V104" s="108">
        <v>16</v>
      </c>
      <c r="W104" s="108">
        <v>395</v>
      </c>
      <c r="X104" s="108">
        <v>0</v>
      </c>
      <c r="Y104" s="108">
        <v>0</v>
      </c>
      <c r="Z104" s="108">
        <v>3</v>
      </c>
      <c r="AA104" s="108">
        <v>16</v>
      </c>
      <c r="AB104" s="108">
        <v>0</v>
      </c>
      <c r="AC104" s="108">
        <v>0</v>
      </c>
      <c r="AD104" s="108">
        <v>38</v>
      </c>
      <c r="AE104" s="108">
        <v>319</v>
      </c>
      <c r="AF104" s="108">
        <v>0</v>
      </c>
      <c r="AG104" s="108">
        <v>0</v>
      </c>
      <c r="AH104" s="108">
        <v>59</v>
      </c>
      <c r="AI104" s="108">
        <v>263</v>
      </c>
      <c r="AJ104" s="108">
        <v>0</v>
      </c>
      <c r="AK104" s="108">
        <v>0</v>
      </c>
      <c r="AL104" s="108">
        <v>116</v>
      </c>
      <c r="AM104" s="108">
        <v>993</v>
      </c>
      <c r="AN104" s="108">
        <f t="shared" si="5"/>
        <v>116</v>
      </c>
      <c r="AO104" s="108">
        <f t="shared" si="6"/>
        <v>993</v>
      </c>
      <c r="AP104" s="110">
        <f t="shared" si="8"/>
        <v>8.5603448275862064</v>
      </c>
      <c r="AQ104" s="110">
        <f t="shared" si="7"/>
        <v>0.18718190386427899</v>
      </c>
      <c r="AR104" s="108">
        <v>0</v>
      </c>
      <c r="AS104" s="108">
        <v>0</v>
      </c>
      <c r="AT104" s="108">
        <v>5305</v>
      </c>
    </row>
    <row r="105" spans="1:46" ht="13.5" thickBot="1" x14ac:dyDescent="0.25">
      <c r="A105" s="48" t="s">
        <v>566</v>
      </c>
      <c r="B105" s="47" t="s">
        <v>565</v>
      </c>
      <c r="C105" s="48" t="s">
        <v>17</v>
      </c>
      <c r="D105" s="48" t="s">
        <v>1648</v>
      </c>
      <c r="E105" s="48" t="s">
        <v>1649</v>
      </c>
      <c r="F105" s="108">
        <v>7</v>
      </c>
      <c r="G105" s="108">
        <v>620</v>
      </c>
      <c r="H105" s="108">
        <v>1</v>
      </c>
      <c r="I105" s="108">
        <v>74</v>
      </c>
      <c r="J105" s="108">
        <v>5</v>
      </c>
      <c r="K105" s="108">
        <v>140</v>
      </c>
      <c r="L105" s="108">
        <v>1</v>
      </c>
      <c r="M105" s="108">
        <v>65</v>
      </c>
      <c r="N105" s="108">
        <v>112</v>
      </c>
      <c r="O105" s="108">
        <v>1</v>
      </c>
      <c r="P105" s="108">
        <v>113</v>
      </c>
      <c r="Q105" s="108">
        <v>2</v>
      </c>
      <c r="R105" s="108">
        <v>225</v>
      </c>
      <c r="S105" s="108">
        <v>12</v>
      </c>
      <c r="T105" s="108">
        <v>760</v>
      </c>
      <c r="U105" s="109" t="s">
        <v>1648</v>
      </c>
      <c r="V105" s="108">
        <v>1</v>
      </c>
      <c r="W105" s="108">
        <v>10</v>
      </c>
      <c r="X105" s="108">
        <v>1</v>
      </c>
      <c r="Y105" s="108">
        <v>175</v>
      </c>
      <c r="Z105" s="108">
        <v>2</v>
      </c>
      <c r="AA105" s="108">
        <v>139</v>
      </c>
      <c r="AB105" s="108">
        <v>0</v>
      </c>
      <c r="AC105" s="108">
        <v>0</v>
      </c>
      <c r="AD105" s="108">
        <v>12</v>
      </c>
      <c r="AE105" s="108">
        <v>200</v>
      </c>
      <c r="AF105" s="108">
        <v>0</v>
      </c>
      <c r="AG105" s="108">
        <v>0</v>
      </c>
      <c r="AH105" s="108">
        <v>0</v>
      </c>
      <c r="AI105" s="108">
        <v>0</v>
      </c>
      <c r="AJ105" s="108">
        <v>3</v>
      </c>
      <c r="AK105" s="108">
        <v>400</v>
      </c>
      <c r="AL105" s="108">
        <v>26</v>
      </c>
      <c r="AM105" s="108">
        <v>1099</v>
      </c>
      <c r="AN105" s="108">
        <f t="shared" si="5"/>
        <v>29</v>
      </c>
      <c r="AO105" s="108">
        <f t="shared" si="6"/>
        <v>1499</v>
      </c>
      <c r="AP105" s="110">
        <f t="shared" si="8"/>
        <v>51.689655172413794</v>
      </c>
      <c r="AQ105" s="110">
        <f t="shared" si="7"/>
        <v>0.2363980444724807</v>
      </c>
      <c r="AR105" s="108">
        <v>0</v>
      </c>
      <c r="AS105" s="108">
        <v>0</v>
      </c>
      <c r="AT105" s="108">
        <v>6341</v>
      </c>
    </row>
    <row r="106" spans="1:46" ht="13.5" thickBot="1" x14ac:dyDescent="0.25">
      <c r="A106" s="48" t="s">
        <v>572</v>
      </c>
      <c r="B106" s="47" t="s">
        <v>571</v>
      </c>
      <c r="C106" s="48" t="s">
        <v>17</v>
      </c>
      <c r="D106" s="48" t="s">
        <v>1648</v>
      </c>
      <c r="E106" s="48" t="s">
        <v>1648</v>
      </c>
      <c r="F106" s="108">
        <v>35</v>
      </c>
      <c r="G106" s="108">
        <v>803</v>
      </c>
      <c r="H106" s="108">
        <v>4</v>
      </c>
      <c r="I106" s="108">
        <v>41</v>
      </c>
      <c r="J106" s="108">
        <v>4</v>
      </c>
      <c r="K106" s="108">
        <v>120</v>
      </c>
      <c r="L106" s="108">
        <v>2</v>
      </c>
      <c r="M106" s="108">
        <v>8</v>
      </c>
      <c r="N106" s="108">
        <v>98</v>
      </c>
      <c r="O106" s="108">
        <v>7</v>
      </c>
      <c r="P106" s="108">
        <v>105</v>
      </c>
      <c r="Q106" s="108">
        <v>6</v>
      </c>
      <c r="R106" s="108">
        <v>67</v>
      </c>
      <c r="S106" s="108">
        <v>39</v>
      </c>
      <c r="T106" s="108">
        <v>923</v>
      </c>
      <c r="U106" s="109" t="s">
        <v>1648</v>
      </c>
      <c r="V106" s="108">
        <v>17</v>
      </c>
      <c r="W106" s="108">
        <v>190</v>
      </c>
      <c r="X106" s="108">
        <v>1</v>
      </c>
      <c r="Y106" s="108">
        <v>8</v>
      </c>
      <c r="Z106" s="108">
        <v>6</v>
      </c>
      <c r="AA106" s="108">
        <v>49</v>
      </c>
      <c r="AB106" s="108">
        <v>4</v>
      </c>
      <c r="AC106" s="108">
        <v>61</v>
      </c>
      <c r="AD106" s="108">
        <v>99</v>
      </c>
      <c r="AE106" s="108">
        <v>1048</v>
      </c>
      <c r="AF106" s="108">
        <v>0</v>
      </c>
      <c r="AG106" s="108">
        <v>0</v>
      </c>
      <c r="AH106" s="108">
        <v>6</v>
      </c>
      <c r="AI106" s="108">
        <v>1033</v>
      </c>
      <c r="AJ106" s="108">
        <v>11</v>
      </c>
      <c r="AK106" s="108">
        <v>136</v>
      </c>
      <c r="AL106" s="108">
        <v>150</v>
      </c>
      <c r="AM106" s="108">
        <v>3053</v>
      </c>
      <c r="AN106" s="108">
        <f t="shared" si="5"/>
        <v>161</v>
      </c>
      <c r="AO106" s="108">
        <f t="shared" si="6"/>
        <v>3189</v>
      </c>
      <c r="AP106" s="110">
        <f t="shared" si="8"/>
        <v>19.80745341614907</v>
      </c>
      <c r="AQ106" s="110">
        <f t="shared" si="7"/>
        <v>0.58696852567642188</v>
      </c>
      <c r="AR106" s="108">
        <v>0</v>
      </c>
      <c r="AS106" s="108">
        <v>0</v>
      </c>
      <c r="AT106" s="108">
        <v>5433</v>
      </c>
    </row>
    <row r="107" spans="1:46" ht="13.5" thickBot="1" x14ac:dyDescent="0.25">
      <c r="A107" s="48" t="s">
        <v>582</v>
      </c>
      <c r="B107" s="47" t="s">
        <v>581</v>
      </c>
      <c r="C107" s="48" t="s">
        <v>17</v>
      </c>
      <c r="D107" s="48" t="s">
        <v>1649</v>
      </c>
      <c r="E107" s="48" t="s">
        <v>1649</v>
      </c>
      <c r="F107" s="108">
        <v>269</v>
      </c>
      <c r="G107" s="108">
        <v>966</v>
      </c>
      <c r="H107" s="108">
        <v>1</v>
      </c>
      <c r="I107" s="108">
        <v>12</v>
      </c>
      <c r="J107" s="108">
        <v>5</v>
      </c>
      <c r="K107" s="108">
        <v>150</v>
      </c>
      <c r="L107" s="108">
        <v>0</v>
      </c>
      <c r="M107" s="108">
        <v>0</v>
      </c>
      <c r="N107" s="108">
        <v>150</v>
      </c>
      <c r="O107" s="108">
        <v>12</v>
      </c>
      <c r="P107" s="108">
        <v>162</v>
      </c>
      <c r="Q107" s="108">
        <v>0</v>
      </c>
      <c r="R107" s="108">
        <v>0</v>
      </c>
      <c r="S107" s="108">
        <v>274</v>
      </c>
      <c r="T107" s="108">
        <v>1116</v>
      </c>
      <c r="U107" s="109" t="s">
        <v>1648</v>
      </c>
      <c r="V107" s="108">
        <v>1</v>
      </c>
      <c r="W107" s="108">
        <v>334</v>
      </c>
      <c r="X107" s="108">
        <v>0</v>
      </c>
      <c r="Y107" s="108">
        <v>0</v>
      </c>
      <c r="Z107" s="108">
        <v>1</v>
      </c>
      <c r="AA107" s="108">
        <v>12</v>
      </c>
      <c r="AB107" s="108">
        <v>0</v>
      </c>
      <c r="AC107" s="108">
        <v>0</v>
      </c>
      <c r="AD107" s="108">
        <v>18</v>
      </c>
      <c r="AE107" s="108">
        <v>111</v>
      </c>
      <c r="AF107" s="108">
        <v>0</v>
      </c>
      <c r="AG107" s="108">
        <v>0</v>
      </c>
      <c r="AH107" s="108">
        <v>12</v>
      </c>
      <c r="AI107" s="108">
        <v>40</v>
      </c>
      <c r="AJ107" s="108">
        <v>0</v>
      </c>
      <c r="AK107" s="108">
        <v>0</v>
      </c>
      <c r="AL107" s="108">
        <v>305</v>
      </c>
      <c r="AM107" s="108">
        <v>1279</v>
      </c>
      <c r="AN107" s="108">
        <f t="shared" si="5"/>
        <v>305</v>
      </c>
      <c r="AO107" s="108">
        <f t="shared" si="6"/>
        <v>1279</v>
      </c>
      <c r="AP107" s="110">
        <f t="shared" si="8"/>
        <v>4.1934426229508199</v>
      </c>
      <c r="AQ107" s="110">
        <f t="shared" si="7"/>
        <v>0.19221520889690411</v>
      </c>
      <c r="AR107" s="108">
        <v>0</v>
      </c>
      <c r="AS107" s="108">
        <v>0</v>
      </c>
      <c r="AT107" s="108">
        <v>6654</v>
      </c>
    </row>
    <row r="108" spans="1:46" ht="13.5" thickBot="1" x14ac:dyDescent="0.25">
      <c r="A108" s="48" t="s">
        <v>586</v>
      </c>
      <c r="B108" s="47" t="s">
        <v>585</v>
      </c>
      <c r="C108" s="48" t="s">
        <v>17</v>
      </c>
      <c r="D108" s="48" t="s">
        <v>1649</v>
      </c>
      <c r="E108" s="48" t="s">
        <v>1649</v>
      </c>
      <c r="F108" s="108">
        <v>0</v>
      </c>
      <c r="G108" s="108">
        <v>0</v>
      </c>
      <c r="H108" s="108">
        <v>0</v>
      </c>
      <c r="I108" s="108">
        <v>0</v>
      </c>
      <c r="J108" s="108">
        <v>0</v>
      </c>
      <c r="K108" s="108">
        <v>0</v>
      </c>
      <c r="L108" s="108">
        <v>0</v>
      </c>
      <c r="M108" s="108">
        <v>0</v>
      </c>
      <c r="N108" s="108">
        <v>6</v>
      </c>
      <c r="O108" s="108">
        <v>0</v>
      </c>
      <c r="P108" s="108">
        <v>6</v>
      </c>
      <c r="Q108" s="108">
        <v>0</v>
      </c>
      <c r="R108" s="108">
        <v>0</v>
      </c>
      <c r="S108" s="108">
        <v>0</v>
      </c>
      <c r="T108" s="108">
        <v>0</v>
      </c>
      <c r="U108" s="109" t="s">
        <v>1649</v>
      </c>
      <c r="V108" s="108">
        <v>0</v>
      </c>
      <c r="W108" s="108">
        <v>0</v>
      </c>
      <c r="X108" s="108">
        <v>0</v>
      </c>
      <c r="Y108" s="108">
        <v>0</v>
      </c>
      <c r="Z108" s="108">
        <v>0</v>
      </c>
      <c r="AA108" s="108">
        <v>0</v>
      </c>
      <c r="AB108" s="108">
        <v>0</v>
      </c>
      <c r="AC108" s="108">
        <v>0</v>
      </c>
      <c r="AD108" s="108">
        <v>0</v>
      </c>
      <c r="AE108" s="108">
        <v>0</v>
      </c>
      <c r="AF108" s="108">
        <v>0</v>
      </c>
      <c r="AG108" s="108">
        <v>0</v>
      </c>
      <c r="AH108" s="108">
        <v>1</v>
      </c>
      <c r="AI108" s="108">
        <v>5</v>
      </c>
      <c r="AJ108" s="108">
        <v>0</v>
      </c>
      <c r="AK108" s="108">
        <v>0</v>
      </c>
      <c r="AL108" s="108">
        <v>1</v>
      </c>
      <c r="AM108" s="108">
        <v>5</v>
      </c>
      <c r="AN108" s="108">
        <f t="shared" si="5"/>
        <v>1</v>
      </c>
      <c r="AO108" s="108">
        <f t="shared" si="6"/>
        <v>5</v>
      </c>
      <c r="AP108" s="110">
        <f t="shared" si="8"/>
        <v>5</v>
      </c>
      <c r="AQ108" s="110">
        <f t="shared" si="7"/>
        <v>1.2180267965895249E-3</v>
      </c>
      <c r="AR108" s="108">
        <v>0</v>
      </c>
      <c r="AS108" s="108">
        <v>0</v>
      </c>
      <c r="AT108" s="108">
        <v>4105</v>
      </c>
    </row>
    <row r="109" spans="1:46" ht="13.5" thickBot="1" x14ac:dyDescent="0.25">
      <c r="A109" s="48" t="s">
        <v>592</v>
      </c>
      <c r="B109" s="47" t="s">
        <v>591</v>
      </c>
      <c r="C109" s="48" t="s">
        <v>17</v>
      </c>
      <c r="D109" s="48" t="s">
        <v>1649</v>
      </c>
      <c r="E109" s="48" t="s">
        <v>1649</v>
      </c>
      <c r="F109" s="108">
        <v>4</v>
      </c>
      <c r="G109" s="108">
        <v>76</v>
      </c>
      <c r="H109" s="108">
        <v>0</v>
      </c>
      <c r="I109" s="108">
        <v>0</v>
      </c>
      <c r="J109" s="108">
        <v>1</v>
      </c>
      <c r="K109" s="108">
        <v>25</v>
      </c>
      <c r="L109" s="108">
        <v>0</v>
      </c>
      <c r="M109" s="108">
        <v>0</v>
      </c>
      <c r="N109" s="108">
        <v>50</v>
      </c>
      <c r="O109" s="109">
        <v>0</v>
      </c>
      <c r="P109" s="108">
        <v>50</v>
      </c>
      <c r="Q109" s="108">
        <v>1</v>
      </c>
      <c r="R109" s="108">
        <v>12</v>
      </c>
      <c r="S109" s="108">
        <v>5</v>
      </c>
      <c r="T109" s="108">
        <v>101</v>
      </c>
      <c r="U109" s="109" t="s">
        <v>1648</v>
      </c>
      <c r="V109" s="108">
        <v>1</v>
      </c>
      <c r="W109" s="108">
        <v>5</v>
      </c>
      <c r="X109" s="108">
        <v>0</v>
      </c>
      <c r="Y109" s="108">
        <v>0</v>
      </c>
      <c r="Z109" s="108">
        <v>0</v>
      </c>
      <c r="AA109" s="108">
        <v>0</v>
      </c>
      <c r="AB109" s="108">
        <v>0</v>
      </c>
      <c r="AC109" s="108">
        <v>0</v>
      </c>
      <c r="AD109" s="108">
        <v>0</v>
      </c>
      <c r="AE109" s="108">
        <v>0</v>
      </c>
      <c r="AF109" s="108">
        <v>0</v>
      </c>
      <c r="AG109" s="108">
        <v>0</v>
      </c>
      <c r="AH109" s="108">
        <v>1</v>
      </c>
      <c r="AI109" s="108">
        <v>100</v>
      </c>
      <c r="AJ109" s="108">
        <v>1</v>
      </c>
      <c r="AK109" s="108">
        <v>12</v>
      </c>
      <c r="AL109" s="108">
        <v>6</v>
      </c>
      <c r="AM109" s="108">
        <v>201</v>
      </c>
      <c r="AN109" s="108">
        <f t="shared" si="5"/>
        <v>7</v>
      </c>
      <c r="AO109" s="108">
        <f t="shared" si="6"/>
        <v>213</v>
      </c>
      <c r="AP109" s="110">
        <f t="shared" si="8"/>
        <v>30.428571428571427</v>
      </c>
      <c r="AQ109" s="110">
        <f t="shared" si="7"/>
        <v>4.2320683488972777E-2</v>
      </c>
      <c r="AR109" s="108">
        <v>0</v>
      </c>
      <c r="AS109" s="108">
        <v>0</v>
      </c>
      <c r="AT109" s="108">
        <v>5033</v>
      </c>
    </row>
    <row r="110" spans="1:46" ht="13.5" thickBot="1" x14ac:dyDescent="0.25">
      <c r="A110" s="48" t="s">
        <v>600</v>
      </c>
      <c r="B110" s="47" t="s">
        <v>599</v>
      </c>
      <c r="C110" s="48" t="s">
        <v>17</v>
      </c>
      <c r="D110" s="48" t="s">
        <v>1648</v>
      </c>
      <c r="E110" s="48" t="s">
        <v>1649</v>
      </c>
      <c r="F110" s="108">
        <v>68</v>
      </c>
      <c r="G110" s="108">
        <v>789</v>
      </c>
      <c r="H110" s="108">
        <v>1</v>
      </c>
      <c r="I110" s="108">
        <v>6</v>
      </c>
      <c r="J110" s="108">
        <v>2</v>
      </c>
      <c r="K110" s="108">
        <v>50</v>
      </c>
      <c r="L110" s="108">
        <v>2</v>
      </c>
      <c r="M110" s="108">
        <v>6</v>
      </c>
      <c r="N110" s="108">
        <v>40</v>
      </c>
      <c r="O110" s="108">
        <v>2</v>
      </c>
      <c r="P110" s="108">
        <v>42</v>
      </c>
      <c r="Q110" s="108">
        <v>0</v>
      </c>
      <c r="R110" s="108">
        <v>0</v>
      </c>
      <c r="S110" s="108">
        <v>70</v>
      </c>
      <c r="T110" s="108">
        <v>839</v>
      </c>
      <c r="U110" s="109" t="s">
        <v>1648</v>
      </c>
      <c r="V110" s="108">
        <v>32</v>
      </c>
      <c r="W110" s="108">
        <v>256</v>
      </c>
      <c r="X110" s="108">
        <v>0</v>
      </c>
      <c r="Y110" s="108">
        <v>0</v>
      </c>
      <c r="Z110" s="108">
        <v>3</v>
      </c>
      <c r="AA110" s="108">
        <v>12</v>
      </c>
      <c r="AB110" s="108">
        <v>0</v>
      </c>
      <c r="AC110" s="108">
        <v>0</v>
      </c>
      <c r="AD110" s="108">
        <v>2</v>
      </c>
      <c r="AE110" s="108">
        <v>72</v>
      </c>
      <c r="AF110" s="108">
        <v>1</v>
      </c>
      <c r="AG110" s="108">
        <v>1</v>
      </c>
      <c r="AH110" s="108">
        <v>24</v>
      </c>
      <c r="AI110" s="108">
        <v>203</v>
      </c>
      <c r="AJ110" s="108">
        <v>1</v>
      </c>
      <c r="AK110" s="108">
        <v>1</v>
      </c>
      <c r="AL110" s="108">
        <v>99</v>
      </c>
      <c r="AM110" s="108">
        <v>1126</v>
      </c>
      <c r="AN110" s="108">
        <f t="shared" si="5"/>
        <v>100</v>
      </c>
      <c r="AO110" s="108">
        <f t="shared" si="6"/>
        <v>1127</v>
      </c>
      <c r="AP110" s="110">
        <f t="shared" si="8"/>
        <v>11.27</v>
      </c>
      <c r="AQ110" s="110">
        <f t="shared" si="7"/>
        <v>0.20820247552189175</v>
      </c>
      <c r="AR110" s="108">
        <v>0</v>
      </c>
      <c r="AS110" s="108">
        <v>0</v>
      </c>
      <c r="AT110" s="108">
        <v>5413</v>
      </c>
    </row>
    <row r="111" spans="1:46" ht="13.5" thickBot="1" x14ac:dyDescent="0.25">
      <c r="A111" s="48" t="s">
        <v>606</v>
      </c>
      <c r="B111" s="47" t="s">
        <v>605</v>
      </c>
      <c r="C111" s="48" t="s">
        <v>17</v>
      </c>
      <c r="D111" s="48" t="s">
        <v>1648</v>
      </c>
      <c r="E111" s="48" t="s">
        <v>1649</v>
      </c>
      <c r="F111" s="108">
        <v>47</v>
      </c>
      <c r="G111" s="108">
        <v>2110</v>
      </c>
      <c r="H111" s="108">
        <v>13</v>
      </c>
      <c r="I111" s="108">
        <v>55</v>
      </c>
      <c r="J111" s="108">
        <v>13</v>
      </c>
      <c r="K111" s="108">
        <v>172</v>
      </c>
      <c r="L111" s="108">
        <v>2</v>
      </c>
      <c r="M111" s="108">
        <v>11</v>
      </c>
      <c r="N111" s="108">
        <v>51</v>
      </c>
      <c r="O111" s="108">
        <v>8</v>
      </c>
      <c r="P111" s="108">
        <v>59</v>
      </c>
      <c r="Q111" s="108">
        <v>13</v>
      </c>
      <c r="R111" s="108">
        <v>4</v>
      </c>
      <c r="S111" s="108">
        <v>60</v>
      </c>
      <c r="T111" s="108">
        <v>2282</v>
      </c>
      <c r="U111" s="109" t="s">
        <v>1648</v>
      </c>
      <c r="V111" s="108">
        <v>35</v>
      </c>
      <c r="W111" s="108">
        <v>426</v>
      </c>
      <c r="X111" s="108">
        <v>1</v>
      </c>
      <c r="Y111" s="108">
        <v>0</v>
      </c>
      <c r="Z111" s="108">
        <v>15</v>
      </c>
      <c r="AA111" s="108">
        <v>66</v>
      </c>
      <c r="AB111" s="108">
        <v>1</v>
      </c>
      <c r="AC111" s="108">
        <v>0</v>
      </c>
      <c r="AD111" s="108">
        <v>30</v>
      </c>
      <c r="AE111" s="108">
        <v>103</v>
      </c>
      <c r="AF111" s="108">
        <v>0</v>
      </c>
      <c r="AG111" s="108">
        <v>0</v>
      </c>
      <c r="AH111" s="108">
        <v>44</v>
      </c>
      <c r="AI111" s="108">
        <v>163</v>
      </c>
      <c r="AJ111" s="108">
        <v>15</v>
      </c>
      <c r="AK111" s="108">
        <v>4</v>
      </c>
      <c r="AL111" s="108">
        <v>149</v>
      </c>
      <c r="AM111" s="108">
        <v>2614</v>
      </c>
      <c r="AN111" s="108">
        <f t="shared" si="5"/>
        <v>164</v>
      </c>
      <c r="AO111" s="108">
        <f t="shared" si="6"/>
        <v>2618</v>
      </c>
      <c r="AP111" s="110">
        <f t="shared" si="8"/>
        <v>15.963414634146341</v>
      </c>
      <c r="AQ111" s="110">
        <f t="shared" si="7"/>
        <v>0.38235723674602018</v>
      </c>
      <c r="AR111" s="108">
        <v>0</v>
      </c>
      <c r="AS111" s="108">
        <v>0</v>
      </c>
      <c r="AT111" s="108">
        <v>6847</v>
      </c>
    </row>
    <row r="112" spans="1:46" ht="13.5" thickBot="1" x14ac:dyDescent="0.25">
      <c r="A112" s="48" t="s">
        <v>614</v>
      </c>
      <c r="B112" s="47" t="s">
        <v>613</v>
      </c>
      <c r="C112" s="48" t="s">
        <v>17</v>
      </c>
      <c r="D112" s="48" t="s">
        <v>1649</v>
      </c>
      <c r="E112" s="48" t="s">
        <v>1649</v>
      </c>
      <c r="F112" s="108">
        <v>29</v>
      </c>
      <c r="G112" s="108">
        <v>358</v>
      </c>
      <c r="H112" s="108">
        <v>1</v>
      </c>
      <c r="I112" s="108">
        <v>13</v>
      </c>
      <c r="J112" s="108">
        <v>0</v>
      </c>
      <c r="K112" s="108">
        <v>0</v>
      </c>
      <c r="L112" s="108">
        <v>0</v>
      </c>
      <c r="M112" s="108">
        <v>0</v>
      </c>
      <c r="N112" s="108">
        <v>0</v>
      </c>
      <c r="O112" s="108">
        <v>0</v>
      </c>
      <c r="P112" s="108">
        <v>0</v>
      </c>
      <c r="Q112" s="108">
        <v>0</v>
      </c>
      <c r="R112" s="108">
        <v>0</v>
      </c>
      <c r="S112" s="108">
        <v>29</v>
      </c>
      <c r="T112" s="108">
        <v>358</v>
      </c>
      <c r="U112" s="109" t="s">
        <v>1648</v>
      </c>
      <c r="V112" s="108">
        <v>29</v>
      </c>
      <c r="W112" s="108">
        <v>358</v>
      </c>
      <c r="X112" s="108">
        <v>0</v>
      </c>
      <c r="Y112" s="108">
        <v>0</v>
      </c>
      <c r="Z112" s="108">
        <v>1</v>
      </c>
      <c r="AA112" s="108">
        <v>13</v>
      </c>
      <c r="AB112" s="108">
        <v>0</v>
      </c>
      <c r="AC112" s="108">
        <v>0</v>
      </c>
      <c r="AD112" s="108">
        <v>12</v>
      </c>
      <c r="AE112" s="108">
        <v>64</v>
      </c>
      <c r="AF112" s="108">
        <v>0</v>
      </c>
      <c r="AG112" s="108">
        <v>0</v>
      </c>
      <c r="AH112" s="108">
        <v>43</v>
      </c>
      <c r="AI112" s="108">
        <v>953</v>
      </c>
      <c r="AJ112" s="108">
        <v>0</v>
      </c>
      <c r="AK112" s="108">
        <v>0</v>
      </c>
      <c r="AL112" s="108">
        <v>85</v>
      </c>
      <c r="AM112" s="108">
        <v>1388</v>
      </c>
      <c r="AN112" s="108">
        <f t="shared" si="5"/>
        <v>85</v>
      </c>
      <c r="AO112" s="108">
        <f t="shared" si="6"/>
        <v>1388</v>
      </c>
      <c r="AP112" s="110">
        <f t="shared" si="8"/>
        <v>16.329411764705881</v>
      </c>
      <c r="AQ112" s="110">
        <f t="shared" si="7"/>
        <v>0.25818452380952384</v>
      </c>
      <c r="AR112" s="108">
        <v>0</v>
      </c>
      <c r="AS112" s="108">
        <v>0</v>
      </c>
      <c r="AT112" s="108">
        <v>5376</v>
      </c>
    </row>
    <row r="113" spans="1:46" ht="13.5" thickBot="1" x14ac:dyDescent="0.25">
      <c r="A113" s="48" t="s">
        <v>620</v>
      </c>
      <c r="B113" s="47" t="s">
        <v>619</v>
      </c>
      <c r="C113" s="48" t="s">
        <v>17</v>
      </c>
      <c r="D113" s="48" t="s">
        <v>1649</v>
      </c>
      <c r="E113" s="48" t="s">
        <v>1649</v>
      </c>
      <c r="F113" s="108">
        <v>7</v>
      </c>
      <c r="G113" s="108">
        <v>33</v>
      </c>
      <c r="H113" s="108">
        <v>0</v>
      </c>
      <c r="I113" s="108">
        <v>0</v>
      </c>
      <c r="J113" s="108">
        <v>0</v>
      </c>
      <c r="K113" s="108">
        <v>0</v>
      </c>
      <c r="L113" s="108">
        <v>0</v>
      </c>
      <c r="M113" s="108">
        <v>0</v>
      </c>
      <c r="N113" s="109">
        <v>0</v>
      </c>
      <c r="O113" s="109">
        <v>0</v>
      </c>
      <c r="P113" s="109">
        <v>0</v>
      </c>
      <c r="Q113" s="108">
        <v>0</v>
      </c>
      <c r="R113" s="108">
        <v>0</v>
      </c>
      <c r="S113" s="108">
        <v>7</v>
      </c>
      <c r="T113" s="108">
        <v>33</v>
      </c>
      <c r="U113" s="109" t="s">
        <v>1648</v>
      </c>
      <c r="V113" s="108">
        <v>7</v>
      </c>
      <c r="W113" s="108">
        <v>33</v>
      </c>
      <c r="X113" s="108">
        <v>0</v>
      </c>
      <c r="Y113" s="108">
        <v>0</v>
      </c>
      <c r="Z113" s="108">
        <v>0</v>
      </c>
      <c r="AA113" s="108">
        <v>0</v>
      </c>
      <c r="AB113" s="108">
        <v>0</v>
      </c>
      <c r="AC113" s="108">
        <v>0</v>
      </c>
      <c r="AD113" s="108">
        <v>11</v>
      </c>
      <c r="AE113" s="108">
        <v>83</v>
      </c>
      <c r="AF113" s="108">
        <v>0</v>
      </c>
      <c r="AG113" s="108">
        <v>0</v>
      </c>
      <c r="AH113" s="108">
        <v>0</v>
      </c>
      <c r="AI113" s="108">
        <v>0</v>
      </c>
      <c r="AJ113" s="108">
        <v>0</v>
      </c>
      <c r="AK113" s="108">
        <v>0</v>
      </c>
      <c r="AL113" s="108">
        <v>18</v>
      </c>
      <c r="AM113" s="108">
        <v>116</v>
      </c>
      <c r="AN113" s="108">
        <f t="shared" si="5"/>
        <v>18</v>
      </c>
      <c r="AO113" s="108">
        <f t="shared" si="6"/>
        <v>116</v>
      </c>
      <c r="AP113" s="110">
        <f t="shared" si="8"/>
        <v>6.4444444444444446</v>
      </c>
      <c r="AQ113" s="110">
        <f t="shared" si="7"/>
        <v>2.1003078037298568E-2</v>
      </c>
      <c r="AR113" s="108">
        <v>0</v>
      </c>
      <c r="AS113" s="108">
        <v>0</v>
      </c>
      <c r="AT113" s="108">
        <v>5523</v>
      </c>
    </row>
    <row r="114" spans="1:46" ht="13.5" thickBot="1" x14ac:dyDescent="0.25">
      <c r="A114" s="48" t="s">
        <v>668</v>
      </c>
      <c r="B114" s="47" t="s">
        <v>667</v>
      </c>
      <c r="C114" s="48" t="s">
        <v>17</v>
      </c>
      <c r="D114" s="48" t="s">
        <v>1649</v>
      </c>
      <c r="E114" s="48" t="s">
        <v>1649</v>
      </c>
      <c r="F114" s="108">
        <v>44</v>
      </c>
      <c r="G114" s="108">
        <v>886</v>
      </c>
      <c r="H114" s="108">
        <v>18</v>
      </c>
      <c r="I114" s="108">
        <v>127</v>
      </c>
      <c r="J114" s="108">
        <v>20</v>
      </c>
      <c r="K114" s="108">
        <v>245</v>
      </c>
      <c r="L114" s="108">
        <v>8</v>
      </c>
      <c r="M114" s="108">
        <v>51</v>
      </c>
      <c r="N114" s="108">
        <v>72</v>
      </c>
      <c r="O114" s="108">
        <v>19</v>
      </c>
      <c r="P114" s="108">
        <v>91</v>
      </c>
      <c r="Q114" s="108">
        <v>0</v>
      </c>
      <c r="R114" s="108">
        <v>0</v>
      </c>
      <c r="S114" s="108">
        <v>64</v>
      </c>
      <c r="T114" s="108">
        <v>1131</v>
      </c>
      <c r="U114" s="109" t="s">
        <v>1648</v>
      </c>
      <c r="V114" s="108">
        <v>44</v>
      </c>
      <c r="W114" s="108">
        <v>444</v>
      </c>
      <c r="X114" s="108">
        <v>0</v>
      </c>
      <c r="Y114" s="108">
        <v>0</v>
      </c>
      <c r="Z114" s="108">
        <v>26</v>
      </c>
      <c r="AA114" s="108">
        <v>178</v>
      </c>
      <c r="AB114" s="108">
        <v>0</v>
      </c>
      <c r="AC114" s="108">
        <v>0</v>
      </c>
      <c r="AD114" s="108">
        <v>19</v>
      </c>
      <c r="AE114" s="108">
        <v>137</v>
      </c>
      <c r="AF114" s="108">
        <v>0</v>
      </c>
      <c r="AG114" s="108">
        <v>0</v>
      </c>
      <c r="AH114" s="108">
        <v>1</v>
      </c>
      <c r="AI114" s="108">
        <v>63</v>
      </c>
      <c r="AJ114" s="108">
        <v>0</v>
      </c>
      <c r="AK114" s="108">
        <v>0</v>
      </c>
      <c r="AL114" s="108">
        <v>110</v>
      </c>
      <c r="AM114" s="108">
        <v>1509</v>
      </c>
      <c r="AN114" s="108">
        <f t="shared" si="5"/>
        <v>110</v>
      </c>
      <c r="AO114" s="108">
        <f t="shared" si="6"/>
        <v>1509</v>
      </c>
      <c r="AP114" s="110">
        <f t="shared" si="8"/>
        <v>13.718181818181819</v>
      </c>
      <c r="AQ114" s="110">
        <f t="shared" si="7"/>
        <v>0.34491428571428573</v>
      </c>
      <c r="AR114" s="108">
        <v>0</v>
      </c>
      <c r="AS114" s="108">
        <v>0</v>
      </c>
      <c r="AT114" s="108">
        <v>4375</v>
      </c>
    </row>
    <row r="115" spans="1:46" ht="13.5" thickBot="1" x14ac:dyDescent="0.25">
      <c r="A115" s="48" t="s">
        <v>678</v>
      </c>
      <c r="B115" s="47" t="s">
        <v>677</v>
      </c>
      <c r="C115" s="48" t="s">
        <v>17</v>
      </c>
      <c r="D115" s="48" t="s">
        <v>1649</v>
      </c>
      <c r="E115" s="48" t="s">
        <v>1649</v>
      </c>
      <c r="F115" s="108">
        <v>5</v>
      </c>
      <c r="G115" s="108">
        <v>83</v>
      </c>
      <c r="H115" s="108">
        <v>2</v>
      </c>
      <c r="I115" s="108">
        <v>8</v>
      </c>
      <c r="J115" s="108">
        <v>11</v>
      </c>
      <c r="K115" s="108">
        <v>239</v>
      </c>
      <c r="L115" s="108">
        <v>4</v>
      </c>
      <c r="M115" s="108">
        <v>15</v>
      </c>
      <c r="N115" s="108">
        <v>125</v>
      </c>
      <c r="O115" s="108">
        <v>15</v>
      </c>
      <c r="P115" s="108">
        <v>140</v>
      </c>
      <c r="Q115" s="108">
        <v>0</v>
      </c>
      <c r="R115" s="108">
        <v>0</v>
      </c>
      <c r="S115" s="108">
        <v>16</v>
      </c>
      <c r="T115" s="108">
        <v>322</v>
      </c>
      <c r="U115" s="109" t="s">
        <v>1649</v>
      </c>
      <c r="V115" s="108">
        <v>0</v>
      </c>
      <c r="W115" s="108">
        <v>0</v>
      </c>
      <c r="X115" s="108">
        <v>0</v>
      </c>
      <c r="Y115" s="108">
        <v>0</v>
      </c>
      <c r="Z115" s="108">
        <v>6</v>
      </c>
      <c r="AA115" s="108">
        <v>23</v>
      </c>
      <c r="AB115" s="108">
        <v>0</v>
      </c>
      <c r="AC115" s="108">
        <v>0</v>
      </c>
      <c r="AD115" s="108">
        <v>3</v>
      </c>
      <c r="AE115" s="108">
        <v>450</v>
      </c>
      <c r="AF115" s="108">
        <v>0</v>
      </c>
      <c r="AG115" s="108">
        <v>0</v>
      </c>
      <c r="AH115" s="108">
        <v>3</v>
      </c>
      <c r="AI115" s="108">
        <v>125</v>
      </c>
      <c r="AJ115" s="108">
        <v>0</v>
      </c>
      <c r="AK115" s="108">
        <v>0</v>
      </c>
      <c r="AL115" s="108">
        <v>28</v>
      </c>
      <c r="AM115" s="108">
        <v>920</v>
      </c>
      <c r="AN115" s="108">
        <f t="shared" si="5"/>
        <v>28</v>
      </c>
      <c r="AO115" s="108">
        <f t="shared" si="6"/>
        <v>920</v>
      </c>
      <c r="AP115" s="110">
        <f t="shared" si="8"/>
        <v>32.857142857142854</v>
      </c>
      <c r="AQ115" s="110">
        <f t="shared" si="7"/>
        <v>0.22783556215948489</v>
      </c>
      <c r="AR115" s="108">
        <v>0</v>
      </c>
      <c r="AS115" s="108">
        <v>0</v>
      </c>
      <c r="AT115" s="108">
        <v>4038</v>
      </c>
    </row>
    <row r="116" spans="1:46" ht="13.5" thickBot="1" x14ac:dyDescent="0.25">
      <c r="A116" s="48" t="s">
        <v>686</v>
      </c>
      <c r="B116" s="47" t="s">
        <v>685</v>
      </c>
      <c r="C116" s="48" t="s">
        <v>17</v>
      </c>
      <c r="D116" s="48" t="s">
        <v>1649</v>
      </c>
      <c r="E116" s="48" t="s">
        <v>1649</v>
      </c>
      <c r="F116" s="108">
        <v>2</v>
      </c>
      <c r="G116" s="108">
        <v>32</v>
      </c>
      <c r="H116" s="108">
        <v>0</v>
      </c>
      <c r="I116" s="108">
        <v>0</v>
      </c>
      <c r="J116" s="108">
        <v>7</v>
      </c>
      <c r="K116" s="108">
        <v>89</v>
      </c>
      <c r="L116" s="108">
        <v>0</v>
      </c>
      <c r="M116" s="108">
        <v>0</v>
      </c>
      <c r="N116" s="108">
        <v>18</v>
      </c>
      <c r="O116" s="108">
        <v>0</v>
      </c>
      <c r="P116" s="108">
        <v>18</v>
      </c>
      <c r="Q116" s="108">
        <v>0</v>
      </c>
      <c r="R116" s="108">
        <v>0</v>
      </c>
      <c r="S116" s="108">
        <v>9</v>
      </c>
      <c r="T116" s="108">
        <v>121</v>
      </c>
      <c r="U116" s="109" t="s">
        <v>1648</v>
      </c>
      <c r="V116" s="108">
        <v>2</v>
      </c>
      <c r="W116" s="108">
        <v>32</v>
      </c>
      <c r="X116" s="108">
        <v>0</v>
      </c>
      <c r="Y116" s="108">
        <v>0</v>
      </c>
      <c r="Z116" s="108">
        <v>0</v>
      </c>
      <c r="AA116" s="108">
        <v>0</v>
      </c>
      <c r="AB116" s="108">
        <v>0</v>
      </c>
      <c r="AC116" s="108">
        <v>0</v>
      </c>
      <c r="AD116" s="108">
        <v>36</v>
      </c>
      <c r="AE116" s="108">
        <v>108</v>
      </c>
      <c r="AF116" s="108">
        <v>0</v>
      </c>
      <c r="AG116" s="108">
        <v>0</v>
      </c>
      <c r="AH116" s="108">
        <v>12</v>
      </c>
      <c r="AI116" s="108">
        <v>143</v>
      </c>
      <c r="AJ116" s="108">
        <v>0</v>
      </c>
      <c r="AK116" s="108">
        <v>0</v>
      </c>
      <c r="AL116" s="108">
        <v>57</v>
      </c>
      <c r="AM116" s="108">
        <v>372</v>
      </c>
      <c r="AN116" s="108">
        <f t="shared" si="5"/>
        <v>57</v>
      </c>
      <c r="AO116" s="108">
        <f t="shared" si="6"/>
        <v>372</v>
      </c>
      <c r="AP116" s="110">
        <f t="shared" si="8"/>
        <v>6.5263157894736841</v>
      </c>
      <c r="AQ116" s="110">
        <f t="shared" si="7"/>
        <v>6.6015971606033716E-2</v>
      </c>
      <c r="AR116" s="108">
        <v>0</v>
      </c>
      <c r="AS116" s="108">
        <v>0</v>
      </c>
      <c r="AT116" s="108">
        <v>5635</v>
      </c>
    </row>
    <row r="117" spans="1:46" ht="13.5" thickBot="1" x14ac:dyDescent="0.25">
      <c r="A117" s="48" t="s">
        <v>720</v>
      </c>
      <c r="B117" s="47" t="s">
        <v>719</v>
      </c>
      <c r="C117" s="48" t="s">
        <v>17</v>
      </c>
      <c r="D117" s="48" t="s">
        <v>1648</v>
      </c>
      <c r="E117" s="48" t="s">
        <v>1649</v>
      </c>
      <c r="F117" s="108">
        <v>2</v>
      </c>
      <c r="G117" s="108">
        <v>70</v>
      </c>
      <c r="H117" s="108">
        <v>0</v>
      </c>
      <c r="I117" s="108">
        <v>0</v>
      </c>
      <c r="J117" s="108">
        <v>1</v>
      </c>
      <c r="K117" s="108">
        <v>6</v>
      </c>
      <c r="L117" s="108">
        <v>0</v>
      </c>
      <c r="M117" s="108">
        <v>0</v>
      </c>
      <c r="N117" s="108">
        <v>227</v>
      </c>
      <c r="O117" s="108">
        <v>0</v>
      </c>
      <c r="P117" s="108">
        <v>227</v>
      </c>
      <c r="Q117" s="108">
        <v>0</v>
      </c>
      <c r="R117" s="108">
        <v>0</v>
      </c>
      <c r="S117" s="108">
        <v>3</v>
      </c>
      <c r="T117" s="108">
        <v>76</v>
      </c>
      <c r="U117" s="109" t="s">
        <v>1649</v>
      </c>
      <c r="V117" s="108">
        <v>0</v>
      </c>
      <c r="W117" s="108">
        <v>0</v>
      </c>
      <c r="X117" s="108">
        <v>0</v>
      </c>
      <c r="Y117" s="108">
        <v>0</v>
      </c>
      <c r="Z117" s="108">
        <v>0</v>
      </c>
      <c r="AA117" s="108">
        <v>0</v>
      </c>
      <c r="AB117" s="108">
        <v>0</v>
      </c>
      <c r="AC117" s="108">
        <v>0</v>
      </c>
      <c r="AD117" s="108">
        <v>0</v>
      </c>
      <c r="AE117" s="108">
        <v>0</v>
      </c>
      <c r="AF117" s="108">
        <v>0</v>
      </c>
      <c r="AG117" s="108">
        <v>0</v>
      </c>
      <c r="AH117" s="108">
        <v>0</v>
      </c>
      <c r="AI117" s="108">
        <v>0</v>
      </c>
      <c r="AJ117" s="108">
        <v>0</v>
      </c>
      <c r="AK117" s="108">
        <v>0</v>
      </c>
      <c r="AL117" s="108">
        <v>3</v>
      </c>
      <c r="AM117" s="108">
        <v>76</v>
      </c>
      <c r="AN117" s="108">
        <f t="shared" si="5"/>
        <v>3</v>
      </c>
      <c r="AO117" s="108">
        <f t="shared" si="6"/>
        <v>76</v>
      </c>
      <c r="AP117" s="110">
        <f t="shared" si="8"/>
        <v>25.333333333333332</v>
      </c>
      <c r="AQ117" s="110">
        <f t="shared" si="7"/>
        <v>1.3871144369410476E-2</v>
      </c>
      <c r="AR117" s="108">
        <v>0</v>
      </c>
      <c r="AS117" s="108">
        <v>0</v>
      </c>
      <c r="AT117" s="108">
        <v>5479</v>
      </c>
    </row>
    <row r="118" spans="1:46" ht="13.5" thickBot="1" x14ac:dyDescent="0.25">
      <c r="A118" s="48" t="s">
        <v>728</v>
      </c>
      <c r="B118" s="47" t="s">
        <v>727</v>
      </c>
      <c r="C118" s="48" t="s">
        <v>17</v>
      </c>
      <c r="D118" s="48" t="s">
        <v>1649</v>
      </c>
      <c r="E118" s="48" t="s">
        <v>1649</v>
      </c>
      <c r="F118" s="108">
        <v>1</v>
      </c>
      <c r="G118" s="108">
        <v>42</v>
      </c>
      <c r="H118" s="108">
        <v>0</v>
      </c>
      <c r="I118" s="108">
        <v>0</v>
      </c>
      <c r="J118" s="108">
        <v>4</v>
      </c>
      <c r="K118" s="108">
        <v>111</v>
      </c>
      <c r="L118" s="108">
        <v>0</v>
      </c>
      <c r="M118" s="108">
        <v>0</v>
      </c>
      <c r="N118" s="108">
        <v>28</v>
      </c>
      <c r="O118" s="108">
        <v>8</v>
      </c>
      <c r="P118" s="108">
        <v>36</v>
      </c>
      <c r="Q118" s="108">
        <v>0</v>
      </c>
      <c r="R118" s="108">
        <v>0</v>
      </c>
      <c r="S118" s="108">
        <v>5</v>
      </c>
      <c r="T118" s="108">
        <v>153</v>
      </c>
      <c r="U118" s="109" t="s">
        <v>1649</v>
      </c>
      <c r="V118" s="108">
        <v>1</v>
      </c>
      <c r="W118" s="108">
        <v>4</v>
      </c>
      <c r="X118" s="108">
        <v>0</v>
      </c>
      <c r="Y118" s="108">
        <v>0</v>
      </c>
      <c r="Z118" s="108">
        <v>0</v>
      </c>
      <c r="AA118" s="108">
        <v>0</v>
      </c>
      <c r="AB118" s="108">
        <v>0</v>
      </c>
      <c r="AC118" s="108">
        <v>0</v>
      </c>
      <c r="AD118" s="108">
        <v>1</v>
      </c>
      <c r="AE118" s="108">
        <v>60</v>
      </c>
      <c r="AF118" s="108">
        <v>0</v>
      </c>
      <c r="AG118" s="108">
        <v>0</v>
      </c>
      <c r="AH118" s="108">
        <v>0</v>
      </c>
      <c r="AI118" s="108">
        <v>0</v>
      </c>
      <c r="AJ118" s="108">
        <v>0</v>
      </c>
      <c r="AK118" s="108">
        <v>0</v>
      </c>
      <c r="AL118" s="108">
        <v>6</v>
      </c>
      <c r="AM118" s="108">
        <v>213</v>
      </c>
      <c r="AN118" s="108">
        <f t="shared" si="5"/>
        <v>6</v>
      </c>
      <c r="AO118" s="108">
        <f t="shared" si="6"/>
        <v>213</v>
      </c>
      <c r="AP118" s="110">
        <f t="shared" si="8"/>
        <v>35.5</v>
      </c>
      <c r="AQ118" s="110">
        <f t="shared" si="7"/>
        <v>3.1886227544910183E-2</v>
      </c>
      <c r="AR118" s="108">
        <v>0</v>
      </c>
      <c r="AS118" s="108">
        <v>0</v>
      </c>
      <c r="AT118" s="108">
        <v>6680</v>
      </c>
    </row>
    <row r="119" spans="1:46" ht="13.5" thickBot="1" x14ac:dyDescent="0.25">
      <c r="A119" s="48" t="s">
        <v>736</v>
      </c>
      <c r="B119" s="47" t="s">
        <v>735</v>
      </c>
      <c r="C119" s="48" t="s">
        <v>17</v>
      </c>
      <c r="D119" s="48" t="s">
        <v>1649</v>
      </c>
      <c r="E119" s="48" t="s">
        <v>1649</v>
      </c>
      <c r="F119" s="108">
        <v>55</v>
      </c>
      <c r="G119" s="108">
        <v>480</v>
      </c>
      <c r="H119" s="108">
        <v>2</v>
      </c>
      <c r="I119" s="108">
        <v>40</v>
      </c>
      <c r="J119" s="108">
        <v>17</v>
      </c>
      <c r="K119" s="108">
        <v>288</v>
      </c>
      <c r="L119" s="108">
        <v>4</v>
      </c>
      <c r="M119" s="108">
        <v>29</v>
      </c>
      <c r="N119" s="108">
        <v>76</v>
      </c>
      <c r="O119" s="108">
        <v>12</v>
      </c>
      <c r="P119" s="108">
        <v>88</v>
      </c>
      <c r="Q119" s="108">
        <v>0</v>
      </c>
      <c r="R119" s="108">
        <v>0</v>
      </c>
      <c r="S119" s="108">
        <v>72</v>
      </c>
      <c r="T119" s="108">
        <v>768</v>
      </c>
      <c r="U119" s="109" t="s">
        <v>1648</v>
      </c>
      <c r="V119" s="108">
        <v>36</v>
      </c>
      <c r="W119" s="108">
        <v>180</v>
      </c>
      <c r="X119" s="108">
        <v>0</v>
      </c>
      <c r="Y119" s="108">
        <v>0</v>
      </c>
      <c r="Z119" s="108">
        <v>6</v>
      </c>
      <c r="AA119" s="108">
        <v>69</v>
      </c>
      <c r="AB119" s="108">
        <v>0</v>
      </c>
      <c r="AC119" s="108">
        <v>0</v>
      </c>
      <c r="AD119" s="108">
        <v>15</v>
      </c>
      <c r="AE119" s="108">
        <v>150</v>
      </c>
      <c r="AF119" s="108">
        <v>0</v>
      </c>
      <c r="AG119" s="108">
        <v>0</v>
      </c>
      <c r="AH119" s="108">
        <v>3</v>
      </c>
      <c r="AI119" s="108">
        <v>60</v>
      </c>
      <c r="AJ119" s="108">
        <v>0</v>
      </c>
      <c r="AK119" s="108">
        <v>0</v>
      </c>
      <c r="AL119" s="108">
        <v>96</v>
      </c>
      <c r="AM119" s="108">
        <v>1047</v>
      </c>
      <c r="AN119" s="108">
        <f t="shared" si="5"/>
        <v>96</v>
      </c>
      <c r="AO119" s="108">
        <f t="shared" si="6"/>
        <v>1047</v>
      </c>
      <c r="AP119" s="110">
        <f t="shared" si="8"/>
        <v>10.90625</v>
      </c>
      <c r="AQ119" s="110">
        <f t="shared" si="7"/>
        <v>0.17354549975136749</v>
      </c>
      <c r="AR119" s="108">
        <v>0</v>
      </c>
      <c r="AS119" s="108">
        <v>0</v>
      </c>
      <c r="AT119" s="108">
        <v>6033</v>
      </c>
    </row>
    <row r="120" spans="1:46" ht="13.5" thickBot="1" x14ac:dyDescent="0.25">
      <c r="A120" s="48" t="s">
        <v>744</v>
      </c>
      <c r="B120" s="47" t="s">
        <v>743</v>
      </c>
      <c r="C120" s="48" t="s">
        <v>17</v>
      </c>
      <c r="D120" s="48" t="s">
        <v>1649</v>
      </c>
      <c r="E120" s="48" t="s">
        <v>1649</v>
      </c>
      <c r="F120" s="108">
        <v>134</v>
      </c>
      <c r="G120" s="108">
        <v>851</v>
      </c>
      <c r="H120" s="108">
        <v>0</v>
      </c>
      <c r="I120" s="108">
        <v>0</v>
      </c>
      <c r="J120" s="108">
        <v>7</v>
      </c>
      <c r="K120" s="108">
        <v>376</v>
      </c>
      <c r="L120" s="108">
        <v>0</v>
      </c>
      <c r="M120" s="108">
        <v>0</v>
      </c>
      <c r="N120" s="108">
        <v>8</v>
      </c>
      <c r="O120" s="108">
        <v>0</v>
      </c>
      <c r="P120" s="108">
        <v>8</v>
      </c>
      <c r="Q120" s="108">
        <v>0</v>
      </c>
      <c r="R120" s="108">
        <v>0</v>
      </c>
      <c r="S120" s="108">
        <v>141</v>
      </c>
      <c r="T120" s="108">
        <v>1227</v>
      </c>
      <c r="U120" s="109" t="s">
        <v>1648</v>
      </c>
      <c r="V120" s="108">
        <v>48</v>
      </c>
      <c r="W120" s="108">
        <v>88</v>
      </c>
      <c r="X120" s="108">
        <v>0</v>
      </c>
      <c r="Y120" s="108">
        <v>0</v>
      </c>
      <c r="Z120" s="108">
        <v>0</v>
      </c>
      <c r="AA120" s="108">
        <v>0</v>
      </c>
      <c r="AB120" s="108">
        <v>0</v>
      </c>
      <c r="AC120" s="108">
        <v>0</v>
      </c>
      <c r="AD120" s="108">
        <v>134</v>
      </c>
      <c r="AE120" s="108">
        <v>267</v>
      </c>
      <c r="AF120" s="108">
        <v>0</v>
      </c>
      <c r="AG120" s="108">
        <v>0</v>
      </c>
      <c r="AH120" s="108">
        <v>0</v>
      </c>
      <c r="AI120" s="108">
        <v>0</v>
      </c>
      <c r="AJ120" s="108">
        <v>0</v>
      </c>
      <c r="AK120" s="108">
        <v>0</v>
      </c>
      <c r="AL120" s="108">
        <v>275</v>
      </c>
      <c r="AM120" s="108">
        <v>1494</v>
      </c>
      <c r="AN120" s="108">
        <f t="shared" si="5"/>
        <v>275</v>
      </c>
      <c r="AO120" s="108">
        <f t="shared" si="6"/>
        <v>1494</v>
      </c>
      <c r="AP120" s="110">
        <f t="shared" si="8"/>
        <v>5.4327272727272726</v>
      </c>
      <c r="AQ120" s="110">
        <f t="shared" si="7"/>
        <v>0.32648601398601401</v>
      </c>
      <c r="AR120" s="108">
        <v>0</v>
      </c>
      <c r="AS120" s="108">
        <v>0</v>
      </c>
      <c r="AT120" s="108">
        <v>4576</v>
      </c>
    </row>
    <row r="121" spans="1:46" ht="13.5" thickBot="1" x14ac:dyDescent="0.25">
      <c r="A121" s="48" t="s">
        <v>758</v>
      </c>
      <c r="B121" s="47" t="s">
        <v>757</v>
      </c>
      <c r="C121" s="48" t="s">
        <v>17</v>
      </c>
      <c r="D121" s="48" t="s">
        <v>1649</v>
      </c>
      <c r="E121" s="48" t="s">
        <v>1649</v>
      </c>
      <c r="F121" s="108">
        <v>11</v>
      </c>
      <c r="G121" s="108">
        <v>128</v>
      </c>
      <c r="H121" s="108">
        <v>0</v>
      </c>
      <c r="I121" s="108">
        <v>0</v>
      </c>
      <c r="J121" s="108">
        <v>0</v>
      </c>
      <c r="K121" s="108">
        <v>0</v>
      </c>
      <c r="L121" s="108">
        <v>0</v>
      </c>
      <c r="M121" s="108">
        <v>0</v>
      </c>
      <c r="N121" s="108">
        <v>17</v>
      </c>
      <c r="O121" s="108">
        <v>0</v>
      </c>
      <c r="P121" s="108">
        <v>17</v>
      </c>
      <c r="Q121" s="108">
        <v>0</v>
      </c>
      <c r="R121" s="108">
        <v>0</v>
      </c>
      <c r="S121" s="108">
        <v>11</v>
      </c>
      <c r="T121" s="108">
        <v>128</v>
      </c>
      <c r="U121" s="109" t="s">
        <v>1648</v>
      </c>
      <c r="V121" s="108">
        <v>5</v>
      </c>
      <c r="W121" s="108">
        <v>15</v>
      </c>
      <c r="X121" s="108">
        <v>0</v>
      </c>
      <c r="Y121" s="108">
        <v>0</v>
      </c>
      <c r="Z121" s="108">
        <v>0</v>
      </c>
      <c r="AA121" s="108">
        <v>0</v>
      </c>
      <c r="AB121" s="108">
        <v>0</v>
      </c>
      <c r="AC121" s="108">
        <v>0</v>
      </c>
      <c r="AD121" s="108">
        <v>9</v>
      </c>
      <c r="AE121" s="108">
        <v>108</v>
      </c>
      <c r="AF121" s="108">
        <v>0</v>
      </c>
      <c r="AG121" s="108">
        <v>0</v>
      </c>
      <c r="AH121" s="108">
        <v>4</v>
      </c>
      <c r="AI121" s="108">
        <v>20</v>
      </c>
      <c r="AJ121" s="108">
        <v>0</v>
      </c>
      <c r="AK121" s="108">
        <v>0</v>
      </c>
      <c r="AL121" s="108">
        <v>24</v>
      </c>
      <c r="AM121" s="108">
        <v>256</v>
      </c>
      <c r="AN121" s="108">
        <f t="shared" si="5"/>
        <v>24</v>
      </c>
      <c r="AO121" s="108">
        <f t="shared" si="6"/>
        <v>256</v>
      </c>
      <c r="AP121" s="110">
        <f t="shared" si="8"/>
        <v>10.666666666666666</v>
      </c>
      <c r="AQ121" s="110">
        <f t="shared" si="7"/>
        <v>5.3815429892789576E-2</v>
      </c>
      <c r="AR121" s="108">
        <v>0</v>
      </c>
      <c r="AS121" s="108">
        <v>0</v>
      </c>
      <c r="AT121" s="108">
        <v>4757</v>
      </c>
    </row>
    <row r="122" spans="1:46" ht="13.5" thickBot="1" x14ac:dyDescent="0.25">
      <c r="A122" s="48" t="s">
        <v>764</v>
      </c>
      <c r="B122" s="47" t="s">
        <v>763</v>
      </c>
      <c r="C122" s="48" t="s">
        <v>17</v>
      </c>
      <c r="D122" s="48" t="s">
        <v>1649</v>
      </c>
      <c r="E122" s="48" t="s">
        <v>1649</v>
      </c>
      <c r="F122" s="108">
        <v>7</v>
      </c>
      <c r="G122" s="108">
        <v>49</v>
      </c>
      <c r="H122" s="108">
        <v>0</v>
      </c>
      <c r="I122" s="108">
        <v>0</v>
      </c>
      <c r="J122" s="108">
        <v>7</v>
      </c>
      <c r="K122" s="108">
        <v>49</v>
      </c>
      <c r="L122" s="108">
        <v>0</v>
      </c>
      <c r="M122" s="108">
        <v>0</v>
      </c>
      <c r="N122" s="108">
        <v>25</v>
      </c>
      <c r="O122" s="108">
        <v>0</v>
      </c>
      <c r="P122" s="108">
        <v>25</v>
      </c>
      <c r="Q122" s="108">
        <v>0</v>
      </c>
      <c r="R122" s="108">
        <v>0</v>
      </c>
      <c r="S122" s="108">
        <v>14</v>
      </c>
      <c r="T122" s="108">
        <v>98</v>
      </c>
      <c r="U122" s="109" t="s">
        <v>1649</v>
      </c>
      <c r="V122" s="108">
        <v>0</v>
      </c>
      <c r="W122" s="108">
        <v>0</v>
      </c>
      <c r="X122" s="108">
        <v>0</v>
      </c>
      <c r="Y122" s="108">
        <v>0</v>
      </c>
      <c r="Z122" s="108">
        <v>0</v>
      </c>
      <c r="AA122" s="108">
        <v>0</v>
      </c>
      <c r="AB122" s="108">
        <v>0</v>
      </c>
      <c r="AC122" s="108">
        <v>0</v>
      </c>
      <c r="AD122" s="108">
        <v>6</v>
      </c>
      <c r="AE122" s="108">
        <v>20</v>
      </c>
      <c r="AF122" s="108">
        <v>0</v>
      </c>
      <c r="AG122" s="108">
        <v>0</v>
      </c>
      <c r="AH122" s="108">
        <v>2</v>
      </c>
      <c r="AI122" s="108">
        <v>15</v>
      </c>
      <c r="AJ122" s="108">
        <v>0</v>
      </c>
      <c r="AK122" s="108">
        <v>0</v>
      </c>
      <c r="AL122" s="108">
        <v>22</v>
      </c>
      <c r="AM122" s="108">
        <v>133</v>
      </c>
      <c r="AN122" s="108">
        <f t="shared" si="5"/>
        <v>22</v>
      </c>
      <c r="AO122" s="108">
        <f t="shared" si="6"/>
        <v>133</v>
      </c>
      <c r="AP122" s="110">
        <f t="shared" si="8"/>
        <v>6.0454545454545459</v>
      </c>
      <c r="AQ122" s="110">
        <f t="shared" si="7"/>
        <v>2.8825314260944951E-2</v>
      </c>
      <c r="AR122" s="108">
        <v>0</v>
      </c>
      <c r="AS122" s="108">
        <v>0</v>
      </c>
      <c r="AT122" s="108">
        <v>4614</v>
      </c>
    </row>
    <row r="123" spans="1:46" ht="13.5" thickBot="1" x14ac:dyDescent="0.25">
      <c r="A123" s="48" t="s">
        <v>774</v>
      </c>
      <c r="B123" s="47" t="s">
        <v>773</v>
      </c>
      <c r="C123" s="48" t="s">
        <v>17</v>
      </c>
      <c r="D123" s="48" t="s">
        <v>1648</v>
      </c>
      <c r="E123" s="48" t="s">
        <v>1649</v>
      </c>
      <c r="F123" s="108">
        <v>42</v>
      </c>
      <c r="G123" s="108">
        <v>746</v>
      </c>
      <c r="H123" s="108">
        <v>3</v>
      </c>
      <c r="I123" s="108">
        <v>27</v>
      </c>
      <c r="J123" s="108">
        <v>21</v>
      </c>
      <c r="K123" s="108">
        <v>442</v>
      </c>
      <c r="L123" s="108">
        <v>2</v>
      </c>
      <c r="M123" s="108">
        <v>13</v>
      </c>
      <c r="N123" s="108">
        <v>54</v>
      </c>
      <c r="O123" s="108">
        <v>13</v>
      </c>
      <c r="P123" s="108">
        <v>67</v>
      </c>
      <c r="Q123" s="108">
        <v>4</v>
      </c>
      <c r="R123" s="108">
        <v>23</v>
      </c>
      <c r="S123" s="108">
        <v>63</v>
      </c>
      <c r="T123" s="108">
        <v>1188</v>
      </c>
      <c r="U123" s="109" t="s">
        <v>1648</v>
      </c>
      <c r="V123" s="108">
        <v>21</v>
      </c>
      <c r="W123" s="108">
        <v>320</v>
      </c>
      <c r="X123" s="108">
        <v>0</v>
      </c>
      <c r="Y123" s="108">
        <v>0</v>
      </c>
      <c r="Z123" s="108">
        <v>5</v>
      </c>
      <c r="AA123" s="108">
        <v>40</v>
      </c>
      <c r="AB123" s="108">
        <v>3</v>
      </c>
      <c r="AC123" s="108">
        <v>47</v>
      </c>
      <c r="AD123" s="108">
        <v>24</v>
      </c>
      <c r="AE123" s="108">
        <v>349</v>
      </c>
      <c r="AF123" s="108">
        <v>2</v>
      </c>
      <c r="AG123" s="108">
        <v>13</v>
      </c>
      <c r="AH123" s="108">
        <v>0</v>
      </c>
      <c r="AI123" s="108">
        <v>0</v>
      </c>
      <c r="AJ123" s="108">
        <v>9</v>
      </c>
      <c r="AK123" s="108">
        <v>83</v>
      </c>
      <c r="AL123" s="108">
        <v>92</v>
      </c>
      <c r="AM123" s="108">
        <v>1577</v>
      </c>
      <c r="AN123" s="108">
        <f t="shared" si="5"/>
        <v>101</v>
      </c>
      <c r="AO123" s="108">
        <f t="shared" si="6"/>
        <v>1660</v>
      </c>
      <c r="AP123" s="110">
        <f t="shared" si="8"/>
        <v>16.435643564356436</v>
      </c>
      <c r="AQ123" s="110">
        <f t="shared" si="7"/>
        <v>0.23717673953421917</v>
      </c>
      <c r="AR123" s="108">
        <v>0</v>
      </c>
      <c r="AS123" s="108">
        <v>0</v>
      </c>
      <c r="AT123" s="108">
        <v>6999</v>
      </c>
    </row>
    <row r="124" spans="1:46" ht="13.5" thickBot="1" x14ac:dyDescent="0.25">
      <c r="A124" s="48" t="s">
        <v>290</v>
      </c>
      <c r="B124" s="47" t="s">
        <v>289</v>
      </c>
      <c r="C124" s="48" t="s">
        <v>17</v>
      </c>
      <c r="D124" s="48" t="s">
        <v>1648</v>
      </c>
      <c r="E124" s="48" t="s">
        <v>1649</v>
      </c>
      <c r="F124" s="108">
        <v>25</v>
      </c>
      <c r="G124" s="108">
        <v>377</v>
      </c>
      <c r="H124" s="108">
        <v>0</v>
      </c>
      <c r="I124" s="108">
        <v>0</v>
      </c>
      <c r="J124" s="108">
        <v>2</v>
      </c>
      <c r="K124" s="108">
        <v>101</v>
      </c>
      <c r="L124" s="108">
        <v>0</v>
      </c>
      <c r="M124" s="108">
        <v>0</v>
      </c>
      <c r="N124" s="108">
        <v>70</v>
      </c>
      <c r="O124" s="108">
        <v>20</v>
      </c>
      <c r="P124" s="108">
        <v>90</v>
      </c>
      <c r="Q124" s="108">
        <v>0</v>
      </c>
      <c r="R124" s="108">
        <v>0</v>
      </c>
      <c r="S124" s="108">
        <v>27</v>
      </c>
      <c r="T124" s="108">
        <v>478</v>
      </c>
      <c r="U124" s="109" t="s">
        <v>1648</v>
      </c>
      <c r="V124" s="108">
        <v>15</v>
      </c>
      <c r="W124" s="108">
        <v>254</v>
      </c>
      <c r="X124" s="108">
        <v>0</v>
      </c>
      <c r="Y124" s="108">
        <v>0</v>
      </c>
      <c r="Z124" s="108">
        <v>0</v>
      </c>
      <c r="AA124" s="108">
        <v>0</v>
      </c>
      <c r="AB124" s="108">
        <v>0</v>
      </c>
      <c r="AC124" s="108">
        <v>0</v>
      </c>
      <c r="AD124" s="108">
        <v>42</v>
      </c>
      <c r="AE124" s="108">
        <v>331</v>
      </c>
      <c r="AF124" s="108">
        <v>0</v>
      </c>
      <c r="AG124" s="108">
        <v>0</v>
      </c>
      <c r="AH124" s="108">
        <v>0</v>
      </c>
      <c r="AI124" s="108">
        <v>0</v>
      </c>
      <c r="AJ124" s="108">
        <v>0</v>
      </c>
      <c r="AK124" s="108">
        <v>0</v>
      </c>
      <c r="AL124" s="108">
        <v>69</v>
      </c>
      <c r="AM124" s="108">
        <v>809</v>
      </c>
      <c r="AN124" s="108">
        <f t="shared" si="5"/>
        <v>69</v>
      </c>
      <c r="AO124" s="108">
        <f t="shared" si="6"/>
        <v>809</v>
      </c>
      <c r="AP124" s="110">
        <f t="shared" si="8"/>
        <v>11.72463768115942</v>
      </c>
      <c r="AQ124" s="110">
        <f t="shared" si="7"/>
        <v>0.14341428824676475</v>
      </c>
      <c r="AR124" s="108">
        <v>2</v>
      </c>
      <c r="AS124" s="108">
        <v>103</v>
      </c>
      <c r="AT124" s="108">
        <v>5641</v>
      </c>
    </row>
    <row r="125" spans="1:46" ht="13.5" thickBot="1" x14ac:dyDescent="0.25">
      <c r="A125" s="48" t="s">
        <v>514</v>
      </c>
      <c r="B125" s="47" t="s">
        <v>513</v>
      </c>
      <c r="C125" s="48" t="s">
        <v>17</v>
      </c>
      <c r="D125" s="48" t="s">
        <v>1648</v>
      </c>
      <c r="E125" s="48" t="s">
        <v>1648</v>
      </c>
      <c r="F125" s="108">
        <v>66</v>
      </c>
      <c r="G125" s="108">
        <v>1495</v>
      </c>
      <c r="H125" s="108">
        <v>0</v>
      </c>
      <c r="I125" s="108">
        <v>0</v>
      </c>
      <c r="J125" s="108">
        <v>16</v>
      </c>
      <c r="K125" s="108">
        <v>791</v>
      </c>
      <c r="L125" s="108">
        <v>4</v>
      </c>
      <c r="M125" s="108">
        <v>93</v>
      </c>
      <c r="N125" s="108">
        <v>180</v>
      </c>
      <c r="O125" s="108">
        <v>30</v>
      </c>
      <c r="P125" s="108">
        <v>210</v>
      </c>
      <c r="Q125" s="108">
        <v>5</v>
      </c>
      <c r="R125" s="108">
        <v>95</v>
      </c>
      <c r="S125" s="108">
        <v>82</v>
      </c>
      <c r="T125" s="108">
        <v>2286</v>
      </c>
      <c r="U125" s="109" t="s">
        <v>1648</v>
      </c>
      <c r="V125" s="108">
        <v>53</v>
      </c>
      <c r="W125" s="108">
        <v>1250</v>
      </c>
      <c r="X125" s="108">
        <v>2</v>
      </c>
      <c r="Y125" s="108">
        <v>18</v>
      </c>
      <c r="Z125" s="108">
        <v>4</v>
      </c>
      <c r="AA125" s="108">
        <v>93</v>
      </c>
      <c r="AB125" s="108">
        <v>5</v>
      </c>
      <c r="AC125" s="108">
        <v>148</v>
      </c>
      <c r="AD125" s="108">
        <v>18</v>
      </c>
      <c r="AE125" s="108">
        <v>338</v>
      </c>
      <c r="AF125" s="108">
        <v>0</v>
      </c>
      <c r="AG125" s="108">
        <v>0</v>
      </c>
      <c r="AH125" s="108">
        <v>1</v>
      </c>
      <c r="AI125" s="108">
        <v>180</v>
      </c>
      <c r="AJ125" s="108">
        <v>12</v>
      </c>
      <c r="AK125" s="108">
        <v>261</v>
      </c>
      <c r="AL125" s="108">
        <v>105</v>
      </c>
      <c r="AM125" s="108">
        <v>2897</v>
      </c>
      <c r="AN125" s="108">
        <f t="shared" si="5"/>
        <v>117</v>
      </c>
      <c r="AO125" s="108">
        <f t="shared" si="6"/>
        <v>3158</v>
      </c>
      <c r="AP125" s="110">
        <f t="shared" si="8"/>
        <v>26.991452991452991</v>
      </c>
      <c r="AQ125" s="110">
        <f t="shared" si="7"/>
        <v>0.47603255954175461</v>
      </c>
      <c r="AR125" s="108">
        <v>3</v>
      </c>
      <c r="AS125" s="108">
        <v>56</v>
      </c>
      <c r="AT125" s="108">
        <v>6634</v>
      </c>
    </row>
    <row r="126" spans="1:46" ht="13.5" thickBot="1" x14ac:dyDescent="0.25">
      <c r="A126" s="48" t="s">
        <v>400</v>
      </c>
      <c r="B126" s="47" t="s">
        <v>399</v>
      </c>
      <c r="C126" s="48" t="s">
        <v>17</v>
      </c>
      <c r="D126" s="48" t="s">
        <v>1648</v>
      </c>
      <c r="E126" s="48" t="s">
        <v>1648</v>
      </c>
      <c r="F126" s="108">
        <v>39</v>
      </c>
      <c r="G126" s="108">
        <v>210</v>
      </c>
      <c r="H126" s="108">
        <v>156</v>
      </c>
      <c r="I126" s="108">
        <v>1022</v>
      </c>
      <c r="J126" s="108">
        <v>5</v>
      </c>
      <c r="K126" s="108">
        <v>26</v>
      </c>
      <c r="L126" s="109">
        <v>0</v>
      </c>
      <c r="M126" s="109">
        <v>0</v>
      </c>
      <c r="N126" s="108">
        <v>23</v>
      </c>
      <c r="O126" s="108">
        <v>0</v>
      </c>
      <c r="P126" s="108">
        <v>23</v>
      </c>
      <c r="Q126" s="108">
        <v>5</v>
      </c>
      <c r="R126" s="108">
        <v>23</v>
      </c>
      <c r="S126" s="108">
        <v>44</v>
      </c>
      <c r="T126" s="108">
        <v>236</v>
      </c>
      <c r="U126" s="109" t="s">
        <v>1648</v>
      </c>
      <c r="V126" s="108">
        <v>5</v>
      </c>
      <c r="W126" s="108">
        <v>23</v>
      </c>
      <c r="X126" s="108">
        <v>0</v>
      </c>
      <c r="Y126" s="108">
        <v>0</v>
      </c>
      <c r="Z126" s="108">
        <v>156</v>
      </c>
      <c r="AA126" s="108">
        <v>1022</v>
      </c>
      <c r="AB126" s="108">
        <v>0</v>
      </c>
      <c r="AC126" s="108">
        <v>0</v>
      </c>
      <c r="AD126" s="108">
        <v>0</v>
      </c>
      <c r="AE126" s="108">
        <v>0</v>
      </c>
      <c r="AF126" s="108">
        <v>0</v>
      </c>
      <c r="AG126" s="108">
        <v>0</v>
      </c>
      <c r="AH126" s="108">
        <v>0</v>
      </c>
      <c r="AI126" s="108">
        <v>0</v>
      </c>
      <c r="AJ126" s="108">
        <v>5</v>
      </c>
      <c r="AK126" s="108">
        <v>23</v>
      </c>
      <c r="AL126" s="108">
        <v>200</v>
      </c>
      <c r="AM126" s="108">
        <v>1258</v>
      </c>
      <c r="AN126" s="108">
        <f t="shared" si="5"/>
        <v>205</v>
      </c>
      <c r="AO126" s="108">
        <f t="shared" si="6"/>
        <v>1281</v>
      </c>
      <c r="AP126" s="110">
        <f t="shared" si="8"/>
        <v>6.2487804878048783</v>
      </c>
      <c r="AQ126" s="110">
        <f t="shared" si="7"/>
        <v>0.18307846219808491</v>
      </c>
      <c r="AR126" s="108">
        <v>4</v>
      </c>
      <c r="AS126" s="108">
        <v>23</v>
      </c>
      <c r="AT126" s="108">
        <v>6997</v>
      </c>
    </row>
    <row r="127" spans="1:46" ht="13.5" thickBot="1" x14ac:dyDescent="0.25">
      <c r="A127" s="48" t="s">
        <v>708</v>
      </c>
      <c r="B127" s="47" t="s">
        <v>707</v>
      </c>
      <c r="C127" s="48" t="s">
        <v>17</v>
      </c>
      <c r="D127" s="48" t="s">
        <v>1648</v>
      </c>
      <c r="E127" s="48" t="s">
        <v>1648</v>
      </c>
      <c r="F127" s="108">
        <v>112</v>
      </c>
      <c r="G127" s="108">
        <v>1986</v>
      </c>
      <c r="H127" s="108">
        <v>8</v>
      </c>
      <c r="I127" s="108">
        <v>52</v>
      </c>
      <c r="J127" s="108">
        <v>16</v>
      </c>
      <c r="K127" s="108">
        <v>754</v>
      </c>
      <c r="L127" s="108">
        <v>1</v>
      </c>
      <c r="M127" s="108">
        <v>2</v>
      </c>
      <c r="N127" s="108">
        <v>47</v>
      </c>
      <c r="O127" s="108">
        <v>2</v>
      </c>
      <c r="P127" s="108">
        <v>49</v>
      </c>
      <c r="Q127" s="108">
        <v>19</v>
      </c>
      <c r="R127" s="108">
        <v>102</v>
      </c>
      <c r="S127" s="108">
        <v>128</v>
      </c>
      <c r="T127" s="108">
        <v>2740</v>
      </c>
      <c r="U127" s="109" t="s">
        <v>1648</v>
      </c>
      <c r="V127" s="108">
        <v>128</v>
      </c>
      <c r="W127" s="108">
        <v>2742</v>
      </c>
      <c r="X127" s="108">
        <v>0</v>
      </c>
      <c r="Y127" s="108">
        <v>0</v>
      </c>
      <c r="Z127" s="108">
        <v>9</v>
      </c>
      <c r="AA127" s="108">
        <v>54</v>
      </c>
      <c r="AB127" s="108">
        <v>10</v>
      </c>
      <c r="AC127" s="108">
        <v>71</v>
      </c>
      <c r="AD127" s="108">
        <v>28</v>
      </c>
      <c r="AE127" s="108">
        <v>242</v>
      </c>
      <c r="AF127" s="108">
        <v>4</v>
      </c>
      <c r="AG127" s="108">
        <v>1455</v>
      </c>
      <c r="AH127" s="108">
        <v>30</v>
      </c>
      <c r="AI127" s="108">
        <v>3876</v>
      </c>
      <c r="AJ127" s="108">
        <v>33</v>
      </c>
      <c r="AK127" s="108">
        <v>1628</v>
      </c>
      <c r="AL127" s="108">
        <v>195</v>
      </c>
      <c r="AM127" s="108">
        <v>6912</v>
      </c>
      <c r="AN127" s="108">
        <f t="shared" si="5"/>
        <v>228</v>
      </c>
      <c r="AO127" s="108">
        <f t="shared" si="6"/>
        <v>8540</v>
      </c>
      <c r="AP127" s="110">
        <f t="shared" si="8"/>
        <v>37.456140350877192</v>
      </c>
      <c r="AQ127" s="110">
        <f t="shared" si="7"/>
        <v>2.1107266435986158</v>
      </c>
      <c r="AR127" s="108">
        <v>5</v>
      </c>
      <c r="AS127" s="108">
        <v>1068</v>
      </c>
      <c r="AT127" s="108">
        <v>4046</v>
      </c>
    </row>
    <row r="128" spans="1:46" ht="13.5" thickBot="1" x14ac:dyDescent="0.25">
      <c r="A128" s="48" t="s">
        <v>672</v>
      </c>
      <c r="B128" s="47" t="s">
        <v>671</v>
      </c>
      <c r="C128" s="48" t="s">
        <v>17</v>
      </c>
      <c r="D128" s="48" t="s">
        <v>1648</v>
      </c>
      <c r="E128" s="48" t="s">
        <v>1648</v>
      </c>
      <c r="F128" s="108">
        <v>80</v>
      </c>
      <c r="G128" s="108">
        <v>1612</v>
      </c>
      <c r="H128" s="108">
        <v>7</v>
      </c>
      <c r="I128" s="108">
        <v>54</v>
      </c>
      <c r="J128" s="108">
        <v>0</v>
      </c>
      <c r="K128" s="108">
        <v>0</v>
      </c>
      <c r="L128" s="108">
        <v>0</v>
      </c>
      <c r="M128" s="108">
        <v>0</v>
      </c>
      <c r="N128" s="108">
        <v>68</v>
      </c>
      <c r="O128" s="108">
        <v>42</v>
      </c>
      <c r="P128" s="108">
        <v>110</v>
      </c>
      <c r="Q128" s="108">
        <v>7</v>
      </c>
      <c r="R128" s="108">
        <v>84</v>
      </c>
      <c r="S128" s="108">
        <v>80</v>
      </c>
      <c r="T128" s="108">
        <v>1612</v>
      </c>
      <c r="U128" s="109" t="s">
        <v>1648</v>
      </c>
      <c r="V128" s="108">
        <v>59</v>
      </c>
      <c r="W128" s="108">
        <v>910</v>
      </c>
      <c r="X128" s="108">
        <v>0</v>
      </c>
      <c r="Y128" s="108">
        <v>0</v>
      </c>
      <c r="Z128" s="108">
        <v>7</v>
      </c>
      <c r="AA128" s="108">
        <v>54</v>
      </c>
      <c r="AB128" s="108">
        <v>4</v>
      </c>
      <c r="AC128" s="108">
        <v>33</v>
      </c>
      <c r="AD128" s="108">
        <v>30</v>
      </c>
      <c r="AE128" s="108">
        <v>380</v>
      </c>
      <c r="AF128" s="108">
        <v>0</v>
      </c>
      <c r="AG128" s="108">
        <v>0</v>
      </c>
      <c r="AH128" s="108">
        <v>0</v>
      </c>
      <c r="AI128" s="108">
        <v>0</v>
      </c>
      <c r="AJ128" s="108">
        <v>11</v>
      </c>
      <c r="AK128" s="108">
        <v>117</v>
      </c>
      <c r="AL128" s="108">
        <v>117</v>
      </c>
      <c r="AM128" s="108">
        <v>2046</v>
      </c>
      <c r="AN128" s="108">
        <f t="shared" si="5"/>
        <v>128</v>
      </c>
      <c r="AO128" s="108">
        <f t="shared" si="6"/>
        <v>2163</v>
      </c>
      <c r="AP128" s="110">
        <f t="shared" si="8"/>
        <v>16.8984375</v>
      </c>
      <c r="AQ128" s="110">
        <f t="shared" si="7"/>
        <v>0.42403450303861989</v>
      </c>
      <c r="AR128" s="108">
        <v>6</v>
      </c>
      <c r="AS128" s="108">
        <v>678</v>
      </c>
      <c r="AT128" s="108">
        <v>5101</v>
      </c>
    </row>
    <row r="129" spans="1:46" ht="13.5" thickBot="1" x14ac:dyDescent="0.25">
      <c r="A129" s="48" t="s">
        <v>388</v>
      </c>
      <c r="B129" s="47" t="s">
        <v>387</v>
      </c>
      <c r="C129" s="48" t="s">
        <v>17</v>
      </c>
      <c r="D129" s="48" t="s">
        <v>1648</v>
      </c>
      <c r="E129" s="48" t="s">
        <v>1648</v>
      </c>
      <c r="F129" s="108">
        <v>53</v>
      </c>
      <c r="G129" s="108">
        <v>1497</v>
      </c>
      <c r="H129" s="108">
        <v>3</v>
      </c>
      <c r="I129" s="108">
        <v>32</v>
      </c>
      <c r="J129" s="108">
        <v>0</v>
      </c>
      <c r="K129" s="108">
        <v>0</v>
      </c>
      <c r="L129" s="108">
        <v>0</v>
      </c>
      <c r="M129" s="108">
        <v>0</v>
      </c>
      <c r="N129" s="108">
        <v>34</v>
      </c>
      <c r="O129" s="108">
        <v>9</v>
      </c>
      <c r="P129" s="108">
        <v>43</v>
      </c>
      <c r="Q129" s="108">
        <v>7</v>
      </c>
      <c r="R129" s="108">
        <v>60</v>
      </c>
      <c r="S129" s="108">
        <v>53</v>
      </c>
      <c r="T129" s="108">
        <v>1497</v>
      </c>
      <c r="U129" s="109" t="s">
        <v>1648</v>
      </c>
      <c r="V129" s="108">
        <v>8</v>
      </c>
      <c r="W129" s="108">
        <v>186</v>
      </c>
      <c r="X129" s="108">
        <v>0</v>
      </c>
      <c r="Y129" s="108">
        <v>0</v>
      </c>
      <c r="Z129" s="108">
        <v>3</v>
      </c>
      <c r="AA129" s="108">
        <v>32</v>
      </c>
      <c r="AB129" s="108">
        <v>3</v>
      </c>
      <c r="AC129" s="108">
        <v>20</v>
      </c>
      <c r="AD129" s="108">
        <v>24</v>
      </c>
      <c r="AE129" s="108">
        <v>242</v>
      </c>
      <c r="AF129" s="108">
        <v>0</v>
      </c>
      <c r="AG129" s="108">
        <v>0</v>
      </c>
      <c r="AH129" s="108">
        <v>1</v>
      </c>
      <c r="AI129" s="108">
        <v>150</v>
      </c>
      <c r="AJ129" s="108">
        <v>10</v>
      </c>
      <c r="AK129" s="108">
        <v>80</v>
      </c>
      <c r="AL129" s="108">
        <v>81</v>
      </c>
      <c r="AM129" s="108">
        <v>1921</v>
      </c>
      <c r="AN129" s="108">
        <f t="shared" si="5"/>
        <v>91</v>
      </c>
      <c r="AO129" s="108">
        <f t="shared" si="6"/>
        <v>2001</v>
      </c>
      <c r="AP129" s="110">
        <f t="shared" si="8"/>
        <v>21.989010989010989</v>
      </c>
      <c r="AQ129" s="110">
        <f t="shared" si="7"/>
        <v>0.35025380710659898</v>
      </c>
      <c r="AR129" s="108">
        <v>7</v>
      </c>
      <c r="AS129" s="108">
        <v>945</v>
      </c>
      <c r="AT129" s="108">
        <v>5713</v>
      </c>
    </row>
    <row r="130" spans="1:46" ht="13.5" thickBot="1" x14ac:dyDescent="0.25">
      <c r="A130" s="48" t="s">
        <v>56</v>
      </c>
      <c r="B130" s="47" t="s">
        <v>55</v>
      </c>
      <c r="C130" s="48" t="s">
        <v>17</v>
      </c>
      <c r="D130" s="48" t="s">
        <v>1648</v>
      </c>
      <c r="E130" s="48" t="s">
        <v>1648</v>
      </c>
      <c r="F130" s="108">
        <v>53</v>
      </c>
      <c r="G130" s="108">
        <v>673</v>
      </c>
      <c r="H130" s="108">
        <v>0</v>
      </c>
      <c r="I130" s="108">
        <v>0</v>
      </c>
      <c r="J130" s="108">
        <v>22</v>
      </c>
      <c r="K130" s="108">
        <v>391</v>
      </c>
      <c r="L130" s="108">
        <v>7</v>
      </c>
      <c r="M130" s="108">
        <v>59</v>
      </c>
      <c r="N130" s="108">
        <v>79</v>
      </c>
      <c r="O130" s="108">
        <v>22</v>
      </c>
      <c r="P130" s="108">
        <v>101</v>
      </c>
      <c r="Q130" s="108">
        <v>1</v>
      </c>
      <c r="R130" s="108">
        <v>7</v>
      </c>
      <c r="S130" s="108">
        <v>75</v>
      </c>
      <c r="T130" s="108">
        <v>1064</v>
      </c>
      <c r="U130" s="109" t="s">
        <v>1648</v>
      </c>
      <c r="V130" s="108">
        <v>32</v>
      </c>
      <c r="W130" s="108">
        <v>302</v>
      </c>
      <c r="X130" s="108">
        <v>0</v>
      </c>
      <c r="Y130" s="108">
        <v>0</v>
      </c>
      <c r="Z130" s="108">
        <v>7</v>
      </c>
      <c r="AA130" s="108">
        <v>59</v>
      </c>
      <c r="AB130" s="108">
        <v>0</v>
      </c>
      <c r="AC130" s="108">
        <v>0</v>
      </c>
      <c r="AD130" s="108">
        <v>45</v>
      </c>
      <c r="AE130" s="108">
        <v>450</v>
      </c>
      <c r="AF130" s="108">
        <v>8</v>
      </c>
      <c r="AG130" s="108">
        <v>169</v>
      </c>
      <c r="AH130" s="109">
        <v>0</v>
      </c>
      <c r="AI130" s="108">
        <v>95</v>
      </c>
      <c r="AJ130" s="108">
        <v>9</v>
      </c>
      <c r="AK130" s="108">
        <v>176</v>
      </c>
      <c r="AL130" s="108">
        <v>127</v>
      </c>
      <c r="AM130" s="108">
        <v>1668</v>
      </c>
      <c r="AN130" s="108">
        <f t="shared" si="5"/>
        <v>136</v>
      </c>
      <c r="AO130" s="108">
        <f t="shared" si="6"/>
        <v>1844</v>
      </c>
      <c r="AP130" s="110">
        <f t="shared" si="8"/>
        <v>13.558823529411764</v>
      </c>
      <c r="AQ130" s="110">
        <f t="shared" si="7"/>
        <v>0.3428146495631158</v>
      </c>
      <c r="AR130" s="108">
        <v>8</v>
      </c>
      <c r="AS130" s="108">
        <v>169</v>
      </c>
      <c r="AT130" s="108">
        <v>5379</v>
      </c>
    </row>
    <row r="131" spans="1:46" ht="13.5" thickBot="1" x14ac:dyDescent="0.25">
      <c r="A131" s="48" t="s">
        <v>784</v>
      </c>
      <c r="B131" s="47" t="s">
        <v>783</v>
      </c>
      <c r="C131" s="48" t="s">
        <v>17</v>
      </c>
      <c r="D131" s="48" t="s">
        <v>1648</v>
      </c>
      <c r="E131" s="48" t="s">
        <v>1648</v>
      </c>
      <c r="F131" s="108">
        <v>48</v>
      </c>
      <c r="G131" s="108">
        <v>320</v>
      </c>
      <c r="H131" s="108">
        <v>9</v>
      </c>
      <c r="I131" s="108">
        <v>45</v>
      </c>
      <c r="J131" s="108">
        <v>17</v>
      </c>
      <c r="K131" s="108">
        <v>727</v>
      </c>
      <c r="L131" s="108">
        <v>17</v>
      </c>
      <c r="M131" s="108">
        <v>128</v>
      </c>
      <c r="N131" s="108">
        <v>83</v>
      </c>
      <c r="O131" s="108">
        <v>12</v>
      </c>
      <c r="P131" s="108">
        <v>95</v>
      </c>
      <c r="Q131" s="108">
        <v>4</v>
      </c>
      <c r="R131" s="108">
        <v>36</v>
      </c>
      <c r="S131" s="108">
        <v>65</v>
      </c>
      <c r="T131" s="108">
        <v>1047</v>
      </c>
      <c r="U131" s="109" t="s">
        <v>1648</v>
      </c>
      <c r="V131" s="108">
        <v>10</v>
      </c>
      <c r="W131" s="108">
        <v>72</v>
      </c>
      <c r="X131" s="108">
        <v>0</v>
      </c>
      <c r="Y131" s="108">
        <v>0</v>
      </c>
      <c r="Z131" s="108">
        <v>26</v>
      </c>
      <c r="AA131" s="108">
        <v>173</v>
      </c>
      <c r="AB131" s="108">
        <v>2</v>
      </c>
      <c r="AC131" s="108">
        <v>61</v>
      </c>
      <c r="AD131" s="108">
        <v>114</v>
      </c>
      <c r="AE131" s="108">
        <v>438</v>
      </c>
      <c r="AF131" s="108">
        <v>0</v>
      </c>
      <c r="AG131" s="108">
        <v>0</v>
      </c>
      <c r="AH131" s="108">
        <v>1</v>
      </c>
      <c r="AI131" s="108">
        <v>7</v>
      </c>
      <c r="AJ131" s="108">
        <v>6</v>
      </c>
      <c r="AK131" s="108">
        <v>97</v>
      </c>
      <c r="AL131" s="108">
        <v>206</v>
      </c>
      <c r="AM131" s="108">
        <v>1665</v>
      </c>
      <c r="AN131" s="108">
        <f t="shared" si="5"/>
        <v>212</v>
      </c>
      <c r="AO131" s="108">
        <f t="shared" si="6"/>
        <v>1762</v>
      </c>
      <c r="AP131" s="110">
        <f t="shared" si="8"/>
        <v>8.3113207547169807</v>
      </c>
      <c r="AQ131" s="110">
        <f t="shared" si="7"/>
        <v>0.36427537729997933</v>
      </c>
      <c r="AR131" s="108">
        <v>10</v>
      </c>
      <c r="AS131" s="108">
        <v>10</v>
      </c>
      <c r="AT131" s="108">
        <v>4837</v>
      </c>
    </row>
    <row r="132" spans="1:46" ht="13.5" thickBot="1" x14ac:dyDescent="0.25">
      <c r="A132" s="48" t="s">
        <v>14</v>
      </c>
      <c r="B132" s="47" t="s">
        <v>13</v>
      </c>
      <c r="C132" s="48" t="s">
        <v>17</v>
      </c>
      <c r="D132" s="48" t="s">
        <v>1648</v>
      </c>
      <c r="E132" s="48" t="s">
        <v>1648</v>
      </c>
      <c r="F132" s="108">
        <v>50</v>
      </c>
      <c r="G132" s="108">
        <v>200</v>
      </c>
      <c r="H132" s="108">
        <v>0</v>
      </c>
      <c r="I132" s="108">
        <v>0</v>
      </c>
      <c r="J132" s="108">
        <v>5</v>
      </c>
      <c r="K132" s="108">
        <v>130</v>
      </c>
      <c r="L132" s="108">
        <v>0</v>
      </c>
      <c r="M132" s="108">
        <v>0</v>
      </c>
      <c r="N132" s="108">
        <v>20</v>
      </c>
      <c r="O132" s="108">
        <v>5</v>
      </c>
      <c r="P132" s="108">
        <v>25</v>
      </c>
      <c r="Q132" s="108">
        <v>0</v>
      </c>
      <c r="R132" s="108">
        <v>0</v>
      </c>
      <c r="S132" s="108">
        <v>55</v>
      </c>
      <c r="T132" s="108">
        <v>330</v>
      </c>
      <c r="U132" s="109" t="s">
        <v>1648</v>
      </c>
      <c r="V132" s="108">
        <v>50</v>
      </c>
      <c r="W132" s="108">
        <v>200</v>
      </c>
      <c r="X132" s="108">
        <v>0</v>
      </c>
      <c r="Y132" s="108">
        <v>0</v>
      </c>
      <c r="Z132" s="108">
        <v>0</v>
      </c>
      <c r="AA132" s="108">
        <v>0</v>
      </c>
      <c r="AB132" s="108">
        <v>16</v>
      </c>
      <c r="AC132" s="108">
        <v>80</v>
      </c>
      <c r="AD132" s="108">
        <v>37</v>
      </c>
      <c r="AE132" s="108">
        <v>263</v>
      </c>
      <c r="AF132" s="108">
        <v>0</v>
      </c>
      <c r="AG132" s="108">
        <v>0</v>
      </c>
      <c r="AH132" s="108">
        <v>1</v>
      </c>
      <c r="AI132" s="108">
        <v>109</v>
      </c>
      <c r="AJ132" s="108">
        <v>16</v>
      </c>
      <c r="AK132" s="108">
        <v>80</v>
      </c>
      <c r="AL132" s="108">
        <v>93</v>
      </c>
      <c r="AM132" s="108">
        <v>702</v>
      </c>
      <c r="AN132" s="108">
        <f t="shared" ref="AN132:AN195" si="9">AL132+AJ132</f>
        <v>109</v>
      </c>
      <c r="AO132" s="108">
        <f t="shared" ref="AO132:AO195" si="10">AM132+AK132</f>
        <v>782</v>
      </c>
      <c r="AP132" s="110">
        <f t="shared" si="8"/>
        <v>7.1743119266055047</v>
      </c>
      <c r="AQ132" s="110">
        <f t="shared" ref="AQ132:AQ195" si="11">AO132/AT132</f>
        <v>0.12313021571406078</v>
      </c>
      <c r="AR132" s="108">
        <v>12</v>
      </c>
      <c r="AS132" s="108">
        <v>72</v>
      </c>
      <c r="AT132" s="108">
        <v>6351</v>
      </c>
    </row>
    <row r="133" spans="1:46" ht="13.5" thickBot="1" x14ac:dyDescent="0.25">
      <c r="A133" s="48" t="s">
        <v>632</v>
      </c>
      <c r="B133" s="47" t="s">
        <v>631</v>
      </c>
      <c r="C133" s="48" t="s">
        <v>17</v>
      </c>
      <c r="D133" s="48" t="s">
        <v>1648</v>
      </c>
      <c r="E133" s="48" t="s">
        <v>1648</v>
      </c>
      <c r="F133" s="108">
        <v>23</v>
      </c>
      <c r="G133" s="108">
        <v>297</v>
      </c>
      <c r="H133" s="108">
        <v>10</v>
      </c>
      <c r="I133" s="108">
        <v>50</v>
      </c>
      <c r="J133" s="108">
        <v>6</v>
      </c>
      <c r="K133" s="108">
        <v>70</v>
      </c>
      <c r="L133" s="108">
        <v>6</v>
      </c>
      <c r="M133" s="108">
        <v>40</v>
      </c>
      <c r="N133" s="108">
        <v>98</v>
      </c>
      <c r="O133" s="108">
        <v>34</v>
      </c>
      <c r="P133" s="108">
        <v>132</v>
      </c>
      <c r="Q133" s="108">
        <v>12</v>
      </c>
      <c r="R133" s="108">
        <v>120</v>
      </c>
      <c r="S133" s="108">
        <v>29</v>
      </c>
      <c r="T133" s="108">
        <v>367</v>
      </c>
      <c r="U133" s="109" t="s">
        <v>1648</v>
      </c>
      <c r="V133" s="108">
        <v>32</v>
      </c>
      <c r="W133" s="108">
        <v>150</v>
      </c>
      <c r="X133" s="108">
        <v>3</v>
      </c>
      <c r="Y133" s="108">
        <v>10</v>
      </c>
      <c r="Z133" s="108">
        <v>16</v>
      </c>
      <c r="AA133" s="108">
        <v>90</v>
      </c>
      <c r="AB133" s="108">
        <v>2</v>
      </c>
      <c r="AC133" s="108">
        <v>20</v>
      </c>
      <c r="AD133" s="108">
        <v>9</v>
      </c>
      <c r="AE133" s="108">
        <v>90</v>
      </c>
      <c r="AF133" s="108">
        <v>0</v>
      </c>
      <c r="AG133" s="108">
        <v>0</v>
      </c>
      <c r="AH133" s="108">
        <v>0</v>
      </c>
      <c r="AI133" s="108">
        <v>0</v>
      </c>
      <c r="AJ133" s="108">
        <v>17</v>
      </c>
      <c r="AK133" s="108">
        <v>150</v>
      </c>
      <c r="AL133" s="108">
        <v>54</v>
      </c>
      <c r="AM133" s="108">
        <v>547</v>
      </c>
      <c r="AN133" s="108">
        <f t="shared" si="9"/>
        <v>71</v>
      </c>
      <c r="AO133" s="108">
        <f t="shared" si="10"/>
        <v>697</v>
      </c>
      <c r="AP133" s="110">
        <f t="shared" si="8"/>
        <v>9.816901408450704</v>
      </c>
      <c r="AQ133" s="110">
        <f t="shared" si="11"/>
        <v>0.14960291908134793</v>
      </c>
      <c r="AR133" s="108">
        <v>14</v>
      </c>
      <c r="AS133" s="108">
        <v>2</v>
      </c>
      <c r="AT133" s="108">
        <v>4659</v>
      </c>
    </row>
    <row r="134" spans="1:46" ht="13.5" thickBot="1" x14ac:dyDescent="0.25">
      <c r="A134" s="48" t="s">
        <v>70</v>
      </c>
      <c r="B134" s="47" t="s">
        <v>69</v>
      </c>
      <c r="C134" s="48" t="s">
        <v>17</v>
      </c>
      <c r="D134" s="48" t="s">
        <v>1648</v>
      </c>
      <c r="E134" s="48" t="s">
        <v>1648</v>
      </c>
      <c r="F134" s="108">
        <v>38</v>
      </c>
      <c r="G134" s="108">
        <v>918</v>
      </c>
      <c r="H134" s="108">
        <v>1</v>
      </c>
      <c r="I134" s="108">
        <v>60</v>
      </c>
      <c r="J134" s="108">
        <v>6</v>
      </c>
      <c r="K134" s="108">
        <v>92</v>
      </c>
      <c r="L134" s="108">
        <v>2</v>
      </c>
      <c r="M134" s="108">
        <v>0</v>
      </c>
      <c r="N134" s="108">
        <v>28</v>
      </c>
      <c r="O134" s="108">
        <v>2</v>
      </c>
      <c r="P134" s="108">
        <v>30</v>
      </c>
      <c r="Q134" s="108">
        <v>1</v>
      </c>
      <c r="R134" s="108">
        <v>5</v>
      </c>
      <c r="S134" s="108">
        <v>44</v>
      </c>
      <c r="T134" s="108">
        <v>1010</v>
      </c>
      <c r="U134" s="109" t="s">
        <v>1648</v>
      </c>
      <c r="V134" s="108">
        <v>17</v>
      </c>
      <c r="W134" s="108">
        <v>263</v>
      </c>
      <c r="X134" s="108">
        <v>0</v>
      </c>
      <c r="Y134" s="108">
        <v>0</v>
      </c>
      <c r="Z134" s="108">
        <v>3</v>
      </c>
      <c r="AA134" s="108">
        <v>60</v>
      </c>
      <c r="AB134" s="108">
        <v>0</v>
      </c>
      <c r="AC134" s="108">
        <v>0</v>
      </c>
      <c r="AD134" s="108">
        <v>49</v>
      </c>
      <c r="AE134" s="108">
        <v>288</v>
      </c>
      <c r="AF134" s="108">
        <v>0</v>
      </c>
      <c r="AG134" s="108">
        <v>0</v>
      </c>
      <c r="AH134" s="108">
        <v>10</v>
      </c>
      <c r="AI134" s="108">
        <v>381</v>
      </c>
      <c r="AJ134" s="108">
        <v>1</v>
      </c>
      <c r="AK134" s="108">
        <v>5</v>
      </c>
      <c r="AL134" s="108">
        <v>106</v>
      </c>
      <c r="AM134" s="108">
        <v>1739</v>
      </c>
      <c r="AN134" s="108">
        <f t="shared" si="9"/>
        <v>107</v>
      </c>
      <c r="AO134" s="108">
        <f t="shared" si="10"/>
        <v>1744</v>
      </c>
      <c r="AP134" s="110">
        <f t="shared" si="8"/>
        <v>16.299065420560748</v>
      </c>
      <c r="AQ134" s="110">
        <f t="shared" si="11"/>
        <v>0.26340431958918592</v>
      </c>
      <c r="AR134" s="108">
        <v>15</v>
      </c>
      <c r="AS134" s="108">
        <v>107</v>
      </c>
      <c r="AT134" s="108">
        <v>6621</v>
      </c>
    </row>
    <row r="135" spans="1:46" ht="13.5" thickBot="1" x14ac:dyDescent="0.25">
      <c r="A135" s="48" t="s">
        <v>540</v>
      </c>
      <c r="B135" s="47" t="s">
        <v>539</v>
      </c>
      <c r="C135" s="48" t="s">
        <v>17</v>
      </c>
      <c r="D135" s="48" t="s">
        <v>1648</v>
      </c>
      <c r="E135" s="48" t="s">
        <v>1648</v>
      </c>
      <c r="F135" s="108">
        <v>22</v>
      </c>
      <c r="G135" s="108">
        <v>393</v>
      </c>
      <c r="H135" s="108">
        <v>3</v>
      </c>
      <c r="I135" s="108">
        <v>57</v>
      </c>
      <c r="J135" s="108">
        <v>8</v>
      </c>
      <c r="K135" s="108">
        <v>98</v>
      </c>
      <c r="L135" s="108">
        <v>0</v>
      </c>
      <c r="M135" s="108">
        <v>0</v>
      </c>
      <c r="N135" s="108">
        <v>68</v>
      </c>
      <c r="O135" s="108">
        <v>8</v>
      </c>
      <c r="P135" s="108">
        <v>76</v>
      </c>
      <c r="Q135" s="108">
        <v>0</v>
      </c>
      <c r="R135" s="108">
        <v>0</v>
      </c>
      <c r="S135" s="108">
        <v>30</v>
      </c>
      <c r="T135" s="108">
        <v>491</v>
      </c>
      <c r="U135" s="109" t="s">
        <v>1648</v>
      </c>
      <c r="V135" s="108">
        <v>12</v>
      </c>
      <c r="W135" s="108">
        <v>95</v>
      </c>
      <c r="X135" s="108">
        <v>0</v>
      </c>
      <c r="Y135" s="108">
        <v>0</v>
      </c>
      <c r="Z135" s="108">
        <v>3</v>
      </c>
      <c r="AA135" s="108">
        <v>57</v>
      </c>
      <c r="AB135" s="108">
        <v>1</v>
      </c>
      <c r="AC135" s="108">
        <v>0</v>
      </c>
      <c r="AD135" s="108">
        <v>15</v>
      </c>
      <c r="AE135" s="108">
        <v>133</v>
      </c>
      <c r="AF135" s="108">
        <v>0</v>
      </c>
      <c r="AG135" s="108">
        <v>0</v>
      </c>
      <c r="AH135" s="108">
        <v>4</v>
      </c>
      <c r="AI135" s="108">
        <v>219</v>
      </c>
      <c r="AJ135" s="108">
        <v>1</v>
      </c>
      <c r="AK135" s="108">
        <v>0</v>
      </c>
      <c r="AL135" s="108">
        <v>52</v>
      </c>
      <c r="AM135" s="108">
        <v>900</v>
      </c>
      <c r="AN135" s="108">
        <f t="shared" si="9"/>
        <v>53</v>
      </c>
      <c r="AO135" s="108">
        <f t="shared" si="10"/>
        <v>900</v>
      </c>
      <c r="AP135" s="110">
        <f t="shared" si="8"/>
        <v>16.981132075471699</v>
      </c>
      <c r="AQ135" s="110">
        <f t="shared" si="11"/>
        <v>0.1457725947521866</v>
      </c>
      <c r="AR135" s="108">
        <v>17</v>
      </c>
      <c r="AS135" s="108">
        <v>2769</v>
      </c>
      <c r="AT135" s="108">
        <v>6174</v>
      </c>
    </row>
    <row r="136" spans="1:46" ht="13.5" thickBot="1" x14ac:dyDescent="0.25">
      <c r="A136" s="48" t="s">
        <v>644</v>
      </c>
      <c r="B136" s="47" t="s">
        <v>643</v>
      </c>
      <c r="C136" s="48" t="s">
        <v>17</v>
      </c>
      <c r="D136" s="48" t="s">
        <v>1648</v>
      </c>
      <c r="E136" s="48" t="s">
        <v>1648</v>
      </c>
      <c r="F136" s="108">
        <v>41</v>
      </c>
      <c r="G136" s="108">
        <v>542</v>
      </c>
      <c r="H136" s="108">
        <v>24</v>
      </c>
      <c r="I136" s="108">
        <v>239</v>
      </c>
      <c r="J136" s="108">
        <v>19</v>
      </c>
      <c r="K136" s="108">
        <v>135</v>
      </c>
      <c r="L136" s="108">
        <v>5</v>
      </c>
      <c r="M136" s="108">
        <v>128</v>
      </c>
      <c r="N136" s="108">
        <v>51</v>
      </c>
      <c r="O136" s="108">
        <v>10</v>
      </c>
      <c r="P136" s="108">
        <v>61</v>
      </c>
      <c r="Q136" s="108">
        <v>4</v>
      </c>
      <c r="R136" s="108">
        <v>231</v>
      </c>
      <c r="S136" s="108">
        <v>60</v>
      </c>
      <c r="T136" s="108">
        <v>677</v>
      </c>
      <c r="U136" s="109" t="s">
        <v>1648</v>
      </c>
      <c r="V136" s="108">
        <v>39</v>
      </c>
      <c r="W136" s="108">
        <v>230</v>
      </c>
      <c r="X136" s="108">
        <v>4</v>
      </c>
      <c r="Y136" s="108">
        <v>231</v>
      </c>
      <c r="Z136" s="108">
        <v>29</v>
      </c>
      <c r="AA136" s="108">
        <v>367</v>
      </c>
      <c r="AB136" s="108">
        <v>0</v>
      </c>
      <c r="AC136" s="108">
        <v>0</v>
      </c>
      <c r="AD136" s="108">
        <v>87</v>
      </c>
      <c r="AE136" s="108">
        <v>758</v>
      </c>
      <c r="AF136" s="108">
        <v>4</v>
      </c>
      <c r="AG136" s="108">
        <v>231</v>
      </c>
      <c r="AH136" s="108">
        <v>34</v>
      </c>
      <c r="AI136" s="108">
        <v>193</v>
      </c>
      <c r="AJ136" s="108">
        <v>12</v>
      </c>
      <c r="AK136" s="108">
        <v>693</v>
      </c>
      <c r="AL136" s="108">
        <v>210</v>
      </c>
      <c r="AM136" s="108">
        <v>1995</v>
      </c>
      <c r="AN136" s="108">
        <f t="shared" si="9"/>
        <v>222</v>
      </c>
      <c r="AO136" s="108">
        <f t="shared" si="10"/>
        <v>2688</v>
      </c>
      <c r="AP136" s="110">
        <f t="shared" si="8"/>
        <v>12.108108108108109</v>
      </c>
      <c r="AQ136" s="110">
        <f t="shared" si="11"/>
        <v>0.42700555996822875</v>
      </c>
      <c r="AR136" s="108">
        <v>17</v>
      </c>
      <c r="AS136" s="108">
        <v>2040</v>
      </c>
      <c r="AT136" s="108">
        <v>6295</v>
      </c>
    </row>
    <row r="137" spans="1:46" ht="13.5" thickBot="1" x14ac:dyDescent="0.25">
      <c r="A137" s="48" t="s">
        <v>658</v>
      </c>
      <c r="B137" s="47" t="s">
        <v>657</v>
      </c>
      <c r="C137" s="48" t="s">
        <v>17</v>
      </c>
      <c r="D137" s="48" t="s">
        <v>1648</v>
      </c>
      <c r="E137" s="48" t="s">
        <v>1648</v>
      </c>
      <c r="F137" s="108">
        <v>94</v>
      </c>
      <c r="G137" s="108">
        <v>1158</v>
      </c>
      <c r="H137" s="108">
        <v>12</v>
      </c>
      <c r="I137" s="108">
        <v>36</v>
      </c>
      <c r="J137" s="108">
        <v>8</v>
      </c>
      <c r="K137" s="108">
        <v>111</v>
      </c>
      <c r="L137" s="108">
        <v>12</v>
      </c>
      <c r="M137" s="108">
        <v>36</v>
      </c>
      <c r="N137" s="108">
        <v>111</v>
      </c>
      <c r="O137" s="108">
        <v>36</v>
      </c>
      <c r="P137" s="108">
        <v>147</v>
      </c>
      <c r="Q137" s="108">
        <v>15</v>
      </c>
      <c r="R137" s="108">
        <v>55</v>
      </c>
      <c r="S137" s="108">
        <v>102</v>
      </c>
      <c r="T137" s="108">
        <v>1269</v>
      </c>
      <c r="U137" s="109" t="s">
        <v>1648</v>
      </c>
      <c r="V137" s="108">
        <v>44</v>
      </c>
      <c r="W137" s="108">
        <v>526</v>
      </c>
      <c r="X137" s="108">
        <v>1</v>
      </c>
      <c r="Y137" s="108">
        <v>3</v>
      </c>
      <c r="Z137" s="108">
        <v>24</v>
      </c>
      <c r="AA137" s="108">
        <v>72</v>
      </c>
      <c r="AB137" s="108">
        <v>4</v>
      </c>
      <c r="AC137" s="108">
        <v>53</v>
      </c>
      <c r="AD137" s="108">
        <v>53</v>
      </c>
      <c r="AE137" s="108">
        <v>314</v>
      </c>
      <c r="AF137" s="108">
        <v>1</v>
      </c>
      <c r="AG137" s="108">
        <v>6</v>
      </c>
      <c r="AH137" s="108">
        <v>26</v>
      </c>
      <c r="AI137" s="108">
        <v>697</v>
      </c>
      <c r="AJ137" s="108">
        <v>21</v>
      </c>
      <c r="AK137" s="108">
        <v>117</v>
      </c>
      <c r="AL137" s="108">
        <v>205</v>
      </c>
      <c r="AM137" s="108">
        <v>2352</v>
      </c>
      <c r="AN137" s="108">
        <f t="shared" si="9"/>
        <v>226</v>
      </c>
      <c r="AO137" s="108">
        <f t="shared" si="10"/>
        <v>2469</v>
      </c>
      <c r="AP137" s="110">
        <f t="shared" si="8"/>
        <v>10.924778761061948</v>
      </c>
      <c r="AQ137" s="110">
        <f t="shared" si="11"/>
        <v>0.55683355886332886</v>
      </c>
      <c r="AR137" s="108">
        <v>21</v>
      </c>
      <c r="AS137" s="108">
        <v>3583</v>
      </c>
      <c r="AT137" s="108">
        <v>4434</v>
      </c>
    </row>
    <row r="138" spans="1:46" ht="13.5" thickBot="1" x14ac:dyDescent="0.25">
      <c r="A138" s="48" t="s">
        <v>180</v>
      </c>
      <c r="B138" s="47" t="s">
        <v>179</v>
      </c>
      <c r="C138" s="48" t="s">
        <v>17</v>
      </c>
      <c r="D138" s="48" t="s">
        <v>1648</v>
      </c>
      <c r="E138" s="48" t="s">
        <v>1648</v>
      </c>
      <c r="F138" s="108">
        <v>3</v>
      </c>
      <c r="G138" s="108">
        <v>147</v>
      </c>
      <c r="H138" s="108">
        <v>0</v>
      </c>
      <c r="I138" s="108">
        <v>0</v>
      </c>
      <c r="J138" s="108">
        <v>18</v>
      </c>
      <c r="K138" s="108">
        <v>492</v>
      </c>
      <c r="L138" s="108">
        <v>1</v>
      </c>
      <c r="M138" s="108">
        <v>11</v>
      </c>
      <c r="N138" s="108">
        <v>109</v>
      </c>
      <c r="O138" s="108">
        <v>13</v>
      </c>
      <c r="P138" s="108">
        <v>122</v>
      </c>
      <c r="Q138" s="108">
        <v>18</v>
      </c>
      <c r="R138" s="108">
        <v>81</v>
      </c>
      <c r="S138" s="108">
        <v>21</v>
      </c>
      <c r="T138" s="108">
        <v>639</v>
      </c>
      <c r="U138" s="109" t="s">
        <v>1648</v>
      </c>
      <c r="V138" s="108">
        <v>7</v>
      </c>
      <c r="W138" s="108">
        <v>162</v>
      </c>
      <c r="X138" s="108">
        <v>0</v>
      </c>
      <c r="Y138" s="108">
        <v>0</v>
      </c>
      <c r="Z138" s="108">
        <v>1</v>
      </c>
      <c r="AA138" s="108">
        <v>11</v>
      </c>
      <c r="AB138" s="108">
        <v>0</v>
      </c>
      <c r="AC138" s="108">
        <v>0</v>
      </c>
      <c r="AD138" s="108">
        <v>2</v>
      </c>
      <c r="AE138" s="108">
        <v>18</v>
      </c>
      <c r="AF138" s="108">
        <v>0</v>
      </c>
      <c r="AG138" s="108">
        <v>0</v>
      </c>
      <c r="AH138" s="108">
        <v>0</v>
      </c>
      <c r="AI138" s="108">
        <v>0</v>
      </c>
      <c r="AJ138" s="108">
        <v>18</v>
      </c>
      <c r="AK138" s="108">
        <v>81</v>
      </c>
      <c r="AL138" s="108">
        <v>24</v>
      </c>
      <c r="AM138" s="108">
        <v>668</v>
      </c>
      <c r="AN138" s="108">
        <f t="shared" si="9"/>
        <v>42</v>
      </c>
      <c r="AO138" s="108">
        <f t="shared" si="10"/>
        <v>749</v>
      </c>
      <c r="AP138" s="110">
        <f t="shared" si="8"/>
        <v>17.833333333333332</v>
      </c>
      <c r="AQ138" s="110">
        <f t="shared" si="11"/>
        <v>0.16205106014712245</v>
      </c>
      <c r="AR138" s="108">
        <v>24</v>
      </c>
      <c r="AS138" s="108">
        <v>24</v>
      </c>
      <c r="AT138" s="108">
        <v>4622</v>
      </c>
    </row>
    <row r="139" spans="1:46" ht="13.5" thickBot="1" x14ac:dyDescent="0.25">
      <c r="A139" s="48" t="s">
        <v>382</v>
      </c>
      <c r="B139" s="47" t="s">
        <v>381</v>
      </c>
      <c r="C139" s="48" t="s">
        <v>17</v>
      </c>
      <c r="D139" s="48" t="s">
        <v>1648</v>
      </c>
      <c r="E139" s="48" t="s">
        <v>1648</v>
      </c>
      <c r="F139" s="108">
        <v>114</v>
      </c>
      <c r="G139" s="108">
        <v>2667</v>
      </c>
      <c r="H139" s="108">
        <v>9</v>
      </c>
      <c r="I139" s="108">
        <v>61</v>
      </c>
      <c r="J139" s="108">
        <v>6</v>
      </c>
      <c r="K139" s="108">
        <v>681</v>
      </c>
      <c r="L139" s="108">
        <v>6</v>
      </c>
      <c r="M139" s="108">
        <v>100</v>
      </c>
      <c r="N139" s="108">
        <v>375</v>
      </c>
      <c r="O139" s="108">
        <v>8</v>
      </c>
      <c r="P139" s="108">
        <v>383</v>
      </c>
      <c r="Q139" s="108">
        <v>0</v>
      </c>
      <c r="R139" s="108">
        <v>0</v>
      </c>
      <c r="S139" s="108">
        <v>120</v>
      </c>
      <c r="T139" s="108">
        <v>3348</v>
      </c>
      <c r="U139" s="109" t="s">
        <v>1648</v>
      </c>
      <c r="V139" s="108">
        <v>120</v>
      </c>
      <c r="W139" s="108">
        <v>3348</v>
      </c>
      <c r="X139" s="108">
        <v>0</v>
      </c>
      <c r="Y139" s="108">
        <v>0</v>
      </c>
      <c r="Z139" s="108">
        <v>15</v>
      </c>
      <c r="AA139" s="108">
        <v>161</v>
      </c>
      <c r="AB139" s="108">
        <v>0</v>
      </c>
      <c r="AC139" s="108">
        <v>0</v>
      </c>
      <c r="AD139" s="108">
        <v>240</v>
      </c>
      <c r="AE139" s="108">
        <v>1848</v>
      </c>
      <c r="AF139" s="108">
        <v>0</v>
      </c>
      <c r="AG139" s="108">
        <v>0</v>
      </c>
      <c r="AH139" s="108">
        <v>25</v>
      </c>
      <c r="AI139" s="108">
        <v>2943</v>
      </c>
      <c r="AJ139" s="108">
        <v>0</v>
      </c>
      <c r="AK139" s="108">
        <v>0</v>
      </c>
      <c r="AL139" s="108">
        <v>400</v>
      </c>
      <c r="AM139" s="108">
        <v>8300</v>
      </c>
      <c r="AN139" s="108">
        <f t="shared" si="9"/>
        <v>400</v>
      </c>
      <c r="AO139" s="108">
        <f t="shared" si="10"/>
        <v>8300</v>
      </c>
      <c r="AP139" s="110">
        <f t="shared" si="8"/>
        <v>20.75</v>
      </c>
      <c r="AQ139" s="110">
        <f t="shared" si="11"/>
        <v>1.4349930843706777</v>
      </c>
      <c r="AR139" s="108">
        <v>28</v>
      </c>
      <c r="AS139" s="108">
        <v>6656</v>
      </c>
      <c r="AT139" s="108">
        <v>5784</v>
      </c>
    </row>
    <row r="140" spans="1:46" ht="13.5" thickBot="1" x14ac:dyDescent="0.25">
      <c r="A140" s="48" t="s">
        <v>252</v>
      </c>
      <c r="B140" s="47" t="s">
        <v>251</v>
      </c>
      <c r="C140" s="48" t="s">
        <v>17</v>
      </c>
      <c r="D140" s="48" t="s">
        <v>1648</v>
      </c>
      <c r="E140" s="48" t="s">
        <v>1648</v>
      </c>
      <c r="F140" s="108">
        <v>48</v>
      </c>
      <c r="G140" s="108">
        <v>1290</v>
      </c>
      <c r="H140" s="108">
        <v>2</v>
      </c>
      <c r="I140" s="108">
        <v>23</v>
      </c>
      <c r="J140" s="108">
        <v>4</v>
      </c>
      <c r="K140" s="108">
        <v>664</v>
      </c>
      <c r="L140" s="108">
        <v>0</v>
      </c>
      <c r="M140" s="108">
        <v>0</v>
      </c>
      <c r="N140" s="109">
        <v>0</v>
      </c>
      <c r="O140" s="109">
        <v>0</v>
      </c>
      <c r="P140" s="109">
        <v>0</v>
      </c>
      <c r="Q140" s="108">
        <v>0</v>
      </c>
      <c r="R140" s="108">
        <v>0</v>
      </c>
      <c r="S140" s="108">
        <v>52</v>
      </c>
      <c r="T140" s="108">
        <v>1954</v>
      </c>
      <c r="U140" s="109" t="s">
        <v>1648</v>
      </c>
      <c r="V140" s="108">
        <v>35</v>
      </c>
      <c r="W140" s="108">
        <v>836</v>
      </c>
      <c r="X140" s="108">
        <v>0</v>
      </c>
      <c r="Y140" s="108">
        <v>0</v>
      </c>
      <c r="Z140" s="108">
        <v>2</v>
      </c>
      <c r="AA140" s="108">
        <v>23</v>
      </c>
      <c r="AB140" s="108">
        <v>1</v>
      </c>
      <c r="AC140" s="108">
        <v>15</v>
      </c>
      <c r="AD140" s="108">
        <v>49</v>
      </c>
      <c r="AE140" s="108">
        <v>727</v>
      </c>
      <c r="AF140" s="108">
        <v>0</v>
      </c>
      <c r="AG140" s="108">
        <v>0</v>
      </c>
      <c r="AH140" s="108">
        <v>22</v>
      </c>
      <c r="AI140" s="108">
        <v>866</v>
      </c>
      <c r="AJ140" s="108">
        <v>1</v>
      </c>
      <c r="AK140" s="108">
        <v>15</v>
      </c>
      <c r="AL140" s="108">
        <v>125</v>
      </c>
      <c r="AM140" s="108">
        <v>3570</v>
      </c>
      <c r="AN140" s="108">
        <f t="shared" si="9"/>
        <v>126</v>
      </c>
      <c r="AO140" s="108">
        <f t="shared" si="10"/>
        <v>3585</v>
      </c>
      <c r="AP140" s="110">
        <f t="shared" si="8"/>
        <v>28.452380952380953</v>
      </c>
      <c r="AQ140" s="110">
        <f t="shared" si="11"/>
        <v>0.65997790868924888</v>
      </c>
      <c r="AR140" s="108">
        <v>30</v>
      </c>
      <c r="AS140" s="108">
        <v>4072</v>
      </c>
      <c r="AT140" s="108">
        <v>5432</v>
      </c>
    </row>
    <row r="141" spans="1:46" ht="13.5" thickBot="1" x14ac:dyDescent="0.25">
      <c r="A141" s="48" t="s">
        <v>526</v>
      </c>
      <c r="B141" s="47" t="s">
        <v>525</v>
      </c>
      <c r="C141" s="48" t="s">
        <v>17</v>
      </c>
      <c r="D141" s="48" t="s">
        <v>1648</v>
      </c>
      <c r="E141" s="48" t="s">
        <v>1648</v>
      </c>
      <c r="F141" s="108">
        <v>219</v>
      </c>
      <c r="G141" s="108">
        <v>2050</v>
      </c>
      <c r="H141" s="108">
        <v>35</v>
      </c>
      <c r="I141" s="108">
        <v>280</v>
      </c>
      <c r="J141" s="108">
        <v>8</v>
      </c>
      <c r="K141" s="108">
        <v>232</v>
      </c>
      <c r="L141" s="108">
        <v>2</v>
      </c>
      <c r="M141" s="108">
        <v>22</v>
      </c>
      <c r="N141" s="108">
        <v>210</v>
      </c>
      <c r="O141" s="108">
        <v>22</v>
      </c>
      <c r="P141" s="108">
        <v>232</v>
      </c>
      <c r="Q141" s="108">
        <v>2</v>
      </c>
      <c r="R141" s="108">
        <v>85</v>
      </c>
      <c r="S141" s="108">
        <v>227</v>
      </c>
      <c r="T141" s="108">
        <v>2282</v>
      </c>
      <c r="U141" s="109" t="s">
        <v>1648</v>
      </c>
      <c r="V141" s="108">
        <v>8</v>
      </c>
      <c r="W141" s="108">
        <v>867</v>
      </c>
      <c r="X141" s="108">
        <v>4</v>
      </c>
      <c r="Y141" s="108">
        <v>40</v>
      </c>
      <c r="Z141" s="108">
        <v>37</v>
      </c>
      <c r="AA141" s="108">
        <v>302</v>
      </c>
      <c r="AB141" s="108">
        <v>154</v>
      </c>
      <c r="AC141" s="108">
        <v>1696</v>
      </c>
      <c r="AD141" s="108">
        <v>30</v>
      </c>
      <c r="AE141" s="108">
        <v>1060</v>
      </c>
      <c r="AF141" s="108">
        <v>1</v>
      </c>
      <c r="AG141" s="108">
        <v>25</v>
      </c>
      <c r="AH141" s="108">
        <v>2</v>
      </c>
      <c r="AI141" s="108">
        <v>180</v>
      </c>
      <c r="AJ141" s="108">
        <v>161</v>
      </c>
      <c r="AK141" s="108">
        <v>1846</v>
      </c>
      <c r="AL141" s="108">
        <v>296</v>
      </c>
      <c r="AM141" s="108">
        <v>3824</v>
      </c>
      <c r="AN141" s="108">
        <f t="shared" si="9"/>
        <v>457</v>
      </c>
      <c r="AO141" s="108">
        <f t="shared" si="10"/>
        <v>5670</v>
      </c>
      <c r="AP141" s="110">
        <f t="shared" si="8"/>
        <v>12.407002188183807</v>
      </c>
      <c r="AQ141" s="110">
        <f t="shared" si="11"/>
        <v>1.069407770652584</v>
      </c>
      <c r="AR141" s="108">
        <v>31</v>
      </c>
      <c r="AS141" s="108">
        <v>1696</v>
      </c>
      <c r="AT141" s="108">
        <v>5302</v>
      </c>
    </row>
    <row r="142" spans="1:46" ht="13.5" thickBot="1" x14ac:dyDescent="0.25">
      <c r="A142" s="48" t="s">
        <v>392</v>
      </c>
      <c r="B142" s="47" t="s">
        <v>391</v>
      </c>
      <c r="C142" s="48" t="s">
        <v>17</v>
      </c>
      <c r="D142" s="48" t="s">
        <v>1649</v>
      </c>
      <c r="E142" s="48" t="s">
        <v>1648</v>
      </c>
      <c r="F142" s="108">
        <v>43</v>
      </c>
      <c r="G142" s="108">
        <v>475</v>
      </c>
      <c r="H142" s="108">
        <v>16</v>
      </c>
      <c r="I142" s="108">
        <v>587</v>
      </c>
      <c r="J142" s="108">
        <v>0</v>
      </c>
      <c r="K142" s="108">
        <v>0</v>
      </c>
      <c r="L142" s="108">
        <v>0</v>
      </c>
      <c r="M142" s="108">
        <v>0</v>
      </c>
      <c r="N142" s="108">
        <v>40</v>
      </c>
      <c r="O142" s="108">
        <v>20</v>
      </c>
      <c r="P142" s="108">
        <v>60</v>
      </c>
      <c r="Q142" s="108">
        <v>0</v>
      </c>
      <c r="R142" s="108">
        <v>0</v>
      </c>
      <c r="S142" s="108">
        <v>43</v>
      </c>
      <c r="T142" s="108">
        <v>475</v>
      </c>
      <c r="U142" s="109" t="s">
        <v>1648</v>
      </c>
      <c r="V142" s="108">
        <v>24</v>
      </c>
      <c r="W142" s="108">
        <v>279</v>
      </c>
      <c r="X142" s="108">
        <v>0</v>
      </c>
      <c r="Y142" s="108">
        <v>0</v>
      </c>
      <c r="Z142" s="108">
        <v>16</v>
      </c>
      <c r="AA142" s="108">
        <v>587</v>
      </c>
      <c r="AB142" s="108">
        <v>0</v>
      </c>
      <c r="AC142" s="108">
        <v>0</v>
      </c>
      <c r="AD142" s="108">
        <v>30</v>
      </c>
      <c r="AE142" s="108">
        <v>165</v>
      </c>
      <c r="AF142" s="108">
        <v>0</v>
      </c>
      <c r="AG142" s="108">
        <v>0</v>
      </c>
      <c r="AH142" s="108">
        <v>3</v>
      </c>
      <c r="AI142" s="108">
        <v>192</v>
      </c>
      <c r="AJ142" s="108">
        <v>0</v>
      </c>
      <c r="AK142" s="108">
        <v>0</v>
      </c>
      <c r="AL142" s="108">
        <v>92</v>
      </c>
      <c r="AM142" s="108">
        <v>1419</v>
      </c>
      <c r="AN142" s="108">
        <f t="shared" si="9"/>
        <v>92</v>
      </c>
      <c r="AO142" s="108">
        <f t="shared" si="10"/>
        <v>1419</v>
      </c>
      <c r="AP142" s="110">
        <f t="shared" si="8"/>
        <v>15.423913043478262</v>
      </c>
      <c r="AQ142" s="110">
        <f t="shared" si="11"/>
        <v>0.22023901909048579</v>
      </c>
      <c r="AR142" s="108">
        <v>35</v>
      </c>
      <c r="AS142" s="108">
        <v>1918</v>
      </c>
      <c r="AT142" s="108">
        <v>6443</v>
      </c>
    </row>
    <row r="143" spans="1:46" ht="13.5" thickBot="1" x14ac:dyDescent="0.25">
      <c r="A143" s="48" t="s">
        <v>462</v>
      </c>
      <c r="B143" s="47" t="s">
        <v>461</v>
      </c>
      <c r="C143" s="48" t="s">
        <v>17</v>
      </c>
      <c r="D143" s="48" t="s">
        <v>1648</v>
      </c>
      <c r="E143" s="48" t="s">
        <v>1648</v>
      </c>
      <c r="F143" s="108">
        <v>82</v>
      </c>
      <c r="G143" s="108">
        <v>984</v>
      </c>
      <c r="H143" s="108">
        <v>0</v>
      </c>
      <c r="I143" s="108">
        <v>0</v>
      </c>
      <c r="J143" s="108">
        <v>8</v>
      </c>
      <c r="K143" s="108">
        <v>64</v>
      </c>
      <c r="L143" s="108">
        <v>0</v>
      </c>
      <c r="M143" s="108">
        <v>0</v>
      </c>
      <c r="N143" s="108">
        <v>0</v>
      </c>
      <c r="O143" s="108">
        <v>0</v>
      </c>
      <c r="P143" s="108">
        <v>0</v>
      </c>
      <c r="Q143" s="108">
        <v>50</v>
      </c>
      <c r="R143" s="108">
        <v>550</v>
      </c>
      <c r="S143" s="108">
        <v>90</v>
      </c>
      <c r="T143" s="108">
        <v>1048</v>
      </c>
      <c r="U143" s="109" t="s">
        <v>1648</v>
      </c>
      <c r="V143" s="108">
        <v>90</v>
      </c>
      <c r="W143" s="108">
        <v>1048</v>
      </c>
      <c r="X143" s="108">
        <v>0</v>
      </c>
      <c r="Y143" s="108">
        <v>0</v>
      </c>
      <c r="Z143" s="108">
        <v>0</v>
      </c>
      <c r="AA143" s="108">
        <v>0</v>
      </c>
      <c r="AB143" s="108">
        <v>0</v>
      </c>
      <c r="AC143" s="108">
        <v>0</v>
      </c>
      <c r="AD143" s="108">
        <v>141</v>
      </c>
      <c r="AE143" s="108">
        <v>950</v>
      </c>
      <c r="AF143" s="108">
        <v>0</v>
      </c>
      <c r="AG143" s="108">
        <v>0</v>
      </c>
      <c r="AH143" s="108">
        <v>4</v>
      </c>
      <c r="AI143" s="108">
        <v>104</v>
      </c>
      <c r="AJ143" s="108">
        <v>50</v>
      </c>
      <c r="AK143" s="108">
        <v>550</v>
      </c>
      <c r="AL143" s="108">
        <v>235</v>
      </c>
      <c r="AM143" s="108">
        <v>2102</v>
      </c>
      <c r="AN143" s="108">
        <f t="shared" si="9"/>
        <v>285</v>
      </c>
      <c r="AO143" s="108">
        <f t="shared" si="10"/>
        <v>2652</v>
      </c>
      <c r="AP143" s="110">
        <f t="shared" si="8"/>
        <v>9.3052631578947373</v>
      </c>
      <c r="AQ143" s="110">
        <f t="shared" si="11"/>
        <v>0.52328334648776642</v>
      </c>
      <c r="AR143" s="108">
        <v>50</v>
      </c>
      <c r="AS143" s="108">
        <v>7961</v>
      </c>
      <c r="AT143" s="108">
        <v>5068</v>
      </c>
    </row>
    <row r="144" spans="1:46" ht="13.5" thickBot="1" x14ac:dyDescent="0.25">
      <c r="A144" s="48" t="s">
        <v>608</v>
      </c>
      <c r="B144" s="47" t="s">
        <v>607</v>
      </c>
      <c r="C144" s="48" t="s">
        <v>17</v>
      </c>
      <c r="D144" s="48" t="s">
        <v>1648</v>
      </c>
      <c r="E144" s="48" t="s">
        <v>1648</v>
      </c>
      <c r="F144" s="108">
        <v>58</v>
      </c>
      <c r="G144" s="108">
        <v>601</v>
      </c>
      <c r="H144" s="108">
        <v>4</v>
      </c>
      <c r="I144" s="108">
        <v>4</v>
      </c>
      <c r="J144" s="108">
        <v>24</v>
      </c>
      <c r="K144" s="108">
        <v>233</v>
      </c>
      <c r="L144" s="108">
        <v>0</v>
      </c>
      <c r="M144" s="108">
        <v>0</v>
      </c>
      <c r="N144" s="108">
        <v>86</v>
      </c>
      <c r="O144" s="108">
        <v>19</v>
      </c>
      <c r="P144" s="108">
        <v>105</v>
      </c>
      <c r="Q144" s="108">
        <v>8</v>
      </c>
      <c r="R144" s="108">
        <v>102</v>
      </c>
      <c r="S144" s="108">
        <v>82</v>
      </c>
      <c r="T144" s="108">
        <v>834</v>
      </c>
      <c r="U144" s="109" t="s">
        <v>1648</v>
      </c>
      <c r="V144" s="108">
        <v>48</v>
      </c>
      <c r="W144" s="108">
        <v>346</v>
      </c>
      <c r="X144" s="108">
        <v>0</v>
      </c>
      <c r="Y144" s="108">
        <v>0</v>
      </c>
      <c r="Z144" s="108">
        <v>4</v>
      </c>
      <c r="AA144" s="108">
        <v>4</v>
      </c>
      <c r="AB144" s="108">
        <v>0</v>
      </c>
      <c r="AC144" s="108">
        <v>0</v>
      </c>
      <c r="AD144" s="108">
        <v>20</v>
      </c>
      <c r="AE144" s="108">
        <v>171</v>
      </c>
      <c r="AF144" s="108">
        <v>0</v>
      </c>
      <c r="AG144" s="108">
        <v>0</v>
      </c>
      <c r="AH144" s="108">
        <v>11</v>
      </c>
      <c r="AI144" s="108">
        <v>216</v>
      </c>
      <c r="AJ144" s="108">
        <v>8</v>
      </c>
      <c r="AK144" s="108">
        <v>102</v>
      </c>
      <c r="AL144" s="108">
        <v>117</v>
      </c>
      <c r="AM144" s="108">
        <v>1225</v>
      </c>
      <c r="AN144" s="108">
        <f t="shared" si="9"/>
        <v>125</v>
      </c>
      <c r="AO144" s="108">
        <f t="shared" si="10"/>
        <v>1327</v>
      </c>
      <c r="AP144" s="110">
        <f t="shared" si="8"/>
        <v>10.616</v>
      </c>
      <c r="AQ144" s="110">
        <f t="shared" si="11"/>
        <v>0.2126602564102564</v>
      </c>
      <c r="AR144" s="108">
        <v>56</v>
      </c>
      <c r="AS144" s="108">
        <v>597</v>
      </c>
      <c r="AT144" s="108">
        <v>6240</v>
      </c>
    </row>
    <row r="145" spans="1:46" ht="13.5" thickBot="1" x14ac:dyDescent="0.25">
      <c r="A145" s="48" t="s">
        <v>427</v>
      </c>
      <c r="B145" s="47" t="s">
        <v>426</v>
      </c>
      <c r="C145" s="48" t="s">
        <v>17</v>
      </c>
      <c r="D145" s="48" t="s">
        <v>1648</v>
      </c>
      <c r="E145" s="48" t="s">
        <v>1648</v>
      </c>
      <c r="F145" s="108">
        <v>100</v>
      </c>
      <c r="G145" s="108">
        <v>1561</v>
      </c>
      <c r="H145" s="108">
        <v>23</v>
      </c>
      <c r="I145" s="108">
        <v>68</v>
      </c>
      <c r="J145" s="108">
        <v>40</v>
      </c>
      <c r="K145" s="108">
        <v>670</v>
      </c>
      <c r="L145" s="108">
        <v>6</v>
      </c>
      <c r="M145" s="108">
        <v>40</v>
      </c>
      <c r="N145" s="108">
        <v>280</v>
      </c>
      <c r="O145" s="108">
        <v>34</v>
      </c>
      <c r="P145" s="108">
        <v>314</v>
      </c>
      <c r="Q145" s="108">
        <v>1</v>
      </c>
      <c r="R145" s="108">
        <v>5</v>
      </c>
      <c r="S145" s="108">
        <v>140</v>
      </c>
      <c r="T145" s="108">
        <v>2231</v>
      </c>
      <c r="U145" s="109" t="s">
        <v>1648</v>
      </c>
      <c r="V145" s="108">
        <v>106</v>
      </c>
      <c r="W145" s="108">
        <v>1783</v>
      </c>
      <c r="X145" s="108">
        <v>12</v>
      </c>
      <c r="Y145" s="108">
        <v>61</v>
      </c>
      <c r="Z145" s="108">
        <v>29</v>
      </c>
      <c r="AA145" s="108">
        <v>108</v>
      </c>
      <c r="AB145" s="108">
        <v>3</v>
      </c>
      <c r="AC145" s="108">
        <v>13</v>
      </c>
      <c r="AD145" s="108">
        <v>63</v>
      </c>
      <c r="AE145" s="108">
        <v>811</v>
      </c>
      <c r="AF145" s="108">
        <v>0</v>
      </c>
      <c r="AG145" s="108">
        <v>0</v>
      </c>
      <c r="AH145" s="108">
        <v>16</v>
      </c>
      <c r="AI145" s="108">
        <v>551</v>
      </c>
      <c r="AJ145" s="108">
        <v>16</v>
      </c>
      <c r="AK145" s="108">
        <v>79</v>
      </c>
      <c r="AL145" s="108">
        <v>248</v>
      </c>
      <c r="AM145" s="108">
        <v>3701</v>
      </c>
      <c r="AN145" s="108">
        <f t="shared" si="9"/>
        <v>264</v>
      </c>
      <c r="AO145" s="108">
        <f t="shared" si="10"/>
        <v>3780</v>
      </c>
      <c r="AP145" s="110">
        <f t="shared" si="8"/>
        <v>14.318181818181818</v>
      </c>
      <c r="AQ145" s="110">
        <f t="shared" si="11"/>
        <v>0.76611268747466554</v>
      </c>
      <c r="AR145" s="108">
        <v>89</v>
      </c>
      <c r="AS145" s="108">
        <v>2778</v>
      </c>
      <c r="AT145" s="108">
        <v>4934</v>
      </c>
    </row>
    <row r="146" spans="1:46" ht="13.5" thickBot="1" x14ac:dyDescent="0.25">
      <c r="A146" s="48" t="s">
        <v>802</v>
      </c>
      <c r="B146" s="47" t="s">
        <v>801</v>
      </c>
      <c r="C146" s="48" t="s">
        <v>17</v>
      </c>
      <c r="D146" s="48" t="s">
        <v>1648</v>
      </c>
      <c r="E146" s="48" t="s">
        <v>1648</v>
      </c>
      <c r="F146" s="108">
        <v>29</v>
      </c>
      <c r="G146" s="108">
        <v>1268</v>
      </c>
      <c r="H146" s="108">
        <v>0</v>
      </c>
      <c r="I146" s="108">
        <v>0</v>
      </c>
      <c r="J146" s="108">
        <v>6</v>
      </c>
      <c r="K146" s="108">
        <v>208</v>
      </c>
      <c r="L146" s="108">
        <v>0</v>
      </c>
      <c r="M146" s="108">
        <v>0</v>
      </c>
      <c r="N146" s="108">
        <v>75</v>
      </c>
      <c r="O146" s="108">
        <v>0</v>
      </c>
      <c r="P146" s="108">
        <v>75</v>
      </c>
      <c r="Q146" s="108">
        <v>0</v>
      </c>
      <c r="R146" s="108">
        <v>0</v>
      </c>
      <c r="S146" s="108">
        <v>35</v>
      </c>
      <c r="T146" s="108">
        <v>1476</v>
      </c>
      <c r="U146" s="109" t="s">
        <v>1648</v>
      </c>
      <c r="V146" s="108">
        <v>12</v>
      </c>
      <c r="W146" s="108">
        <v>227</v>
      </c>
      <c r="X146" s="108">
        <v>0</v>
      </c>
      <c r="Y146" s="108">
        <v>0</v>
      </c>
      <c r="Z146" s="108">
        <v>0</v>
      </c>
      <c r="AA146" s="108">
        <v>0</v>
      </c>
      <c r="AB146" s="108">
        <v>1</v>
      </c>
      <c r="AC146" s="108">
        <v>244</v>
      </c>
      <c r="AD146" s="108">
        <v>24</v>
      </c>
      <c r="AE146" s="108">
        <v>662</v>
      </c>
      <c r="AF146" s="108">
        <v>0</v>
      </c>
      <c r="AG146" s="108">
        <v>0</v>
      </c>
      <c r="AH146" s="108">
        <v>31</v>
      </c>
      <c r="AI146" s="108">
        <v>541</v>
      </c>
      <c r="AJ146" s="108">
        <v>1</v>
      </c>
      <c r="AK146" s="108">
        <v>244</v>
      </c>
      <c r="AL146" s="108">
        <v>90</v>
      </c>
      <c r="AM146" s="108">
        <v>2679</v>
      </c>
      <c r="AN146" s="108">
        <f t="shared" si="9"/>
        <v>91</v>
      </c>
      <c r="AO146" s="108">
        <f t="shared" si="10"/>
        <v>2923</v>
      </c>
      <c r="AP146" s="110">
        <f t="shared" si="8"/>
        <v>32.120879120879124</v>
      </c>
      <c r="AQ146" s="110">
        <f t="shared" si="11"/>
        <v>0.55782442748091599</v>
      </c>
      <c r="AR146" s="108">
        <v>126</v>
      </c>
      <c r="AS146" s="108">
        <v>5095</v>
      </c>
      <c r="AT146" s="108">
        <v>5240</v>
      </c>
    </row>
    <row r="147" spans="1:46" ht="13.5" thickBot="1" x14ac:dyDescent="0.25">
      <c r="A147" s="48" t="s">
        <v>528</v>
      </c>
      <c r="B147" s="47" t="s">
        <v>527</v>
      </c>
      <c r="C147" s="48" t="s">
        <v>17</v>
      </c>
      <c r="D147" s="48" t="s">
        <v>1648</v>
      </c>
      <c r="E147" s="48" t="s">
        <v>1648</v>
      </c>
      <c r="F147" s="108">
        <v>133</v>
      </c>
      <c r="G147" s="108">
        <v>2299</v>
      </c>
      <c r="H147" s="108">
        <v>30</v>
      </c>
      <c r="I147" s="108">
        <v>316</v>
      </c>
      <c r="J147" s="108">
        <v>7</v>
      </c>
      <c r="K147" s="108">
        <v>698</v>
      </c>
      <c r="L147" s="108">
        <v>3</v>
      </c>
      <c r="M147" s="108">
        <v>24</v>
      </c>
      <c r="N147" s="108">
        <v>489</v>
      </c>
      <c r="O147" s="108">
        <v>163</v>
      </c>
      <c r="P147" s="108">
        <v>652</v>
      </c>
      <c r="Q147" s="108">
        <v>4</v>
      </c>
      <c r="R147" s="108">
        <v>25</v>
      </c>
      <c r="S147" s="108">
        <v>140</v>
      </c>
      <c r="T147" s="108">
        <v>2997</v>
      </c>
      <c r="U147" s="109" t="s">
        <v>1648</v>
      </c>
      <c r="V147" s="108">
        <v>119</v>
      </c>
      <c r="W147" s="108">
        <v>1072</v>
      </c>
      <c r="X147" s="108">
        <v>4</v>
      </c>
      <c r="Y147" s="108">
        <v>6</v>
      </c>
      <c r="Z147" s="108">
        <v>33</v>
      </c>
      <c r="AA147" s="108">
        <v>340</v>
      </c>
      <c r="AB147" s="108">
        <v>2</v>
      </c>
      <c r="AC147" s="108">
        <v>42</v>
      </c>
      <c r="AD147" s="108">
        <v>20</v>
      </c>
      <c r="AE147" s="108">
        <v>425</v>
      </c>
      <c r="AF147" s="108">
        <v>2</v>
      </c>
      <c r="AG147" s="108">
        <v>42</v>
      </c>
      <c r="AH147" s="108">
        <v>26</v>
      </c>
      <c r="AI147" s="108">
        <v>464</v>
      </c>
      <c r="AJ147" s="108">
        <v>12</v>
      </c>
      <c r="AK147" s="108">
        <v>115</v>
      </c>
      <c r="AL147" s="108">
        <v>219</v>
      </c>
      <c r="AM147" s="108">
        <v>4226</v>
      </c>
      <c r="AN147" s="108">
        <f t="shared" si="9"/>
        <v>231</v>
      </c>
      <c r="AO147" s="108">
        <f t="shared" si="10"/>
        <v>4341</v>
      </c>
      <c r="AP147" s="110">
        <f t="shared" si="8"/>
        <v>18.792207792207794</v>
      </c>
      <c r="AQ147" s="110">
        <f t="shared" si="11"/>
        <v>0.63520632133450394</v>
      </c>
      <c r="AR147" s="108">
        <v>149</v>
      </c>
      <c r="AS147" s="108">
        <v>7054</v>
      </c>
      <c r="AT147" s="108">
        <v>6834</v>
      </c>
    </row>
    <row r="148" spans="1:46" ht="13.5" thickBot="1" x14ac:dyDescent="0.25">
      <c r="A148" s="48" t="s">
        <v>618</v>
      </c>
      <c r="B148" s="47" t="s">
        <v>617</v>
      </c>
      <c r="C148" s="48" t="s">
        <v>25</v>
      </c>
      <c r="D148" s="48" t="s">
        <v>1649</v>
      </c>
      <c r="E148" s="48" t="s">
        <v>1648</v>
      </c>
      <c r="F148" s="108">
        <v>27</v>
      </c>
      <c r="G148" s="108">
        <v>195</v>
      </c>
      <c r="H148" s="108">
        <v>0</v>
      </c>
      <c r="I148" s="108">
        <v>0</v>
      </c>
      <c r="J148" s="108">
        <v>10</v>
      </c>
      <c r="K148" s="108">
        <v>331</v>
      </c>
      <c r="L148" s="108">
        <v>0</v>
      </c>
      <c r="M148" s="108">
        <v>0</v>
      </c>
      <c r="N148" s="108">
        <v>147</v>
      </c>
      <c r="O148" s="108">
        <v>40</v>
      </c>
      <c r="P148" s="108">
        <v>187</v>
      </c>
      <c r="Q148" s="108">
        <v>0</v>
      </c>
      <c r="R148" s="108">
        <v>0</v>
      </c>
      <c r="S148" s="108">
        <v>37</v>
      </c>
      <c r="T148" s="108">
        <v>526</v>
      </c>
      <c r="U148" s="109" t="s">
        <v>1648</v>
      </c>
      <c r="V148" s="108">
        <v>1</v>
      </c>
      <c r="W148" s="108">
        <v>42</v>
      </c>
      <c r="X148" s="108">
        <v>0</v>
      </c>
      <c r="Y148" s="108">
        <v>0</v>
      </c>
      <c r="Z148" s="108">
        <v>0</v>
      </c>
      <c r="AA148" s="108">
        <v>0</v>
      </c>
      <c r="AB148" s="108">
        <v>0</v>
      </c>
      <c r="AC148" s="108">
        <v>0</v>
      </c>
      <c r="AD148" s="108">
        <v>31</v>
      </c>
      <c r="AE148" s="108">
        <v>177</v>
      </c>
      <c r="AF148" s="108">
        <v>0</v>
      </c>
      <c r="AG148" s="108">
        <v>0</v>
      </c>
      <c r="AH148" s="108">
        <v>10</v>
      </c>
      <c r="AI148" s="108">
        <v>282</v>
      </c>
      <c r="AJ148" s="108">
        <v>0</v>
      </c>
      <c r="AK148" s="108">
        <v>0</v>
      </c>
      <c r="AL148" s="108">
        <v>78</v>
      </c>
      <c r="AM148" s="108">
        <v>985</v>
      </c>
      <c r="AN148" s="108">
        <f t="shared" si="9"/>
        <v>78</v>
      </c>
      <c r="AO148" s="108">
        <f t="shared" si="10"/>
        <v>985</v>
      </c>
      <c r="AP148" s="110">
        <f t="shared" si="8"/>
        <v>12.628205128205128</v>
      </c>
      <c r="AQ148" s="110">
        <f t="shared" si="11"/>
        <v>0.1152990752662999</v>
      </c>
      <c r="AR148" s="108">
        <v>0</v>
      </c>
      <c r="AS148" s="108">
        <v>0</v>
      </c>
      <c r="AT148" s="108">
        <v>8543</v>
      </c>
    </row>
    <row r="149" spans="1:46" ht="13.5" thickBot="1" x14ac:dyDescent="0.25">
      <c r="A149" s="48" t="s">
        <v>24</v>
      </c>
      <c r="B149" s="47" t="s">
        <v>23</v>
      </c>
      <c r="C149" s="48" t="s">
        <v>25</v>
      </c>
      <c r="D149" s="48" t="s">
        <v>1649</v>
      </c>
      <c r="E149" s="48" t="s">
        <v>1649</v>
      </c>
      <c r="F149" s="108">
        <v>29</v>
      </c>
      <c r="G149" s="108">
        <v>125</v>
      </c>
      <c r="H149" s="108">
        <v>0</v>
      </c>
      <c r="I149" s="108">
        <v>0</v>
      </c>
      <c r="J149" s="108">
        <v>3</v>
      </c>
      <c r="K149" s="108">
        <v>97</v>
      </c>
      <c r="L149" s="108">
        <v>1</v>
      </c>
      <c r="M149" s="108">
        <v>5</v>
      </c>
      <c r="N149" s="108">
        <v>37</v>
      </c>
      <c r="O149" s="108">
        <v>11</v>
      </c>
      <c r="P149" s="108">
        <v>48</v>
      </c>
      <c r="Q149" s="108">
        <v>0</v>
      </c>
      <c r="R149" s="108">
        <v>0</v>
      </c>
      <c r="S149" s="108">
        <v>32</v>
      </c>
      <c r="T149" s="108">
        <v>222</v>
      </c>
      <c r="U149" s="109" t="s">
        <v>1648</v>
      </c>
      <c r="V149" s="108">
        <v>26</v>
      </c>
      <c r="W149" s="108">
        <v>62</v>
      </c>
      <c r="X149" s="108">
        <v>0</v>
      </c>
      <c r="Y149" s="108">
        <v>0</v>
      </c>
      <c r="Z149" s="108">
        <v>1</v>
      </c>
      <c r="AA149" s="108">
        <v>5</v>
      </c>
      <c r="AB149" s="108">
        <v>0</v>
      </c>
      <c r="AC149" s="108">
        <v>0</v>
      </c>
      <c r="AD149" s="108">
        <v>0</v>
      </c>
      <c r="AE149" s="108">
        <v>0</v>
      </c>
      <c r="AF149" s="108">
        <v>0</v>
      </c>
      <c r="AG149" s="108">
        <v>0</v>
      </c>
      <c r="AH149" s="108">
        <v>76</v>
      </c>
      <c r="AI149" s="108">
        <v>274</v>
      </c>
      <c r="AJ149" s="108">
        <v>0</v>
      </c>
      <c r="AK149" s="108">
        <v>0</v>
      </c>
      <c r="AL149" s="108">
        <v>109</v>
      </c>
      <c r="AM149" s="108">
        <v>501</v>
      </c>
      <c r="AN149" s="108">
        <f t="shared" si="9"/>
        <v>109</v>
      </c>
      <c r="AO149" s="108">
        <f t="shared" si="10"/>
        <v>501</v>
      </c>
      <c r="AP149" s="110">
        <f t="shared" si="8"/>
        <v>4.5963302752293576</v>
      </c>
      <c r="AQ149" s="110">
        <f t="shared" si="11"/>
        <v>6.7611336032388669E-2</v>
      </c>
      <c r="AR149" s="108">
        <v>0</v>
      </c>
      <c r="AS149" s="108">
        <v>0</v>
      </c>
      <c r="AT149" s="108">
        <v>7410</v>
      </c>
    </row>
    <row r="150" spans="1:46" ht="13.5" thickBot="1" x14ac:dyDescent="0.25">
      <c r="A150" s="48" t="s">
        <v>27</v>
      </c>
      <c r="B150" s="47" t="s">
        <v>26</v>
      </c>
      <c r="C150" s="48" t="s">
        <v>25</v>
      </c>
      <c r="D150" s="48" t="s">
        <v>1649</v>
      </c>
      <c r="E150" s="48" t="s">
        <v>1649</v>
      </c>
      <c r="F150" s="108">
        <v>13</v>
      </c>
      <c r="G150" s="108">
        <v>73</v>
      </c>
      <c r="H150" s="108">
        <v>0</v>
      </c>
      <c r="I150" s="108">
        <v>0</v>
      </c>
      <c r="J150" s="108">
        <v>0</v>
      </c>
      <c r="K150" s="108">
        <v>0</v>
      </c>
      <c r="L150" s="108">
        <v>0</v>
      </c>
      <c r="M150" s="108">
        <v>0</v>
      </c>
      <c r="N150" s="108">
        <v>0</v>
      </c>
      <c r="O150" s="108">
        <v>0</v>
      </c>
      <c r="P150" s="108">
        <v>0</v>
      </c>
      <c r="Q150" s="108">
        <v>0</v>
      </c>
      <c r="R150" s="108">
        <v>0</v>
      </c>
      <c r="S150" s="108">
        <v>13</v>
      </c>
      <c r="T150" s="108">
        <v>73</v>
      </c>
      <c r="U150" s="109" t="s">
        <v>1648</v>
      </c>
      <c r="V150" s="108">
        <v>13</v>
      </c>
      <c r="W150" s="108">
        <v>73</v>
      </c>
      <c r="X150" s="108">
        <v>0</v>
      </c>
      <c r="Y150" s="108">
        <v>0</v>
      </c>
      <c r="Z150" s="108">
        <v>0</v>
      </c>
      <c r="AA150" s="108">
        <v>0</v>
      </c>
      <c r="AB150" s="108">
        <v>0</v>
      </c>
      <c r="AC150" s="108">
        <v>0</v>
      </c>
      <c r="AD150" s="108">
        <v>11</v>
      </c>
      <c r="AE150" s="108">
        <v>170</v>
      </c>
      <c r="AF150" s="108">
        <v>0</v>
      </c>
      <c r="AG150" s="108">
        <v>0</v>
      </c>
      <c r="AH150" s="108">
        <v>0</v>
      </c>
      <c r="AI150" s="108">
        <v>0</v>
      </c>
      <c r="AJ150" s="108">
        <v>0</v>
      </c>
      <c r="AK150" s="108">
        <v>0</v>
      </c>
      <c r="AL150" s="108">
        <v>24</v>
      </c>
      <c r="AM150" s="108">
        <v>243</v>
      </c>
      <c r="AN150" s="108">
        <f t="shared" si="9"/>
        <v>24</v>
      </c>
      <c r="AO150" s="108">
        <f t="shared" si="10"/>
        <v>243</v>
      </c>
      <c r="AP150" s="110">
        <f t="shared" si="8"/>
        <v>10.125</v>
      </c>
      <c r="AQ150" s="110">
        <f t="shared" si="11"/>
        <v>2.0948275862068967E-2</v>
      </c>
      <c r="AR150" s="108">
        <v>0</v>
      </c>
      <c r="AS150" s="108">
        <v>0</v>
      </c>
      <c r="AT150" s="108">
        <v>11600</v>
      </c>
    </row>
    <row r="151" spans="1:46" ht="13.5" thickBot="1" x14ac:dyDescent="0.25">
      <c r="A151" s="48" t="s">
        <v>31</v>
      </c>
      <c r="B151" s="47" t="s">
        <v>30</v>
      </c>
      <c r="C151" s="48" t="s">
        <v>25</v>
      </c>
      <c r="D151" s="48" t="s">
        <v>1648</v>
      </c>
      <c r="E151" s="48" t="s">
        <v>1649</v>
      </c>
      <c r="F151" s="108">
        <v>20</v>
      </c>
      <c r="G151" s="108">
        <v>38</v>
      </c>
      <c r="H151" s="108">
        <v>4</v>
      </c>
      <c r="I151" s="108">
        <v>25</v>
      </c>
      <c r="J151" s="108">
        <v>5</v>
      </c>
      <c r="K151" s="108">
        <v>65</v>
      </c>
      <c r="L151" s="108">
        <v>0</v>
      </c>
      <c r="M151" s="108">
        <v>0</v>
      </c>
      <c r="N151" s="108">
        <v>115</v>
      </c>
      <c r="O151" s="108">
        <v>12</v>
      </c>
      <c r="P151" s="108">
        <v>127</v>
      </c>
      <c r="Q151" s="108">
        <v>5</v>
      </c>
      <c r="R151" s="108">
        <v>65</v>
      </c>
      <c r="S151" s="108">
        <v>25</v>
      </c>
      <c r="T151" s="108">
        <v>103</v>
      </c>
      <c r="U151" s="109" t="s">
        <v>1648</v>
      </c>
      <c r="V151" s="108">
        <v>15</v>
      </c>
      <c r="W151" s="108">
        <v>27</v>
      </c>
      <c r="X151" s="108">
        <v>0</v>
      </c>
      <c r="Y151" s="108">
        <v>0</v>
      </c>
      <c r="Z151" s="108">
        <v>4</v>
      </c>
      <c r="AA151" s="108">
        <v>25</v>
      </c>
      <c r="AB151" s="108">
        <v>0</v>
      </c>
      <c r="AC151" s="108">
        <v>0</v>
      </c>
      <c r="AD151" s="108">
        <v>11</v>
      </c>
      <c r="AE151" s="108">
        <v>131</v>
      </c>
      <c r="AF151" s="108">
        <v>0</v>
      </c>
      <c r="AG151" s="108">
        <v>0</v>
      </c>
      <c r="AH151" s="108">
        <v>1</v>
      </c>
      <c r="AI151" s="108">
        <v>15</v>
      </c>
      <c r="AJ151" s="108">
        <v>5</v>
      </c>
      <c r="AK151" s="108">
        <v>65</v>
      </c>
      <c r="AL151" s="108">
        <v>41</v>
      </c>
      <c r="AM151" s="108">
        <v>274</v>
      </c>
      <c r="AN151" s="108">
        <f t="shared" si="9"/>
        <v>46</v>
      </c>
      <c r="AO151" s="108">
        <f t="shared" si="10"/>
        <v>339</v>
      </c>
      <c r="AP151" s="110">
        <f t="shared" si="8"/>
        <v>7.3695652173913047</v>
      </c>
      <c r="AQ151" s="110">
        <f t="shared" si="11"/>
        <v>3.4926849371522767E-2</v>
      </c>
      <c r="AR151" s="108">
        <v>0</v>
      </c>
      <c r="AS151" s="108">
        <v>0</v>
      </c>
      <c r="AT151" s="108">
        <v>9706</v>
      </c>
    </row>
    <row r="152" spans="1:46" ht="13.5" thickBot="1" x14ac:dyDescent="0.25">
      <c r="A152" s="48" t="s">
        <v>76</v>
      </c>
      <c r="B152" s="47" t="s">
        <v>75</v>
      </c>
      <c r="C152" s="48" t="s">
        <v>25</v>
      </c>
      <c r="D152" s="48" t="s">
        <v>1648</v>
      </c>
      <c r="E152" s="48" t="s">
        <v>1649</v>
      </c>
      <c r="F152" s="108">
        <v>205</v>
      </c>
      <c r="G152" s="108">
        <v>3239</v>
      </c>
      <c r="H152" s="108">
        <v>21</v>
      </c>
      <c r="I152" s="108">
        <v>184</v>
      </c>
      <c r="J152" s="108">
        <v>12</v>
      </c>
      <c r="K152" s="108">
        <v>414</v>
      </c>
      <c r="L152" s="108">
        <v>8</v>
      </c>
      <c r="M152" s="108">
        <v>131</v>
      </c>
      <c r="N152" s="108">
        <v>103</v>
      </c>
      <c r="O152" s="108">
        <v>28</v>
      </c>
      <c r="P152" s="108">
        <v>131</v>
      </c>
      <c r="Q152" s="108">
        <v>12</v>
      </c>
      <c r="R152" s="108">
        <v>12</v>
      </c>
      <c r="S152" s="108">
        <v>217</v>
      </c>
      <c r="T152" s="108">
        <v>3653</v>
      </c>
      <c r="U152" s="109" t="s">
        <v>1648</v>
      </c>
      <c r="V152" s="108">
        <v>91</v>
      </c>
      <c r="W152" s="108">
        <v>420</v>
      </c>
      <c r="X152" s="108">
        <v>0</v>
      </c>
      <c r="Y152" s="108">
        <v>0</v>
      </c>
      <c r="Z152" s="108">
        <v>29</v>
      </c>
      <c r="AA152" s="108">
        <v>315</v>
      </c>
      <c r="AB152" s="108">
        <v>4</v>
      </c>
      <c r="AC152" s="108">
        <v>20</v>
      </c>
      <c r="AD152" s="108">
        <v>42</v>
      </c>
      <c r="AE152" s="108">
        <v>294</v>
      </c>
      <c r="AF152" s="108">
        <v>24</v>
      </c>
      <c r="AG152" s="108">
        <v>50</v>
      </c>
      <c r="AH152" s="108">
        <v>11</v>
      </c>
      <c r="AI152" s="108">
        <v>200</v>
      </c>
      <c r="AJ152" s="108">
        <v>40</v>
      </c>
      <c r="AK152" s="108">
        <v>82</v>
      </c>
      <c r="AL152" s="108">
        <v>299</v>
      </c>
      <c r="AM152" s="108">
        <v>4462</v>
      </c>
      <c r="AN152" s="108">
        <f t="shared" si="9"/>
        <v>339</v>
      </c>
      <c r="AO152" s="108">
        <f t="shared" si="10"/>
        <v>4544</v>
      </c>
      <c r="AP152" s="110">
        <f t="shared" si="8"/>
        <v>13.404129793510325</v>
      </c>
      <c r="AQ152" s="110">
        <f t="shared" si="11"/>
        <v>0.39179168822210725</v>
      </c>
      <c r="AR152" s="108">
        <v>0</v>
      </c>
      <c r="AS152" s="108">
        <v>0</v>
      </c>
      <c r="AT152" s="108">
        <v>11598</v>
      </c>
    </row>
    <row r="153" spans="1:46" ht="13.5" thickBot="1" x14ac:dyDescent="0.25">
      <c r="A153" s="48" t="s">
        <v>110</v>
      </c>
      <c r="B153" s="47" t="s">
        <v>109</v>
      </c>
      <c r="C153" s="48" t="s">
        <v>25</v>
      </c>
      <c r="D153" s="48" t="s">
        <v>1648</v>
      </c>
      <c r="E153" s="48" t="s">
        <v>1648</v>
      </c>
      <c r="F153" s="108">
        <v>208</v>
      </c>
      <c r="G153" s="108">
        <v>4160</v>
      </c>
      <c r="H153" s="108">
        <v>10</v>
      </c>
      <c r="I153" s="108">
        <v>56</v>
      </c>
      <c r="J153" s="108">
        <v>25</v>
      </c>
      <c r="K153" s="108">
        <v>1156</v>
      </c>
      <c r="L153" s="108">
        <v>4</v>
      </c>
      <c r="M153" s="108">
        <v>15</v>
      </c>
      <c r="N153" s="108">
        <v>51</v>
      </c>
      <c r="O153" s="108">
        <v>15</v>
      </c>
      <c r="P153" s="108">
        <v>66</v>
      </c>
      <c r="Q153" s="108">
        <v>10</v>
      </c>
      <c r="R153" s="108">
        <v>150</v>
      </c>
      <c r="S153" s="108">
        <v>233</v>
      </c>
      <c r="T153" s="108">
        <v>5316</v>
      </c>
      <c r="U153" s="109" t="s">
        <v>1648</v>
      </c>
      <c r="V153" s="108">
        <v>180</v>
      </c>
      <c r="W153" s="108">
        <v>3600</v>
      </c>
      <c r="X153" s="108">
        <v>0</v>
      </c>
      <c r="Y153" s="108">
        <v>0</v>
      </c>
      <c r="Z153" s="108">
        <v>14</v>
      </c>
      <c r="AA153" s="108">
        <v>71</v>
      </c>
      <c r="AB153" s="108">
        <v>0</v>
      </c>
      <c r="AC153" s="108">
        <v>0</v>
      </c>
      <c r="AD153" s="108">
        <v>165</v>
      </c>
      <c r="AE153" s="108">
        <v>1640</v>
      </c>
      <c r="AF153" s="108">
        <v>0</v>
      </c>
      <c r="AG153" s="108">
        <v>0</v>
      </c>
      <c r="AH153" s="108">
        <v>0</v>
      </c>
      <c r="AI153" s="108">
        <v>0</v>
      </c>
      <c r="AJ153" s="108">
        <v>10</v>
      </c>
      <c r="AK153" s="108">
        <v>150</v>
      </c>
      <c r="AL153" s="108">
        <v>412</v>
      </c>
      <c r="AM153" s="108">
        <v>7027</v>
      </c>
      <c r="AN153" s="108">
        <f t="shared" si="9"/>
        <v>422</v>
      </c>
      <c r="AO153" s="108">
        <f t="shared" si="10"/>
        <v>7177</v>
      </c>
      <c r="AP153" s="110">
        <f t="shared" si="8"/>
        <v>17.007109004739338</v>
      </c>
      <c r="AQ153" s="110">
        <f t="shared" si="11"/>
        <v>0.99321893163575981</v>
      </c>
      <c r="AR153" s="108">
        <v>0</v>
      </c>
      <c r="AS153" s="108">
        <v>0</v>
      </c>
      <c r="AT153" s="108">
        <v>7226</v>
      </c>
    </row>
    <row r="154" spans="1:46" ht="13.5" thickBot="1" x14ac:dyDescent="0.25">
      <c r="A154" s="48" t="s">
        <v>136</v>
      </c>
      <c r="B154" s="47" t="s">
        <v>135</v>
      </c>
      <c r="C154" s="48" t="s">
        <v>25</v>
      </c>
      <c r="D154" s="48" t="s">
        <v>1649</v>
      </c>
      <c r="E154" s="48" t="s">
        <v>1649</v>
      </c>
      <c r="F154" s="108">
        <v>0</v>
      </c>
      <c r="G154" s="108">
        <v>0</v>
      </c>
      <c r="H154" s="108">
        <v>0</v>
      </c>
      <c r="I154" s="108">
        <v>0</v>
      </c>
      <c r="J154" s="108">
        <v>0</v>
      </c>
      <c r="K154" s="108">
        <v>0</v>
      </c>
      <c r="L154" s="108">
        <v>0</v>
      </c>
      <c r="M154" s="108">
        <v>0</v>
      </c>
      <c r="N154" s="109">
        <v>0</v>
      </c>
      <c r="O154" s="109">
        <v>0</v>
      </c>
      <c r="P154" s="109">
        <v>0</v>
      </c>
      <c r="Q154" s="108">
        <v>0</v>
      </c>
      <c r="R154" s="108">
        <v>0</v>
      </c>
      <c r="S154" s="108">
        <v>0</v>
      </c>
      <c r="T154" s="108">
        <v>0</v>
      </c>
      <c r="U154" s="109" t="s">
        <v>1648</v>
      </c>
      <c r="V154" s="108">
        <v>0</v>
      </c>
      <c r="W154" s="108">
        <v>0</v>
      </c>
      <c r="X154" s="108">
        <v>0</v>
      </c>
      <c r="Y154" s="108">
        <v>0</v>
      </c>
      <c r="Z154" s="108">
        <v>0</v>
      </c>
      <c r="AA154" s="108">
        <v>0</v>
      </c>
      <c r="AB154" s="108">
        <v>0</v>
      </c>
      <c r="AC154" s="108">
        <v>0</v>
      </c>
      <c r="AD154" s="108">
        <v>8</v>
      </c>
      <c r="AE154" s="108">
        <v>21</v>
      </c>
      <c r="AF154" s="108">
        <v>0</v>
      </c>
      <c r="AG154" s="108">
        <v>0</v>
      </c>
      <c r="AH154" s="108">
        <v>3</v>
      </c>
      <c r="AI154" s="108">
        <v>47</v>
      </c>
      <c r="AJ154" s="108">
        <v>0</v>
      </c>
      <c r="AK154" s="108">
        <v>0</v>
      </c>
      <c r="AL154" s="108">
        <v>11</v>
      </c>
      <c r="AM154" s="108">
        <v>68</v>
      </c>
      <c r="AN154" s="108">
        <f t="shared" si="9"/>
        <v>11</v>
      </c>
      <c r="AO154" s="108">
        <f t="shared" si="10"/>
        <v>68</v>
      </c>
      <c r="AP154" s="110">
        <f t="shared" si="8"/>
        <v>6.1818181818181817</v>
      </c>
      <c r="AQ154" s="110">
        <f t="shared" si="11"/>
        <v>7.8232857800276112E-3</v>
      </c>
      <c r="AR154" s="108">
        <v>0</v>
      </c>
      <c r="AS154" s="108">
        <v>0</v>
      </c>
      <c r="AT154" s="108">
        <v>8692</v>
      </c>
    </row>
    <row r="155" spans="1:46" ht="13.5" thickBot="1" x14ac:dyDescent="0.25">
      <c r="A155" s="48" t="s">
        <v>148</v>
      </c>
      <c r="B155" s="47" t="s">
        <v>147</v>
      </c>
      <c r="C155" s="48" t="s">
        <v>25</v>
      </c>
      <c r="D155" s="48" t="s">
        <v>1649</v>
      </c>
      <c r="E155" s="48" t="s">
        <v>1649</v>
      </c>
      <c r="F155" s="108">
        <v>16</v>
      </c>
      <c r="G155" s="108">
        <v>139</v>
      </c>
      <c r="H155" s="108">
        <v>3</v>
      </c>
      <c r="I155" s="108">
        <v>89</v>
      </c>
      <c r="J155" s="108">
        <v>16</v>
      </c>
      <c r="K155" s="108">
        <v>60</v>
      </c>
      <c r="L155" s="108">
        <v>0</v>
      </c>
      <c r="M155" s="108">
        <v>0</v>
      </c>
      <c r="N155" s="108">
        <v>15</v>
      </c>
      <c r="O155" s="108">
        <v>4</v>
      </c>
      <c r="P155" s="108">
        <v>19</v>
      </c>
      <c r="Q155" s="108">
        <v>0</v>
      </c>
      <c r="R155" s="108">
        <v>0</v>
      </c>
      <c r="S155" s="108">
        <v>32</v>
      </c>
      <c r="T155" s="108">
        <v>199</v>
      </c>
      <c r="U155" s="109" t="s">
        <v>1648</v>
      </c>
      <c r="V155" s="108">
        <v>16</v>
      </c>
      <c r="W155" s="108">
        <v>139</v>
      </c>
      <c r="X155" s="108">
        <v>0</v>
      </c>
      <c r="Y155" s="108">
        <v>0</v>
      </c>
      <c r="Z155" s="108">
        <v>3</v>
      </c>
      <c r="AA155" s="108">
        <v>89</v>
      </c>
      <c r="AB155" s="108">
        <v>0</v>
      </c>
      <c r="AC155" s="108">
        <v>0</v>
      </c>
      <c r="AD155" s="108">
        <v>12</v>
      </c>
      <c r="AE155" s="108">
        <v>227</v>
      </c>
      <c r="AF155" s="108">
        <v>0</v>
      </c>
      <c r="AG155" s="108">
        <v>0</v>
      </c>
      <c r="AH155" s="108">
        <v>8</v>
      </c>
      <c r="AI155" s="108">
        <v>287</v>
      </c>
      <c r="AJ155" s="108">
        <v>0</v>
      </c>
      <c r="AK155" s="108">
        <v>0</v>
      </c>
      <c r="AL155" s="108">
        <v>55</v>
      </c>
      <c r="AM155" s="108">
        <v>802</v>
      </c>
      <c r="AN155" s="108">
        <f t="shared" si="9"/>
        <v>55</v>
      </c>
      <c r="AO155" s="108">
        <f t="shared" si="10"/>
        <v>802</v>
      </c>
      <c r="AP155" s="110">
        <f t="shared" si="8"/>
        <v>14.581818181818182</v>
      </c>
      <c r="AQ155" s="110">
        <f t="shared" si="11"/>
        <v>7.3869393018329191E-2</v>
      </c>
      <c r="AR155" s="108">
        <v>0</v>
      </c>
      <c r="AS155" s="108">
        <v>0</v>
      </c>
      <c r="AT155" s="108">
        <v>10857</v>
      </c>
    </row>
    <row r="156" spans="1:46" ht="13.5" thickBot="1" x14ac:dyDescent="0.25">
      <c r="A156" s="48" t="s">
        <v>154</v>
      </c>
      <c r="B156" s="47" t="s">
        <v>153</v>
      </c>
      <c r="C156" s="48" t="s">
        <v>25</v>
      </c>
      <c r="D156" s="48" t="s">
        <v>1649</v>
      </c>
      <c r="E156" s="48" t="s">
        <v>1649</v>
      </c>
      <c r="F156" s="108">
        <v>40</v>
      </c>
      <c r="G156" s="108">
        <v>235</v>
      </c>
      <c r="H156" s="108">
        <v>0</v>
      </c>
      <c r="I156" s="108">
        <v>0</v>
      </c>
      <c r="J156" s="108">
        <v>1</v>
      </c>
      <c r="K156" s="108">
        <v>25</v>
      </c>
      <c r="L156" s="108">
        <v>1</v>
      </c>
      <c r="M156" s="108">
        <v>25</v>
      </c>
      <c r="N156" s="108">
        <v>25</v>
      </c>
      <c r="O156" s="108">
        <v>25</v>
      </c>
      <c r="P156" s="108">
        <v>50</v>
      </c>
      <c r="Q156" s="108">
        <v>0</v>
      </c>
      <c r="R156" s="108">
        <v>0</v>
      </c>
      <c r="S156" s="108">
        <v>41</v>
      </c>
      <c r="T156" s="108">
        <v>260</v>
      </c>
      <c r="U156" s="109" t="s">
        <v>1648</v>
      </c>
      <c r="V156" s="108">
        <v>33</v>
      </c>
      <c r="W156" s="108">
        <v>165</v>
      </c>
      <c r="X156" s="108">
        <v>0</v>
      </c>
      <c r="Y156" s="108">
        <v>0</v>
      </c>
      <c r="Z156" s="108">
        <v>1</v>
      </c>
      <c r="AA156" s="108">
        <v>25</v>
      </c>
      <c r="AB156" s="108">
        <v>0</v>
      </c>
      <c r="AC156" s="108">
        <v>0</v>
      </c>
      <c r="AD156" s="108">
        <v>95</v>
      </c>
      <c r="AE156" s="108">
        <v>926</v>
      </c>
      <c r="AF156" s="108">
        <v>0</v>
      </c>
      <c r="AG156" s="108">
        <v>0</v>
      </c>
      <c r="AH156" s="108">
        <v>25</v>
      </c>
      <c r="AI156" s="108">
        <v>235</v>
      </c>
      <c r="AJ156" s="108">
        <v>0</v>
      </c>
      <c r="AK156" s="108">
        <v>0</v>
      </c>
      <c r="AL156" s="108">
        <v>162</v>
      </c>
      <c r="AM156" s="108">
        <v>1446</v>
      </c>
      <c r="AN156" s="108">
        <f t="shared" si="9"/>
        <v>162</v>
      </c>
      <c r="AO156" s="108">
        <f t="shared" si="10"/>
        <v>1446</v>
      </c>
      <c r="AP156" s="110">
        <f t="shared" si="8"/>
        <v>8.9259259259259256</v>
      </c>
      <c r="AQ156" s="110">
        <f t="shared" si="11"/>
        <v>0.17512413709579749</v>
      </c>
      <c r="AR156" s="108">
        <v>0</v>
      </c>
      <c r="AS156" s="108">
        <v>0</v>
      </c>
      <c r="AT156" s="108">
        <v>8257</v>
      </c>
    </row>
    <row r="157" spans="1:46" ht="13.5" thickBot="1" x14ac:dyDescent="0.25">
      <c r="A157" s="48" t="s">
        <v>196</v>
      </c>
      <c r="B157" s="47" t="s">
        <v>195</v>
      </c>
      <c r="C157" s="48" t="s">
        <v>25</v>
      </c>
      <c r="D157" s="48" t="s">
        <v>1649</v>
      </c>
      <c r="E157" s="48" t="s">
        <v>1648</v>
      </c>
      <c r="F157" s="108">
        <v>93</v>
      </c>
      <c r="G157" s="108">
        <v>2911</v>
      </c>
      <c r="H157" s="108">
        <v>15</v>
      </c>
      <c r="I157" s="108">
        <v>84</v>
      </c>
      <c r="J157" s="108">
        <v>30</v>
      </c>
      <c r="K157" s="108">
        <v>697</v>
      </c>
      <c r="L157" s="108">
        <v>3</v>
      </c>
      <c r="M157" s="108">
        <v>21</v>
      </c>
      <c r="N157" s="108">
        <v>225</v>
      </c>
      <c r="O157" s="108">
        <v>37</v>
      </c>
      <c r="P157" s="108">
        <v>262</v>
      </c>
      <c r="Q157" s="108">
        <v>0</v>
      </c>
      <c r="R157" s="108">
        <v>0</v>
      </c>
      <c r="S157" s="108">
        <v>123</v>
      </c>
      <c r="T157" s="108">
        <v>3608</v>
      </c>
      <c r="U157" s="109" t="s">
        <v>1648</v>
      </c>
      <c r="V157" s="108">
        <v>60</v>
      </c>
      <c r="W157" s="108">
        <v>1950</v>
      </c>
      <c r="X157" s="108">
        <v>0</v>
      </c>
      <c r="Y157" s="108">
        <v>0</v>
      </c>
      <c r="Z157" s="108">
        <v>18</v>
      </c>
      <c r="AA157" s="108">
        <v>105</v>
      </c>
      <c r="AB157" s="108">
        <v>0</v>
      </c>
      <c r="AC157" s="108">
        <v>0</v>
      </c>
      <c r="AD157" s="108">
        <v>98</v>
      </c>
      <c r="AE157" s="108">
        <v>1319</v>
      </c>
      <c r="AF157" s="108">
        <v>0</v>
      </c>
      <c r="AG157" s="108">
        <v>0</v>
      </c>
      <c r="AH157" s="108">
        <v>3</v>
      </c>
      <c r="AI157" s="108">
        <v>62</v>
      </c>
      <c r="AJ157" s="108">
        <v>0</v>
      </c>
      <c r="AK157" s="108">
        <v>0</v>
      </c>
      <c r="AL157" s="108">
        <v>242</v>
      </c>
      <c r="AM157" s="108">
        <v>5094</v>
      </c>
      <c r="AN157" s="108">
        <f t="shared" si="9"/>
        <v>242</v>
      </c>
      <c r="AO157" s="108">
        <f t="shared" si="10"/>
        <v>5094</v>
      </c>
      <c r="AP157" s="110">
        <f t="shared" si="8"/>
        <v>21.049586776859503</v>
      </c>
      <c r="AQ157" s="110">
        <f t="shared" si="11"/>
        <v>0.42943854324734448</v>
      </c>
      <c r="AR157" s="108">
        <v>0</v>
      </c>
      <c r="AS157" s="108">
        <v>0</v>
      </c>
      <c r="AT157" s="108">
        <v>11862</v>
      </c>
    </row>
    <row r="158" spans="1:46" ht="13.5" thickBot="1" x14ac:dyDescent="0.25">
      <c r="A158" s="48" t="s">
        <v>220</v>
      </c>
      <c r="B158" s="47" t="s">
        <v>219</v>
      </c>
      <c r="C158" s="48" t="s">
        <v>25</v>
      </c>
      <c r="D158" s="48" t="s">
        <v>1649</v>
      </c>
      <c r="E158" s="48" t="s">
        <v>1649</v>
      </c>
      <c r="F158" s="108">
        <v>16</v>
      </c>
      <c r="G158" s="108">
        <v>450</v>
      </c>
      <c r="H158" s="108">
        <v>2</v>
      </c>
      <c r="I158" s="108">
        <v>100</v>
      </c>
      <c r="J158" s="108">
        <v>4</v>
      </c>
      <c r="K158" s="108">
        <v>150</v>
      </c>
      <c r="L158" s="108">
        <v>3</v>
      </c>
      <c r="M158" s="108">
        <v>40</v>
      </c>
      <c r="N158" s="108">
        <v>210</v>
      </c>
      <c r="O158" s="108">
        <v>35</v>
      </c>
      <c r="P158" s="108">
        <v>245</v>
      </c>
      <c r="Q158" s="108">
        <v>0</v>
      </c>
      <c r="R158" s="108">
        <v>0</v>
      </c>
      <c r="S158" s="108">
        <v>20</v>
      </c>
      <c r="T158" s="108">
        <v>600</v>
      </c>
      <c r="U158" s="109" t="s">
        <v>1648</v>
      </c>
      <c r="V158" s="108">
        <v>1</v>
      </c>
      <c r="W158" s="108">
        <v>250</v>
      </c>
      <c r="X158" s="108">
        <v>0</v>
      </c>
      <c r="Y158" s="108">
        <v>0</v>
      </c>
      <c r="Z158" s="108">
        <v>5</v>
      </c>
      <c r="AA158" s="108">
        <v>140</v>
      </c>
      <c r="AB158" s="108">
        <v>0</v>
      </c>
      <c r="AC158" s="108">
        <v>0</v>
      </c>
      <c r="AD158" s="108">
        <v>20</v>
      </c>
      <c r="AE158" s="108">
        <v>650</v>
      </c>
      <c r="AF158" s="108">
        <v>0</v>
      </c>
      <c r="AG158" s="108">
        <v>0</v>
      </c>
      <c r="AH158" s="108">
        <v>4</v>
      </c>
      <c r="AI158" s="108">
        <v>750</v>
      </c>
      <c r="AJ158" s="108">
        <v>0</v>
      </c>
      <c r="AK158" s="108">
        <v>0</v>
      </c>
      <c r="AL158" s="108">
        <v>49</v>
      </c>
      <c r="AM158" s="108">
        <v>2140</v>
      </c>
      <c r="AN158" s="108">
        <f t="shared" si="9"/>
        <v>49</v>
      </c>
      <c r="AO158" s="108">
        <f t="shared" si="10"/>
        <v>2140</v>
      </c>
      <c r="AP158" s="110">
        <f t="shared" si="8"/>
        <v>43.673469387755105</v>
      </c>
      <c r="AQ158" s="110">
        <f t="shared" si="11"/>
        <v>0.21355154176229918</v>
      </c>
      <c r="AR158" s="108">
        <v>0</v>
      </c>
      <c r="AS158" s="108">
        <v>0</v>
      </c>
      <c r="AT158" s="108">
        <v>10021</v>
      </c>
    </row>
    <row r="159" spans="1:46" ht="13.5" thickBot="1" x14ac:dyDescent="0.25">
      <c r="A159" s="48" t="s">
        <v>246</v>
      </c>
      <c r="B159" s="47" t="s">
        <v>245</v>
      </c>
      <c r="C159" s="48" t="s">
        <v>25</v>
      </c>
      <c r="D159" s="48" t="s">
        <v>1649</v>
      </c>
      <c r="E159" s="48" t="s">
        <v>1649</v>
      </c>
      <c r="F159" s="108">
        <v>5</v>
      </c>
      <c r="G159" s="108">
        <v>54</v>
      </c>
      <c r="H159" s="108">
        <v>0</v>
      </c>
      <c r="I159" s="108">
        <v>0</v>
      </c>
      <c r="J159" s="108">
        <v>0</v>
      </c>
      <c r="K159" s="108">
        <v>0</v>
      </c>
      <c r="L159" s="108">
        <v>0</v>
      </c>
      <c r="M159" s="108">
        <v>0</v>
      </c>
      <c r="N159" s="108">
        <v>6</v>
      </c>
      <c r="O159" s="108">
        <v>5</v>
      </c>
      <c r="P159" s="108">
        <v>11</v>
      </c>
      <c r="Q159" s="108">
        <v>0</v>
      </c>
      <c r="R159" s="108">
        <v>0</v>
      </c>
      <c r="S159" s="108">
        <v>5</v>
      </c>
      <c r="T159" s="108">
        <v>54</v>
      </c>
      <c r="U159" s="109" t="s">
        <v>1649</v>
      </c>
      <c r="V159" s="108">
        <v>0</v>
      </c>
      <c r="W159" s="108">
        <v>0</v>
      </c>
      <c r="X159" s="108">
        <v>0</v>
      </c>
      <c r="Y159" s="108">
        <v>0</v>
      </c>
      <c r="Z159" s="108">
        <v>0</v>
      </c>
      <c r="AA159" s="108">
        <v>0</v>
      </c>
      <c r="AB159" s="108">
        <v>0</v>
      </c>
      <c r="AC159" s="108">
        <v>0</v>
      </c>
      <c r="AD159" s="108">
        <v>40</v>
      </c>
      <c r="AE159" s="108">
        <v>237</v>
      </c>
      <c r="AF159" s="108">
        <v>0</v>
      </c>
      <c r="AG159" s="108">
        <v>0</v>
      </c>
      <c r="AH159" s="108">
        <v>0</v>
      </c>
      <c r="AI159" s="108">
        <v>0</v>
      </c>
      <c r="AJ159" s="108">
        <v>0</v>
      </c>
      <c r="AK159" s="108">
        <v>0</v>
      </c>
      <c r="AL159" s="108">
        <v>45</v>
      </c>
      <c r="AM159" s="108">
        <v>291</v>
      </c>
      <c r="AN159" s="108">
        <f t="shared" si="9"/>
        <v>45</v>
      </c>
      <c r="AO159" s="108">
        <f t="shared" si="10"/>
        <v>291</v>
      </c>
      <c r="AP159" s="110">
        <f t="shared" si="8"/>
        <v>6.4666666666666668</v>
      </c>
      <c r="AQ159" s="110">
        <f t="shared" si="11"/>
        <v>3.936688311688312E-2</v>
      </c>
      <c r="AR159" s="108">
        <v>0</v>
      </c>
      <c r="AS159" s="108">
        <v>0</v>
      </c>
      <c r="AT159" s="108">
        <v>7392</v>
      </c>
    </row>
    <row r="160" spans="1:46" ht="13.5" thickBot="1" x14ac:dyDescent="0.25">
      <c r="A160" s="48" t="s">
        <v>250</v>
      </c>
      <c r="B160" s="47" t="s">
        <v>249</v>
      </c>
      <c r="C160" s="48" t="s">
        <v>25</v>
      </c>
      <c r="D160" s="48" t="s">
        <v>1649</v>
      </c>
      <c r="E160" s="48" t="s">
        <v>1649</v>
      </c>
      <c r="F160" s="108">
        <v>0</v>
      </c>
      <c r="G160" s="108">
        <v>0</v>
      </c>
      <c r="H160" s="108">
        <v>0</v>
      </c>
      <c r="I160" s="108">
        <v>0</v>
      </c>
      <c r="J160" s="108">
        <v>5</v>
      </c>
      <c r="K160" s="108">
        <v>15</v>
      </c>
      <c r="L160" s="108">
        <v>0</v>
      </c>
      <c r="M160" s="108">
        <v>0</v>
      </c>
      <c r="N160" s="108">
        <v>19</v>
      </c>
      <c r="O160" s="108">
        <v>0</v>
      </c>
      <c r="P160" s="108">
        <v>19</v>
      </c>
      <c r="Q160" s="108">
        <v>0</v>
      </c>
      <c r="R160" s="108">
        <v>0</v>
      </c>
      <c r="S160" s="108">
        <v>5</v>
      </c>
      <c r="T160" s="108">
        <v>15</v>
      </c>
      <c r="U160" s="109" t="s">
        <v>1648</v>
      </c>
      <c r="V160" s="108">
        <v>1</v>
      </c>
      <c r="W160" s="108">
        <v>5</v>
      </c>
      <c r="X160" s="108">
        <v>0</v>
      </c>
      <c r="Y160" s="108">
        <v>0</v>
      </c>
      <c r="Z160" s="108">
        <v>0</v>
      </c>
      <c r="AA160" s="108">
        <v>0</v>
      </c>
      <c r="AB160" s="108">
        <v>0</v>
      </c>
      <c r="AC160" s="108">
        <v>0</v>
      </c>
      <c r="AD160" s="108">
        <v>0</v>
      </c>
      <c r="AE160" s="108">
        <v>0</v>
      </c>
      <c r="AF160" s="108">
        <v>0</v>
      </c>
      <c r="AG160" s="108">
        <v>0</v>
      </c>
      <c r="AH160" s="108">
        <v>1</v>
      </c>
      <c r="AI160" s="108">
        <v>80</v>
      </c>
      <c r="AJ160" s="108">
        <v>0</v>
      </c>
      <c r="AK160" s="108">
        <v>0</v>
      </c>
      <c r="AL160" s="108">
        <v>6</v>
      </c>
      <c r="AM160" s="108">
        <v>95</v>
      </c>
      <c r="AN160" s="108">
        <f t="shared" si="9"/>
        <v>6</v>
      </c>
      <c r="AO160" s="108">
        <f t="shared" si="10"/>
        <v>95</v>
      </c>
      <c r="AP160" s="110">
        <f t="shared" si="8"/>
        <v>15.833333333333334</v>
      </c>
      <c r="AQ160" s="110">
        <f t="shared" si="11"/>
        <v>9.9873843566021872E-3</v>
      </c>
      <c r="AR160" s="108">
        <v>0</v>
      </c>
      <c r="AS160" s="108">
        <v>0</v>
      </c>
      <c r="AT160" s="108">
        <v>9512</v>
      </c>
    </row>
    <row r="161" spans="1:46" ht="13.5" thickBot="1" x14ac:dyDescent="0.25">
      <c r="A161" s="48" t="s">
        <v>262</v>
      </c>
      <c r="B161" s="47" t="s">
        <v>261</v>
      </c>
      <c r="C161" s="48" t="s">
        <v>25</v>
      </c>
      <c r="D161" s="48" t="s">
        <v>1649</v>
      </c>
      <c r="E161" s="48" t="s">
        <v>1649</v>
      </c>
      <c r="F161" s="108">
        <v>9</v>
      </c>
      <c r="G161" s="108">
        <v>15</v>
      </c>
      <c r="H161" s="108">
        <v>0</v>
      </c>
      <c r="I161" s="108">
        <v>0</v>
      </c>
      <c r="J161" s="108">
        <v>1</v>
      </c>
      <c r="K161" s="108">
        <v>30</v>
      </c>
      <c r="L161" s="108">
        <v>0</v>
      </c>
      <c r="M161" s="108">
        <v>0</v>
      </c>
      <c r="N161" s="108">
        <v>38</v>
      </c>
      <c r="O161" s="108">
        <v>0</v>
      </c>
      <c r="P161" s="108">
        <v>38</v>
      </c>
      <c r="Q161" s="108">
        <v>0</v>
      </c>
      <c r="R161" s="108">
        <v>0</v>
      </c>
      <c r="S161" s="108">
        <v>10</v>
      </c>
      <c r="T161" s="108">
        <v>45</v>
      </c>
      <c r="U161" s="109" t="s">
        <v>1648</v>
      </c>
      <c r="V161" s="108">
        <v>14</v>
      </c>
      <c r="W161" s="108">
        <v>9</v>
      </c>
      <c r="X161" s="108">
        <v>0</v>
      </c>
      <c r="Y161" s="108">
        <v>0</v>
      </c>
      <c r="Z161" s="108">
        <v>0</v>
      </c>
      <c r="AA161" s="108">
        <v>0</v>
      </c>
      <c r="AB161" s="108">
        <v>0</v>
      </c>
      <c r="AC161" s="108">
        <v>0</v>
      </c>
      <c r="AD161" s="108">
        <v>0</v>
      </c>
      <c r="AE161" s="108">
        <v>0</v>
      </c>
      <c r="AF161" s="108">
        <v>0</v>
      </c>
      <c r="AG161" s="108">
        <v>0</v>
      </c>
      <c r="AH161" s="108">
        <v>0</v>
      </c>
      <c r="AI161" s="108">
        <v>0</v>
      </c>
      <c r="AJ161" s="108">
        <v>0</v>
      </c>
      <c r="AK161" s="108">
        <v>0</v>
      </c>
      <c r="AL161" s="108">
        <v>10</v>
      </c>
      <c r="AM161" s="108">
        <v>45</v>
      </c>
      <c r="AN161" s="108">
        <f t="shared" si="9"/>
        <v>10</v>
      </c>
      <c r="AO161" s="108">
        <f t="shared" si="10"/>
        <v>45</v>
      </c>
      <c r="AP161" s="110">
        <f t="shared" si="8"/>
        <v>4.5</v>
      </c>
      <c r="AQ161" s="110">
        <f t="shared" si="11"/>
        <v>5.8312815861085911E-3</v>
      </c>
      <c r="AR161" s="108">
        <v>0</v>
      </c>
      <c r="AS161" s="108">
        <v>0</v>
      </c>
      <c r="AT161" s="108">
        <v>7717</v>
      </c>
    </row>
    <row r="162" spans="1:46" ht="13.5" thickBot="1" x14ac:dyDescent="0.25">
      <c r="A162" s="48" t="s">
        <v>284</v>
      </c>
      <c r="B162" s="47" t="s">
        <v>283</v>
      </c>
      <c r="C162" s="48" t="s">
        <v>25</v>
      </c>
      <c r="D162" s="48" t="s">
        <v>1648</v>
      </c>
      <c r="E162" s="48" t="s">
        <v>1648</v>
      </c>
      <c r="F162" s="108">
        <v>108</v>
      </c>
      <c r="G162" s="108">
        <v>3258</v>
      </c>
      <c r="H162" s="108">
        <v>25</v>
      </c>
      <c r="I162" s="108">
        <v>673</v>
      </c>
      <c r="J162" s="108">
        <v>0</v>
      </c>
      <c r="K162" s="108">
        <v>0</v>
      </c>
      <c r="L162" s="108">
        <v>0</v>
      </c>
      <c r="M162" s="108">
        <v>0</v>
      </c>
      <c r="N162" s="108">
        <v>0</v>
      </c>
      <c r="O162" s="108">
        <v>0</v>
      </c>
      <c r="P162" s="108">
        <v>0</v>
      </c>
      <c r="Q162" s="108">
        <v>9</v>
      </c>
      <c r="R162" s="108">
        <v>160</v>
      </c>
      <c r="S162" s="108">
        <v>108</v>
      </c>
      <c r="T162" s="108">
        <v>3258</v>
      </c>
      <c r="U162" s="109" t="s">
        <v>1648</v>
      </c>
      <c r="V162" s="108">
        <v>75</v>
      </c>
      <c r="W162" s="108">
        <v>2271</v>
      </c>
      <c r="X162" s="108">
        <v>0</v>
      </c>
      <c r="Y162" s="108">
        <v>0</v>
      </c>
      <c r="Z162" s="108">
        <v>25</v>
      </c>
      <c r="AA162" s="108">
        <v>673</v>
      </c>
      <c r="AB162" s="108">
        <v>13</v>
      </c>
      <c r="AC162" s="108">
        <v>191</v>
      </c>
      <c r="AD162" s="108">
        <v>102</v>
      </c>
      <c r="AE162" s="108">
        <v>1409</v>
      </c>
      <c r="AF162" s="108">
        <v>40</v>
      </c>
      <c r="AG162" s="108">
        <v>1239</v>
      </c>
      <c r="AH162" s="108">
        <v>14</v>
      </c>
      <c r="AI162" s="108">
        <v>885</v>
      </c>
      <c r="AJ162" s="108">
        <v>62</v>
      </c>
      <c r="AK162" s="108">
        <v>1590</v>
      </c>
      <c r="AL162" s="108">
        <v>249</v>
      </c>
      <c r="AM162" s="108">
        <v>6225</v>
      </c>
      <c r="AN162" s="108">
        <f t="shared" si="9"/>
        <v>311</v>
      </c>
      <c r="AO162" s="108">
        <f t="shared" si="10"/>
        <v>7815</v>
      </c>
      <c r="AP162" s="110">
        <f t="shared" si="8"/>
        <v>25.128617363344052</v>
      </c>
      <c r="AQ162" s="110">
        <f t="shared" si="11"/>
        <v>0.99884969325153372</v>
      </c>
      <c r="AR162" s="108">
        <v>0</v>
      </c>
      <c r="AS162" s="108">
        <v>0</v>
      </c>
      <c r="AT162" s="108">
        <v>7824</v>
      </c>
    </row>
    <row r="163" spans="1:46" ht="13.5" thickBot="1" x14ac:dyDescent="0.25">
      <c r="A163" s="48" t="s">
        <v>296</v>
      </c>
      <c r="B163" s="47" t="s">
        <v>295</v>
      </c>
      <c r="C163" s="48" t="s">
        <v>25</v>
      </c>
      <c r="D163" s="48" t="s">
        <v>1649</v>
      </c>
      <c r="E163" s="48" t="s">
        <v>1649</v>
      </c>
      <c r="F163" s="108">
        <v>11</v>
      </c>
      <c r="G163" s="108">
        <v>1230</v>
      </c>
      <c r="H163" s="108">
        <v>2</v>
      </c>
      <c r="I163" s="108">
        <v>41</v>
      </c>
      <c r="J163" s="108">
        <v>0</v>
      </c>
      <c r="K163" s="108">
        <v>0</v>
      </c>
      <c r="L163" s="108">
        <v>0</v>
      </c>
      <c r="M163" s="108">
        <v>0</v>
      </c>
      <c r="N163" s="109">
        <v>0</v>
      </c>
      <c r="O163" s="109">
        <v>0</v>
      </c>
      <c r="P163" s="109">
        <v>0</v>
      </c>
      <c r="Q163" s="108">
        <v>0</v>
      </c>
      <c r="R163" s="108">
        <v>0</v>
      </c>
      <c r="S163" s="108">
        <v>11</v>
      </c>
      <c r="T163" s="108">
        <v>1230</v>
      </c>
      <c r="U163" s="109" t="s">
        <v>1649</v>
      </c>
      <c r="V163" s="108">
        <v>6</v>
      </c>
      <c r="W163" s="108">
        <v>210</v>
      </c>
      <c r="X163" s="108">
        <v>0</v>
      </c>
      <c r="Y163" s="108">
        <v>0</v>
      </c>
      <c r="Z163" s="108">
        <v>2</v>
      </c>
      <c r="AA163" s="108">
        <v>41</v>
      </c>
      <c r="AB163" s="108">
        <v>0</v>
      </c>
      <c r="AC163" s="108">
        <v>0</v>
      </c>
      <c r="AD163" s="108">
        <v>45</v>
      </c>
      <c r="AE163" s="108">
        <v>361</v>
      </c>
      <c r="AF163" s="108">
        <v>0</v>
      </c>
      <c r="AG163" s="108">
        <v>0</v>
      </c>
      <c r="AH163" s="108">
        <v>0</v>
      </c>
      <c r="AI163" s="108">
        <v>0</v>
      </c>
      <c r="AJ163" s="108">
        <v>0</v>
      </c>
      <c r="AK163" s="108">
        <v>0</v>
      </c>
      <c r="AL163" s="108">
        <v>58</v>
      </c>
      <c r="AM163" s="108">
        <v>1632</v>
      </c>
      <c r="AN163" s="108">
        <f t="shared" si="9"/>
        <v>58</v>
      </c>
      <c r="AO163" s="108">
        <f t="shared" si="10"/>
        <v>1632</v>
      </c>
      <c r="AP163" s="110">
        <f t="shared" si="8"/>
        <v>28.137931034482758</v>
      </c>
      <c r="AQ163" s="110">
        <f t="shared" si="11"/>
        <v>0.17222456732798649</v>
      </c>
      <c r="AR163" s="108">
        <v>0</v>
      </c>
      <c r="AS163" s="108">
        <v>0</v>
      </c>
      <c r="AT163" s="108">
        <v>9476</v>
      </c>
    </row>
    <row r="164" spans="1:46" ht="13.5" thickBot="1" x14ac:dyDescent="0.25">
      <c r="A164" s="48" t="s">
        <v>310</v>
      </c>
      <c r="B164" s="47" t="s">
        <v>309</v>
      </c>
      <c r="C164" s="48" t="s">
        <v>25</v>
      </c>
      <c r="D164" s="48" t="s">
        <v>1649</v>
      </c>
      <c r="E164" s="48" t="s">
        <v>1649</v>
      </c>
      <c r="F164" s="108">
        <v>5</v>
      </c>
      <c r="G164" s="108">
        <v>484</v>
      </c>
      <c r="H164" s="108">
        <v>0</v>
      </c>
      <c r="I164" s="108">
        <v>0</v>
      </c>
      <c r="J164" s="108">
        <v>2</v>
      </c>
      <c r="K164" s="108">
        <v>102</v>
      </c>
      <c r="L164" s="108">
        <v>2</v>
      </c>
      <c r="M164" s="108">
        <v>12</v>
      </c>
      <c r="N164" s="108">
        <v>261</v>
      </c>
      <c r="O164" s="108">
        <v>98</v>
      </c>
      <c r="P164" s="108">
        <v>359</v>
      </c>
      <c r="Q164" s="108">
        <v>0</v>
      </c>
      <c r="R164" s="108">
        <v>0</v>
      </c>
      <c r="S164" s="108">
        <v>7</v>
      </c>
      <c r="T164" s="108">
        <v>586</v>
      </c>
      <c r="U164" s="109" t="s">
        <v>1648</v>
      </c>
      <c r="V164" s="108">
        <v>3</v>
      </c>
      <c r="W164" s="108">
        <v>335</v>
      </c>
      <c r="X164" s="108">
        <v>0</v>
      </c>
      <c r="Y164" s="108">
        <v>0</v>
      </c>
      <c r="Z164" s="108">
        <v>2</v>
      </c>
      <c r="AA164" s="108">
        <v>12</v>
      </c>
      <c r="AB164" s="108">
        <v>0</v>
      </c>
      <c r="AC164" s="108">
        <v>0</v>
      </c>
      <c r="AD164" s="108">
        <v>2</v>
      </c>
      <c r="AE164" s="108">
        <v>102</v>
      </c>
      <c r="AF164" s="108">
        <v>0</v>
      </c>
      <c r="AG164" s="108">
        <v>0</v>
      </c>
      <c r="AH164" s="108">
        <v>0</v>
      </c>
      <c r="AI164" s="108">
        <v>0</v>
      </c>
      <c r="AJ164" s="108">
        <v>0</v>
      </c>
      <c r="AK164" s="108">
        <v>0</v>
      </c>
      <c r="AL164" s="108">
        <v>11</v>
      </c>
      <c r="AM164" s="108">
        <v>700</v>
      </c>
      <c r="AN164" s="108">
        <f t="shared" si="9"/>
        <v>11</v>
      </c>
      <c r="AO164" s="108">
        <f t="shared" si="10"/>
        <v>700</v>
      </c>
      <c r="AP164" s="110">
        <f t="shared" ref="AP164:AP227" si="12">AO164/AN164</f>
        <v>63.636363636363633</v>
      </c>
      <c r="AQ164" s="110">
        <f t="shared" si="11"/>
        <v>6.2283121274134712E-2</v>
      </c>
      <c r="AR164" s="108">
        <v>0</v>
      </c>
      <c r="AS164" s="108">
        <v>0</v>
      </c>
      <c r="AT164" s="108">
        <v>11239</v>
      </c>
    </row>
    <row r="165" spans="1:46" ht="13.5" thickBot="1" x14ac:dyDescent="0.25">
      <c r="A165" s="48" t="s">
        <v>342</v>
      </c>
      <c r="B165" s="47" t="s">
        <v>341</v>
      </c>
      <c r="C165" s="48" t="s">
        <v>25</v>
      </c>
      <c r="D165" s="48" t="s">
        <v>1649</v>
      </c>
      <c r="E165" s="48" t="s">
        <v>1649</v>
      </c>
      <c r="F165" s="108">
        <v>88</v>
      </c>
      <c r="G165" s="108">
        <v>1943</v>
      </c>
      <c r="H165" s="108">
        <v>17</v>
      </c>
      <c r="I165" s="108">
        <v>516</v>
      </c>
      <c r="J165" s="108">
        <v>31</v>
      </c>
      <c r="K165" s="108">
        <v>783</v>
      </c>
      <c r="L165" s="108">
        <v>5</v>
      </c>
      <c r="M165" s="108">
        <v>115</v>
      </c>
      <c r="N165" s="108">
        <v>165</v>
      </c>
      <c r="O165" s="108">
        <v>43</v>
      </c>
      <c r="P165" s="108">
        <v>208</v>
      </c>
      <c r="Q165" s="108">
        <v>0</v>
      </c>
      <c r="R165" s="108">
        <v>0</v>
      </c>
      <c r="S165" s="108">
        <v>119</v>
      </c>
      <c r="T165" s="108">
        <v>2726</v>
      </c>
      <c r="U165" s="109" t="s">
        <v>1648</v>
      </c>
      <c r="V165" s="108">
        <v>60</v>
      </c>
      <c r="W165" s="108">
        <v>1338</v>
      </c>
      <c r="X165" s="108">
        <v>0</v>
      </c>
      <c r="Y165" s="108">
        <v>0</v>
      </c>
      <c r="Z165" s="108">
        <v>22</v>
      </c>
      <c r="AA165" s="108">
        <v>631</v>
      </c>
      <c r="AB165" s="108">
        <v>0</v>
      </c>
      <c r="AC165" s="108">
        <v>0</v>
      </c>
      <c r="AD165" s="108">
        <v>78</v>
      </c>
      <c r="AE165" s="108">
        <v>789</v>
      </c>
      <c r="AF165" s="108">
        <v>0</v>
      </c>
      <c r="AG165" s="108">
        <v>0</v>
      </c>
      <c r="AH165" s="108">
        <v>16</v>
      </c>
      <c r="AI165" s="108">
        <v>566</v>
      </c>
      <c r="AJ165" s="108">
        <v>0</v>
      </c>
      <c r="AK165" s="108">
        <v>0</v>
      </c>
      <c r="AL165" s="108">
        <v>235</v>
      </c>
      <c r="AM165" s="108">
        <v>4712</v>
      </c>
      <c r="AN165" s="108">
        <f t="shared" si="9"/>
        <v>235</v>
      </c>
      <c r="AO165" s="108">
        <f t="shared" si="10"/>
        <v>4712</v>
      </c>
      <c r="AP165" s="110">
        <f t="shared" si="12"/>
        <v>20.051063829787235</v>
      </c>
      <c r="AQ165" s="110">
        <f t="shared" si="11"/>
        <v>0.57936800688552814</v>
      </c>
      <c r="AR165" s="108">
        <v>0</v>
      </c>
      <c r="AS165" s="108">
        <v>0</v>
      </c>
      <c r="AT165" s="108">
        <v>8133</v>
      </c>
    </row>
    <row r="166" spans="1:46" ht="13.5" thickBot="1" x14ac:dyDescent="0.25">
      <c r="A166" s="48" t="s">
        <v>410</v>
      </c>
      <c r="B166" s="47" t="s">
        <v>409</v>
      </c>
      <c r="C166" s="48" t="s">
        <v>25</v>
      </c>
      <c r="D166" s="48" t="s">
        <v>1649</v>
      </c>
      <c r="E166" s="48" t="s">
        <v>1649</v>
      </c>
      <c r="F166" s="108">
        <v>30</v>
      </c>
      <c r="G166" s="108">
        <v>210</v>
      </c>
      <c r="H166" s="108">
        <v>0</v>
      </c>
      <c r="I166" s="108">
        <v>0</v>
      </c>
      <c r="J166" s="108">
        <v>0</v>
      </c>
      <c r="K166" s="108">
        <v>0</v>
      </c>
      <c r="L166" s="108">
        <v>0</v>
      </c>
      <c r="M166" s="108">
        <v>0</v>
      </c>
      <c r="N166" s="108">
        <v>0</v>
      </c>
      <c r="O166" s="109">
        <v>0</v>
      </c>
      <c r="P166" s="108">
        <v>0</v>
      </c>
      <c r="Q166" s="108">
        <v>0</v>
      </c>
      <c r="R166" s="108">
        <v>0</v>
      </c>
      <c r="S166" s="108">
        <v>30</v>
      </c>
      <c r="T166" s="108">
        <v>210</v>
      </c>
      <c r="U166" s="109" t="s">
        <v>1648</v>
      </c>
      <c r="V166" s="108">
        <v>30</v>
      </c>
      <c r="W166" s="108">
        <v>210</v>
      </c>
      <c r="X166" s="108">
        <v>0</v>
      </c>
      <c r="Y166" s="108">
        <v>0</v>
      </c>
      <c r="Z166" s="108">
        <v>0</v>
      </c>
      <c r="AA166" s="108">
        <v>0</v>
      </c>
      <c r="AB166" s="108">
        <v>0</v>
      </c>
      <c r="AC166" s="108">
        <v>0</v>
      </c>
      <c r="AD166" s="108">
        <v>9</v>
      </c>
      <c r="AE166" s="108">
        <v>100</v>
      </c>
      <c r="AF166" s="108">
        <v>0</v>
      </c>
      <c r="AG166" s="108">
        <v>0</v>
      </c>
      <c r="AH166" s="108">
        <v>0</v>
      </c>
      <c r="AI166" s="108">
        <v>0</v>
      </c>
      <c r="AJ166" s="108">
        <v>0</v>
      </c>
      <c r="AK166" s="108">
        <v>0</v>
      </c>
      <c r="AL166" s="108">
        <v>39</v>
      </c>
      <c r="AM166" s="108">
        <v>310</v>
      </c>
      <c r="AN166" s="108">
        <f t="shared" si="9"/>
        <v>39</v>
      </c>
      <c r="AO166" s="108">
        <f t="shared" si="10"/>
        <v>310</v>
      </c>
      <c r="AP166" s="110">
        <f t="shared" si="12"/>
        <v>7.9487179487179489</v>
      </c>
      <c r="AQ166" s="110">
        <f t="shared" si="11"/>
        <v>3.2443746729461015E-2</v>
      </c>
      <c r="AR166" s="108">
        <v>0</v>
      </c>
      <c r="AS166" s="108">
        <v>0</v>
      </c>
      <c r="AT166" s="108">
        <v>9555</v>
      </c>
    </row>
    <row r="167" spans="1:46" ht="13.5" thickBot="1" x14ac:dyDescent="0.25">
      <c r="A167" s="48" t="s">
        <v>408</v>
      </c>
      <c r="B167" s="47" t="s">
        <v>407</v>
      </c>
      <c r="C167" s="48" t="s">
        <v>25</v>
      </c>
      <c r="D167" s="48" t="s">
        <v>1649</v>
      </c>
      <c r="E167" s="48" t="s">
        <v>1649</v>
      </c>
      <c r="F167" s="108">
        <v>1</v>
      </c>
      <c r="G167" s="108">
        <v>41</v>
      </c>
      <c r="H167" s="108">
        <v>0</v>
      </c>
      <c r="I167" s="108">
        <v>0</v>
      </c>
      <c r="J167" s="108">
        <v>0</v>
      </c>
      <c r="K167" s="108">
        <v>0</v>
      </c>
      <c r="L167" s="108">
        <v>0</v>
      </c>
      <c r="M167" s="108">
        <v>0</v>
      </c>
      <c r="N167" s="109">
        <v>0</v>
      </c>
      <c r="O167" s="109">
        <v>0</v>
      </c>
      <c r="P167" s="109">
        <v>0</v>
      </c>
      <c r="Q167" s="108">
        <v>0</v>
      </c>
      <c r="R167" s="108">
        <v>0</v>
      </c>
      <c r="S167" s="108">
        <v>1</v>
      </c>
      <c r="T167" s="108">
        <v>41</v>
      </c>
      <c r="U167" s="109" t="s">
        <v>1649</v>
      </c>
      <c r="V167" s="108">
        <v>0</v>
      </c>
      <c r="W167" s="108">
        <v>0</v>
      </c>
      <c r="X167" s="108">
        <v>0</v>
      </c>
      <c r="Y167" s="108">
        <v>0</v>
      </c>
      <c r="Z167" s="108">
        <v>0</v>
      </c>
      <c r="AA167" s="108">
        <v>0</v>
      </c>
      <c r="AB167" s="108">
        <v>0</v>
      </c>
      <c r="AC167" s="108">
        <v>0</v>
      </c>
      <c r="AD167" s="108">
        <v>0</v>
      </c>
      <c r="AE167" s="108">
        <v>0</v>
      </c>
      <c r="AF167" s="108">
        <v>0</v>
      </c>
      <c r="AG167" s="108">
        <v>0</v>
      </c>
      <c r="AH167" s="108">
        <v>0</v>
      </c>
      <c r="AI167" s="108">
        <v>0</v>
      </c>
      <c r="AJ167" s="108">
        <v>0</v>
      </c>
      <c r="AK167" s="108">
        <v>0</v>
      </c>
      <c r="AL167" s="108">
        <v>1</v>
      </c>
      <c r="AM167" s="108">
        <v>41</v>
      </c>
      <c r="AN167" s="108">
        <f t="shared" si="9"/>
        <v>1</v>
      </c>
      <c r="AO167" s="108">
        <f t="shared" si="10"/>
        <v>41</v>
      </c>
      <c r="AP167" s="110">
        <f t="shared" si="12"/>
        <v>41</v>
      </c>
      <c r="AQ167" s="110">
        <f t="shared" si="11"/>
        <v>4.3008496800587435E-3</v>
      </c>
      <c r="AR167" s="108">
        <v>0</v>
      </c>
      <c r="AS167" s="108">
        <v>0</v>
      </c>
      <c r="AT167" s="108">
        <v>9533</v>
      </c>
    </row>
    <row r="168" spans="1:46" ht="13.5" thickBot="1" x14ac:dyDescent="0.25">
      <c r="A168" s="48" t="s">
        <v>446</v>
      </c>
      <c r="B168" s="47" t="s">
        <v>445</v>
      </c>
      <c r="C168" s="48" t="s">
        <v>25</v>
      </c>
      <c r="D168" s="48" t="s">
        <v>1649</v>
      </c>
      <c r="E168" s="48" t="s">
        <v>1649</v>
      </c>
      <c r="F168" s="108">
        <v>12</v>
      </c>
      <c r="G168" s="108">
        <v>539</v>
      </c>
      <c r="H168" s="108">
        <v>1</v>
      </c>
      <c r="I168" s="108">
        <v>12</v>
      </c>
      <c r="J168" s="108">
        <v>0</v>
      </c>
      <c r="K168" s="108">
        <v>0</v>
      </c>
      <c r="L168" s="108">
        <v>0</v>
      </c>
      <c r="M168" s="108">
        <v>0</v>
      </c>
      <c r="N168" s="108">
        <v>64</v>
      </c>
      <c r="O168" s="108">
        <v>0</v>
      </c>
      <c r="P168" s="108">
        <v>64</v>
      </c>
      <c r="Q168" s="108">
        <v>0</v>
      </c>
      <c r="R168" s="108">
        <v>0</v>
      </c>
      <c r="S168" s="108">
        <v>12</v>
      </c>
      <c r="T168" s="108">
        <v>539</v>
      </c>
      <c r="U168" s="109" t="s">
        <v>1648</v>
      </c>
      <c r="V168" s="108">
        <v>7</v>
      </c>
      <c r="W168" s="108">
        <v>270</v>
      </c>
      <c r="X168" s="108">
        <v>0</v>
      </c>
      <c r="Y168" s="108">
        <v>0</v>
      </c>
      <c r="Z168" s="108">
        <v>1</v>
      </c>
      <c r="AA168" s="108">
        <v>12</v>
      </c>
      <c r="AB168" s="108">
        <v>0</v>
      </c>
      <c r="AC168" s="108">
        <v>0</v>
      </c>
      <c r="AD168" s="108">
        <v>34</v>
      </c>
      <c r="AE168" s="108">
        <v>644</v>
      </c>
      <c r="AF168" s="108">
        <v>0</v>
      </c>
      <c r="AG168" s="108">
        <v>0</v>
      </c>
      <c r="AH168" s="108">
        <v>4</v>
      </c>
      <c r="AI168" s="108">
        <v>429</v>
      </c>
      <c r="AJ168" s="108">
        <v>0</v>
      </c>
      <c r="AK168" s="108">
        <v>0</v>
      </c>
      <c r="AL168" s="108">
        <v>51</v>
      </c>
      <c r="AM168" s="108">
        <v>1624</v>
      </c>
      <c r="AN168" s="108">
        <f t="shared" si="9"/>
        <v>51</v>
      </c>
      <c r="AO168" s="108">
        <f t="shared" si="10"/>
        <v>1624</v>
      </c>
      <c r="AP168" s="110">
        <f t="shared" si="12"/>
        <v>31.843137254901961</v>
      </c>
      <c r="AQ168" s="110">
        <f t="shared" si="11"/>
        <v>0.14022968655556514</v>
      </c>
      <c r="AR168" s="108">
        <v>0</v>
      </c>
      <c r="AS168" s="108">
        <v>0</v>
      </c>
      <c r="AT168" s="108">
        <v>11581</v>
      </c>
    </row>
    <row r="169" spans="1:46" ht="13.5" thickBot="1" x14ac:dyDescent="0.25">
      <c r="A169" s="48" t="s">
        <v>474</v>
      </c>
      <c r="B169" s="47" t="s">
        <v>473</v>
      </c>
      <c r="C169" s="48" t="s">
        <v>25</v>
      </c>
      <c r="D169" s="48" t="s">
        <v>1648</v>
      </c>
      <c r="E169" s="48" t="s">
        <v>1648</v>
      </c>
      <c r="F169" s="108">
        <v>15</v>
      </c>
      <c r="G169" s="108">
        <v>420</v>
      </c>
      <c r="H169" s="108">
        <v>4</v>
      </c>
      <c r="I169" s="108">
        <v>196</v>
      </c>
      <c r="J169" s="108">
        <v>6</v>
      </c>
      <c r="K169" s="108">
        <v>636</v>
      </c>
      <c r="L169" s="108">
        <v>1</v>
      </c>
      <c r="M169" s="108">
        <v>18</v>
      </c>
      <c r="N169" s="108">
        <v>15</v>
      </c>
      <c r="O169" s="108">
        <v>0</v>
      </c>
      <c r="P169" s="108">
        <v>15</v>
      </c>
      <c r="Q169" s="108">
        <v>6</v>
      </c>
      <c r="R169" s="108">
        <v>58</v>
      </c>
      <c r="S169" s="108">
        <v>21</v>
      </c>
      <c r="T169" s="108">
        <v>1056</v>
      </c>
      <c r="U169" s="109" t="s">
        <v>1648</v>
      </c>
      <c r="V169" s="108">
        <v>9</v>
      </c>
      <c r="W169" s="108">
        <v>120</v>
      </c>
      <c r="X169" s="108">
        <v>0</v>
      </c>
      <c r="Y169" s="108">
        <v>0</v>
      </c>
      <c r="Z169" s="108">
        <v>5</v>
      </c>
      <c r="AA169" s="108">
        <v>214</v>
      </c>
      <c r="AB169" s="108">
        <v>0</v>
      </c>
      <c r="AC169" s="108">
        <v>0</v>
      </c>
      <c r="AD169" s="108">
        <v>1</v>
      </c>
      <c r="AE169" s="108">
        <v>15</v>
      </c>
      <c r="AF169" s="108">
        <v>2</v>
      </c>
      <c r="AG169" s="108">
        <v>277</v>
      </c>
      <c r="AH169" s="108">
        <v>5</v>
      </c>
      <c r="AI169" s="108">
        <v>45</v>
      </c>
      <c r="AJ169" s="108">
        <v>8</v>
      </c>
      <c r="AK169" s="108">
        <v>335</v>
      </c>
      <c r="AL169" s="108">
        <v>32</v>
      </c>
      <c r="AM169" s="108">
        <v>1330</v>
      </c>
      <c r="AN169" s="108">
        <f t="shared" si="9"/>
        <v>40</v>
      </c>
      <c r="AO169" s="108">
        <f t="shared" si="10"/>
        <v>1665</v>
      </c>
      <c r="AP169" s="110">
        <f t="shared" si="12"/>
        <v>41.625</v>
      </c>
      <c r="AQ169" s="110">
        <f t="shared" si="11"/>
        <v>0.19954458293384467</v>
      </c>
      <c r="AR169" s="108">
        <v>0</v>
      </c>
      <c r="AS169" s="108">
        <v>0</v>
      </c>
      <c r="AT169" s="108">
        <v>8344</v>
      </c>
    </row>
    <row r="170" spans="1:46" ht="13.5" thickBot="1" x14ac:dyDescent="0.25">
      <c r="A170" s="48" t="s">
        <v>492</v>
      </c>
      <c r="B170" s="47" t="s">
        <v>491</v>
      </c>
      <c r="C170" s="48" t="s">
        <v>25</v>
      </c>
      <c r="D170" s="48" t="s">
        <v>1649</v>
      </c>
      <c r="E170" s="48" t="s">
        <v>1649</v>
      </c>
      <c r="F170" s="108">
        <v>29</v>
      </c>
      <c r="G170" s="108">
        <v>326</v>
      </c>
      <c r="H170" s="108">
        <v>0</v>
      </c>
      <c r="I170" s="108">
        <v>0</v>
      </c>
      <c r="J170" s="108">
        <v>0</v>
      </c>
      <c r="K170" s="108">
        <v>0</v>
      </c>
      <c r="L170" s="108">
        <v>0</v>
      </c>
      <c r="M170" s="108">
        <v>0</v>
      </c>
      <c r="N170" s="108">
        <v>0</v>
      </c>
      <c r="O170" s="108">
        <v>0</v>
      </c>
      <c r="P170" s="108">
        <v>0</v>
      </c>
      <c r="Q170" s="108">
        <v>0</v>
      </c>
      <c r="R170" s="108">
        <v>0</v>
      </c>
      <c r="S170" s="108">
        <v>29</v>
      </c>
      <c r="T170" s="108">
        <v>326</v>
      </c>
      <c r="U170" s="109" t="s">
        <v>1648</v>
      </c>
      <c r="V170" s="108">
        <v>17</v>
      </c>
      <c r="W170" s="108">
        <v>164</v>
      </c>
      <c r="X170" s="108">
        <v>0</v>
      </c>
      <c r="Y170" s="108">
        <v>0</v>
      </c>
      <c r="Z170" s="108">
        <v>0</v>
      </c>
      <c r="AA170" s="108">
        <v>0</v>
      </c>
      <c r="AB170" s="108">
        <v>0</v>
      </c>
      <c r="AC170" s="108">
        <v>0</v>
      </c>
      <c r="AD170" s="108">
        <v>7</v>
      </c>
      <c r="AE170" s="108">
        <v>65</v>
      </c>
      <c r="AF170" s="108">
        <v>0</v>
      </c>
      <c r="AG170" s="108">
        <v>0</v>
      </c>
      <c r="AH170" s="108">
        <v>0</v>
      </c>
      <c r="AI170" s="108">
        <v>0</v>
      </c>
      <c r="AJ170" s="108">
        <v>0</v>
      </c>
      <c r="AK170" s="108">
        <v>0</v>
      </c>
      <c r="AL170" s="108">
        <v>36</v>
      </c>
      <c r="AM170" s="108">
        <v>391</v>
      </c>
      <c r="AN170" s="108">
        <f t="shared" si="9"/>
        <v>36</v>
      </c>
      <c r="AO170" s="108">
        <f t="shared" si="10"/>
        <v>391</v>
      </c>
      <c r="AP170" s="110">
        <f t="shared" si="12"/>
        <v>10.861111111111111</v>
      </c>
      <c r="AQ170" s="110">
        <f t="shared" si="11"/>
        <v>3.6490900606626228E-2</v>
      </c>
      <c r="AR170" s="108">
        <v>0</v>
      </c>
      <c r="AS170" s="108">
        <v>0</v>
      </c>
      <c r="AT170" s="108">
        <v>10715</v>
      </c>
    </row>
    <row r="171" spans="1:46" ht="13.5" thickBot="1" x14ac:dyDescent="0.25">
      <c r="A171" s="48" t="s">
        <v>510</v>
      </c>
      <c r="B171" s="47" t="s">
        <v>509</v>
      </c>
      <c r="C171" s="48" t="s">
        <v>25</v>
      </c>
      <c r="D171" s="48" t="s">
        <v>1649</v>
      </c>
      <c r="E171" s="48" t="s">
        <v>1649</v>
      </c>
      <c r="F171" s="108">
        <v>267</v>
      </c>
      <c r="G171" s="108">
        <v>6122</v>
      </c>
      <c r="H171" s="108">
        <v>43</v>
      </c>
      <c r="I171" s="108">
        <v>1078</v>
      </c>
      <c r="J171" s="108">
        <v>13</v>
      </c>
      <c r="K171" s="108">
        <v>550</v>
      </c>
      <c r="L171" s="108">
        <v>13</v>
      </c>
      <c r="M171" s="108">
        <v>190</v>
      </c>
      <c r="N171" s="108">
        <v>177</v>
      </c>
      <c r="O171" s="108">
        <v>43</v>
      </c>
      <c r="P171" s="108">
        <v>220</v>
      </c>
      <c r="Q171" s="108">
        <v>0</v>
      </c>
      <c r="R171" s="108">
        <v>0</v>
      </c>
      <c r="S171" s="108">
        <v>280</v>
      </c>
      <c r="T171" s="108">
        <v>6672</v>
      </c>
      <c r="U171" s="109" t="s">
        <v>1648</v>
      </c>
      <c r="V171" s="108">
        <v>65</v>
      </c>
      <c r="W171" s="108">
        <v>711</v>
      </c>
      <c r="X171" s="108">
        <v>0</v>
      </c>
      <c r="Y171" s="108">
        <v>0</v>
      </c>
      <c r="Z171" s="108">
        <v>56</v>
      </c>
      <c r="AA171" s="108">
        <v>1268</v>
      </c>
      <c r="AB171" s="108">
        <v>0</v>
      </c>
      <c r="AC171" s="108">
        <v>0</v>
      </c>
      <c r="AD171" s="108">
        <v>63</v>
      </c>
      <c r="AE171" s="108">
        <v>1231</v>
      </c>
      <c r="AF171" s="108">
        <v>0</v>
      </c>
      <c r="AG171" s="108">
        <v>0</v>
      </c>
      <c r="AH171" s="108">
        <v>25</v>
      </c>
      <c r="AI171" s="108">
        <v>573</v>
      </c>
      <c r="AJ171" s="108">
        <v>0</v>
      </c>
      <c r="AK171" s="108">
        <v>0</v>
      </c>
      <c r="AL171" s="108">
        <v>424</v>
      </c>
      <c r="AM171" s="108">
        <v>9744</v>
      </c>
      <c r="AN171" s="108">
        <f t="shared" si="9"/>
        <v>424</v>
      </c>
      <c r="AO171" s="108">
        <f t="shared" si="10"/>
        <v>9744</v>
      </c>
      <c r="AP171" s="110">
        <f t="shared" si="12"/>
        <v>22.981132075471699</v>
      </c>
      <c r="AQ171" s="110">
        <f t="shared" si="11"/>
        <v>0.99784946236559136</v>
      </c>
      <c r="AR171" s="108">
        <v>0</v>
      </c>
      <c r="AS171" s="108">
        <v>0</v>
      </c>
      <c r="AT171" s="108">
        <v>9765</v>
      </c>
    </row>
    <row r="172" spans="1:46" ht="13.5" thickBot="1" x14ac:dyDescent="0.25">
      <c r="A172" s="48" t="s">
        <v>524</v>
      </c>
      <c r="B172" s="47" t="s">
        <v>523</v>
      </c>
      <c r="C172" s="48" t="s">
        <v>25</v>
      </c>
      <c r="D172" s="48" t="s">
        <v>1648</v>
      </c>
      <c r="E172" s="48" t="s">
        <v>1648</v>
      </c>
      <c r="F172" s="108">
        <v>65</v>
      </c>
      <c r="G172" s="108">
        <v>521</v>
      </c>
      <c r="H172" s="108">
        <v>11</v>
      </c>
      <c r="I172" s="108">
        <v>59</v>
      </c>
      <c r="J172" s="108">
        <v>14</v>
      </c>
      <c r="K172" s="108">
        <v>465</v>
      </c>
      <c r="L172" s="108">
        <v>2</v>
      </c>
      <c r="M172" s="108">
        <v>15</v>
      </c>
      <c r="N172" s="108">
        <v>127</v>
      </c>
      <c r="O172" s="108">
        <v>6</v>
      </c>
      <c r="P172" s="108">
        <v>133</v>
      </c>
      <c r="Q172" s="108">
        <v>53</v>
      </c>
      <c r="R172" s="108">
        <v>613</v>
      </c>
      <c r="S172" s="108">
        <v>79</v>
      </c>
      <c r="T172" s="108">
        <v>986</v>
      </c>
      <c r="U172" s="109" t="s">
        <v>1648</v>
      </c>
      <c r="V172" s="108">
        <v>18</v>
      </c>
      <c r="W172" s="108">
        <v>48</v>
      </c>
      <c r="X172" s="108">
        <v>25</v>
      </c>
      <c r="Y172" s="108">
        <v>147</v>
      </c>
      <c r="Z172" s="108">
        <v>13</v>
      </c>
      <c r="AA172" s="108">
        <v>74</v>
      </c>
      <c r="AB172" s="108">
        <v>1</v>
      </c>
      <c r="AC172" s="108">
        <v>29</v>
      </c>
      <c r="AD172" s="108">
        <v>93</v>
      </c>
      <c r="AE172" s="108">
        <v>446</v>
      </c>
      <c r="AF172" s="108">
        <v>1</v>
      </c>
      <c r="AG172" s="108">
        <v>238</v>
      </c>
      <c r="AH172" s="108">
        <v>6</v>
      </c>
      <c r="AI172" s="108">
        <v>108</v>
      </c>
      <c r="AJ172" s="108">
        <v>80</v>
      </c>
      <c r="AK172" s="108">
        <v>1027</v>
      </c>
      <c r="AL172" s="108">
        <v>191</v>
      </c>
      <c r="AM172" s="108">
        <v>1614</v>
      </c>
      <c r="AN172" s="108">
        <f t="shared" si="9"/>
        <v>271</v>
      </c>
      <c r="AO172" s="108">
        <f t="shared" si="10"/>
        <v>2641</v>
      </c>
      <c r="AP172" s="110">
        <f t="shared" si="12"/>
        <v>9.7453874538745389</v>
      </c>
      <c r="AQ172" s="110">
        <f t="shared" si="11"/>
        <v>0.34495820271682343</v>
      </c>
      <c r="AR172" s="108">
        <v>0</v>
      </c>
      <c r="AS172" s="108">
        <v>0</v>
      </c>
      <c r="AT172" s="108">
        <v>7656</v>
      </c>
    </row>
    <row r="173" spans="1:46" ht="13.5" thickBot="1" x14ac:dyDescent="0.25">
      <c r="A173" s="48" t="s">
        <v>554</v>
      </c>
      <c r="B173" s="47" t="s">
        <v>553</v>
      </c>
      <c r="C173" s="48" t="s">
        <v>25</v>
      </c>
      <c r="D173" s="48" t="s">
        <v>1649</v>
      </c>
      <c r="E173" s="48" t="s">
        <v>1649</v>
      </c>
      <c r="F173" s="108">
        <v>35</v>
      </c>
      <c r="G173" s="108">
        <v>231</v>
      </c>
      <c r="H173" s="108">
        <v>0</v>
      </c>
      <c r="I173" s="108">
        <v>0</v>
      </c>
      <c r="J173" s="108">
        <v>5</v>
      </c>
      <c r="K173" s="108">
        <v>191</v>
      </c>
      <c r="L173" s="108">
        <v>0</v>
      </c>
      <c r="M173" s="108">
        <v>0</v>
      </c>
      <c r="N173" s="108">
        <v>22</v>
      </c>
      <c r="O173" s="108">
        <v>0</v>
      </c>
      <c r="P173" s="108">
        <v>22</v>
      </c>
      <c r="Q173" s="108">
        <v>1</v>
      </c>
      <c r="R173" s="108">
        <v>7</v>
      </c>
      <c r="S173" s="108">
        <v>40</v>
      </c>
      <c r="T173" s="108">
        <v>422</v>
      </c>
      <c r="U173" s="109" t="s">
        <v>1649</v>
      </c>
      <c r="V173" s="108">
        <v>0</v>
      </c>
      <c r="W173" s="108">
        <v>0</v>
      </c>
      <c r="X173" s="108">
        <v>0</v>
      </c>
      <c r="Y173" s="108">
        <v>0</v>
      </c>
      <c r="Z173" s="108">
        <v>0</v>
      </c>
      <c r="AA173" s="108">
        <v>0</v>
      </c>
      <c r="AB173" s="108">
        <v>0</v>
      </c>
      <c r="AC173" s="108">
        <v>0</v>
      </c>
      <c r="AD173" s="108">
        <v>32</v>
      </c>
      <c r="AE173" s="108">
        <v>212</v>
      </c>
      <c r="AF173" s="108">
        <v>0</v>
      </c>
      <c r="AG173" s="108">
        <v>0</v>
      </c>
      <c r="AH173" s="108">
        <v>0</v>
      </c>
      <c r="AI173" s="108">
        <v>0</v>
      </c>
      <c r="AJ173" s="108">
        <v>1</v>
      </c>
      <c r="AK173" s="108">
        <v>7</v>
      </c>
      <c r="AL173" s="108">
        <v>72</v>
      </c>
      <c r="AM173" s="108">
        <v>634</v>
      </c>
      <c r="AN173" s="108">
        <f t="shared" si="9"/>
        <v>73</v>
      </c>
      <c r="AO173" s="108">
        <f t="shared" si="10"/>
        <v>641</v>
      </c>
      <c r="AP173" s="110">
        <f t="shared" si="12"/>
        <v>8.7808219178082183</v>
      </c>
      <c r="AQ173" s="110">
        <f t="shared" si="11"/>
        <v>7.418981481481482E-2</v>
      </c>
      <c r="AR173" s="108">
        <v>0</v>
      </c>
      <c r="AS173" s="108">
        <v>0</v>
      </c>
      <c r="AT173" s="108">
        <v>8640</v>
      </c>
    </row>
    <row r="174" spans="1:46" ht="13.5" thickBot="1" x14ac:dyDescent="0.25">
      <c r="A174" s="48" t="s">
        <v>568</v>
      </c>
      <c r="B174" s="47" t="s">
        <v>567</v>
      </c>
      <c r="C174" s="48" t="s">
        <v>25</v>
      </c>
      <c r="D174" s="48" t="s">
        <v>1649</v>
      </c>
      <c r="E174" s="48" t="s">
        <v>1649</v>
      </c>
      <c r="F174" s="108">
        <v>83</v>
      </c>
      <c r="G174" s="108">
        <v>984</v>
      </c>
      <c r="H174" s="108">
        <v>3</v>
      </c>
      <c r="I174" s="108">
        <v>18</v>
      </c>
      <c r="J174" s="108">
        <v>38</v>
      </c>
      <c r="K174" s="108">
        <v>921</v>
      </c>
      <c r="L174" s="108">
        <v>3</v>
      </c>
      <c r="M174" s="108">
        <v>231</v>
      </c>
      <c r="N174" s="108">
        <v>988</v>
      </c>
      <c r="O174" s="108">
        <v>216</v>
      </c>
      <c r="P174" s="108">
        <v>1204</v>
      </c>
      <c r="Q174" s="108">
        <v>0</v>
      </c>
      <c r="R174" s="108">
        <v>0</v>
      </c>
      <c r="S174" s="108">
        <v>121</v>
      </c>
      <c r="T174" s="108">
        <v>1905</v>
      </c>
      <c r="U174" s="109" t="s">
        <v>1648</v>
      </c>
      <c r="V174" s="108">
        <v>90</v>
      </c>
      <c r="W174" s="108">
        <v>1098</v>
      </c>
      <c r="X174" s="108">
        <v>0</v>
      </c>
      <c r="Y174" s="108">
        <v>0</v>
      </c>
      <c r="Z174" s="108">
        <v>6</v>
      </c>
      <c r="AA174" s="108">
        <v>249</v>
      </c>
      <c r="AB174" s="108">
        <v>0</v>
      </c>
      <c r="AC174" s="108">
        <v>0</v>
      </c>
      <c r="AD174" s="108">
        <v>7</v>
      </c>
      <c r="AE174" s="108">
        <v>26</v>
      </c>
      <c r="AF174" s="108">
        <v>0</v>
      </c>
      <c r="AG174" s="108">
        <v>0</v>
      </c>
      <c r="AH174" s="108">
        <v>0</v>
      </c>
      <c r="AI174" s="108">
        <v>0</v>
      </c>
      <c r="AJ174" s="108">
        <v>0</v>
      </c>
      <c r="AK174" s="108">
        <v>0</v>
      </c>
      <c r="AL174" s="108">
        <v>134</v>
      </c>
      <c r="AM174" s="108">
        <v>2180</v>
      </c>
      <c r="AN174" s="108">
        <f t="shared" si="9"/>
        <v>134</v>
      </c>
      <c r="AO174" s="108">
        <f t="shared" si="10"/>
        <v>2180</v>
      </c>
      <c r="AP174" s="110">
        <f t="shared" si="12"/>
        <v>16.268656716417912</v>
      </c>
      <c r="AQ174" s="110">
        <f t="shared" si="11"/>
        <v>0.30992323002558997</v>
      </c>
      <c r="AR174" s="108">
        <v>0</v>
      </c>
      <c r="AS174" s="108">
        <v>0</v>
      </c>
      <c r="AT174" s="108">
        <v>7034</v>
      </c>
    </row>
    <row r="175" spans="1:46" ht="13.5" thickBot="1" x14ac:dyDescent="0.25">
      <c r="A175" s="48" t="s">
        <v>634</v>
      </c>
      <c r="B175" s="47" t="s">
        <v>633</v>
      </c>
      <c r="C175" s="48" t="s">
        <v>25</v>
      </c>
      <c r="D175" s="48" t="s">
        <v>1649</v>
      </c>
      <c r="E175" s="48" t="s">
        <v>1649</v>
      </c>
      <c r="F175" s="108">
        <v>29</v>
      </c>
      <c r="G175" s="108">
        <v>431</v>
      </c>
      <c r="H175" s="108">
        <v>0</v>
      </c>
      <c r="I175" s="108">
        <v>0</v>
      </c>
      <c r="J175" s="108">
        <v>12</v>
      </c>
      <c r="K175" s="108">
        <v>163</v>
      </c>
      <c r="L175" s="108">
        <v>1</v>
      </c>
      <c r="M175" s="108">
        <v>6</v>
      </c>
      <c r="N175" s="108">
        <v>54</v>
      </c>
      <c r="O175" s="108">
        <v>7</v>
      </c>
      <c r="P175" s="108">
        <v>61</v>
      </c>
      <c r="Q175" s="108">
        <v>0</v>
      </c>
      <c r="R175" s="108">
        <v>0</v>
      </c>
      <c r="S175" s="108">
        <v>41</v>
      </c>
      <c r="T175" s="108">
        <v>594</v>
      </c>
      <c r="U175" s="109" t="s">
        <v>1648</v>
      </c>
      <c r="V175" s="108">
        <v>16</v>
      </c>
      <c r="W175" s="108">
        <v>139</v>
      </c>
      <c r="X175" s="109">
        <v>0</v>
      </c>
      <c r="Y175" s="108">
        <v>0</v>
      </c>
      <c r="Z175" s="108">
        <v>1</v>
      </c>
      <c r="AA175" s="108">
        <v>6</v>
      </c>
      <c r="AB175" s="108">
        <v>0</v>
      </c>
      <c r="AC175" s="108">
        <v>0</v>
      </c>
      <c r="AD175" s="108">
        <v>9</v>
      </c>
      <c r="AE175" s="108">
        <v>49</v>
      </c>
      <c r="AF175" s="108">
        <v>0</v>
      </c>
      <c r="AG175" s="108">
        <v>0</v>
      </c>
      <c r="AH175" s="109">
        <v>0</v>
      </c>
      <c r="AI175" s="109">
        <v>0</v>
      </c>
      <c r="AJ175" s="108">
        <v>0</v>
      </c>
      <c r="AK175" s="108">
        <v>0</v>
      </c>
      <c r="AL175" s="108">
        <v>51</v>
      </c>
      <c r="AM175" s="108">
        <v>649</v>
      </c>
      <c r="AN175" s="108">
        <f t="shared" si="9"/>
        <v>51</v>
      </c>
      <c r="AO175" s="108">
        <f t="shared" si="10"/>
        <v>649</v>
      </c>
      <c r="AP175" s="110">
        <f t="shared" si="12"/>
        <v>12.725490196078431</v>
      </c>
      <c r="AQ175" s="110">
        <f t="shared" si="11"/>
        <v>8.2120713653043145E-2</v>
      </c>
      <c r="AR175" s="108">
        <v>0</v>
      </c>
      <c r="AS175" s="108">
        <v>0</v>
      </c>
      <c r="AT175" s="108">
        <v>7903</v>
      </c>
    </row>
    <row r="176" spans="1:46" ht="13.5" thickBot="1" x14ac:dyDescent="0.25">
      <c r="A176" s="48" t="s">
        <v>650</v>
      </c>
      <c r="B176" s="47" t="s">
        <v>649</v>
      </c>
      <c r="C176" s="48" t="s">
        <v>25</v>
      </c>
      <c r="D176" s="48" t="s">
        <v>1648</v>
      </c>
      <c r="E176" s="48" t="s">
        <v>1649</v>
      </c>
      <c r="F176" s="108">
        <v>87</v>
      </c>
      <c r="G176" s="108">
        <v>2725</v>
      </c>
      <c r="H176" s="108">
        <v>13</v>
      </c>
      <c r="I176" s="108">
        <v>270</v>
      </c>
      <c r="J176" s="108">
        <v>16</v>
      </c>
      <c r="K176" s="108">
        <v>1065</v>
      </c>
      <c r="L176" s="108">
        <v>7</v>
      </c>
      <c r="M176" s="108">
        <v>46</v>
      </c>
      <c r="N176" s="108">
        <v>91</v>
      </c>
      <c r="O176" s="108">
        <v>25</v>
      </c>
      <c r="P176" s="108">
        <v>116</v>
      </c>
      <c r="Q176" s="108">
        <v>2</v>
      </c>
      <c r="R176" s="108">
        <v>0</v>
      </c>
      <c r="S176" s="108">
        <v>103</v>
      </c>
      <c r="T176" s="108">
        <v>3790</v>
      </c>
      <c r="U176" s="109" t="s">
        <v>1648</v>
      </c>
      <c r="V176" s="108">
        <v>61</v>
      </c>
      <c r="W176" s="108">
        <v>1419</v>
      </c>
      <c r="X176" s="108">
        <v>1</v>
      </c>
      <c r="Y176" s="108">
        <v>0</v>
      </c>
      <c r="Z176" s="108">
        <v>20</v>
      </c>
      <c r="AA176" s="108">
        <v>316</v>
      </c>
      <c r="AB176" s="108">
        <v>1</v>
      </c>
      <c r="AC176" s="108">
        <v>4</v>
      </c>
      <c r="AD176" s="108">
        <v>35</v>
      </c>
      <c r="AE176" s="108">
        <v>390</v>
      </c>
      <c r="AF176" s="108">
        <v>0</v>
      </c>
      <c r="AG176" s="108">
        <v>0</v>
      </c>
      <c r="AH176" s="108">
        <v>0</v>
      </c>
      <c r="AI176" s="108">
        <v>0</v>
      </c>
      <c r="AJ176" s="108">
        <v>4</v>
      </c>
      <c r="AK176" s="108">
        <v>4</v>
      </c>
      <c r="AL176" s="108">
        <v>158</v>
      </c>
      <c r="AM176" s="108">
        <v>4496</v>
      </c>
      <c r="AN176" s="108">
        <f t="shared" si="9"/>
        <v>162</v>
      </c>
      <c r="AO176" s="108">
        <f t="shared" si="10"/>
        <v>4500</v>
      </c>
      <c r="AP176" s="110">
        <f t="shared" si="12"/>
        <v>27.777777777777779</v>
      </c>
      <c r="AQ176" s="110">
        <f t="shared" si="11"/>
        <v>0.39198606271777003</v>
      </c>
      <c r="AR176" s="108">
        <v>0</v>
      </c>
      <c r="AS176" s="108">
        <v>0</v>
      </c>
      <c r="AT176" s="108">
        <v>11480</v>
      </c>
    </row>
    <row r="177" spans="1:46" ht="13.5" thickBot="1" x14ac:dyDescent="0.25">
      <c r="A177" s="48" t="s">
        <v>660</v>
      </c>
      <c r="B177" s="47" t="s">
        <v>659</v>
      </c>
      <c r="C177" s="48" t="s">
        <v>25</v>
      </c>
      <c r="D177" s="48" t="s">
        <v>1649</v>
      </c>
      <c r="E177" s="48" t="s">
        <v>1649</v>
      </c>
      <c r="F177" s="108">
        <v>34</v>
      </c>
      <c r="G177" s="108">
        <v>622</v>
      </c>
      <c r="H177" s="108">
        <v>0</v>
      </c>
      <c r="I177" s="108">
        <v>0</v>
      </c>
      <c r="J177" s="108">
        <v>7</v>
      </c>
      <c r="K177" s="108">
        <v>409</v>
      </c>
      <c r="L177" s="108">
        <v>2</v>
      </c>
      <c r="M177" s="108">
        <v>22</v>
      </c>
      <c r="N177" s="108">
        <v>153</v>
      </c>
      <c r="O177" s="108">
        <v>48</v>
      </c>
      <c r="P177" s="108">
        <v>201</v>
      </c>
      <c r="Q177" s="108">
        <v>0</v>
      </c>
      <c r="R177" s="108">
        <v>0</v>
      </c>
      <c r="S177" s="108">
        <v>41</v>
      </c>
      <c r="T177" s="108">
        <v>1031</v>
      </c>
      <c r="U177" s="109" t="s">
        <v>1648</v>
      </c>
      <c r="V177" s="108">
        <v>25</v>
      </c>
      <c r="W177" s="108">
        <v>513</v>
      </c>
      <c r="X177" s="108">
        <v>0</v>
      </c>
      <c r="Y177" s="108">
        <v>0</v>
      </c>
      <c r="Z177" s="108">
        <v>2</v>
      </c>
      <c r="AA177" s="108">
        <v>22</v>
      </c>
      <c r="AB177" s="108">
        <v>0</v>
      </c>
      <c r="AC177" s="108">
        <v>0</v>
      </c>
      <c r="AD177" s="108">
        <v>81</v>
      </c>
      <c r="AE177" s="108">
        <v>305</v>
      </c>
      <c r="AF177" s="108">
        <v>0</v>
      </c>
      <c r="AG177" s="108">
        <v>0</v>
      </c>
      <c r="AH177" s="108">
        <v>2</v>
      </c>
      <c r="AI177" s="108">
        <v>13</v>
      </c>
      <c r="AJ177" s="108">
        <v>0</v>
      </c>
      <c r="AK177" s="108">
        <v>0</v>
      </c>
      <c r="AL177" s="108">
        <v>126</v>
      </c>
      <c r="AM177" s="108">
        <v>1371</v>
      </c>
      <c r="AN177" s="108">
        <f t="shared" si="9"/>
        <v>126</v>
      </c>
      <c r="AO177" s="108">
        <f t="shared" si="10"/>
        <v>1371</v>
      </c>
      <c r="AP177" s="110">
        <f t="shared" si="12"/>
        <v>10.880952380952381</v>
      </c>
      <c r="AQ177" s="110">
        <f t="shared" si="11"/>
        <v>0.18635313307054505</v>
      </c>
      <c r="AR177" s="108">
        <v>0</v>
      </c>
      <c r="AS177" s="108">
        <v>0</v>
      </c>
      <c r="AT177" s="108">
        <v>7357</v>
      </c>
    </row>
    <row r="178" spans="1:46" ht="13.5" thickBot="1" x14ac:dyDescent="0.25">
      <c r="A178" s="48" t="s">
        <v>666</v>
      </c>
      <c r="B178" s="47" t="s">
        <v>665</v>
      </c>
      <c r="C178" s="48" t="s">
        <v>25</v>
      </c>
      <c r="D178" s="48" t="s">
        <v>1649</v>
      </c>
      <c r="E178" s="48" t="s">
        <v>1649</v>
      </c>
      <c r="F178" s="108">
        <v>8</v>
      </c>
      <c r="G178" s="108">
        <v>500</v>
      </c>
      <c r="H178" s="108">
        <v>4</v>
      </c>
      <c r="I178" s="108">
        <v>100</v>
      </c>
      <c r="J178" s="108">
        <v>10</v>
      </c>
      <c r="K178" s="108">
        <v>500</v>
      </c>
      <c r="L178" s="108">
        <v>5</v>
      </c>
      <c r="M178" s="108">
        <v>75</v>
      </c>
      <c r="N178" s="108">
        <v>200</v>
      </c>
      <c r="O178" s="108">
        <v>75</v>
      </c>
      <c r="P178" s="108">
        <v>275</v>
      </c>
      <c r="Q178" s="108">
        <v>0</v>
      </c>
      <c r="R178" s="108">
        <v>0</v>
      </c>
      <c r="S178" s="108">
        <v>18</v>
      </c>
      <c r="T178" s="108">
        <v>1000</v>
      </c>
      <c r="U178" s="109" t="s">
        <v>1648</v>
      </c>
      <c r="V178" s="108">
        <v>10</v>
      </c>
      <c r="W178" s="108">
        <v>250</v>
      </c>
      <c r="X178" s="108">
        <v>0</v>
      </c>
      <c r="Y178" s="108">
        <v>0</v>
      </c>
      <c r="Z178" s="108">
        <v>9</v>
      </c>
      <c r="AA178" s="108">
        <v>175</v>
      </c>
      <c r="AB178" s="108">
        <v>0</v>
      </c>
      <c r="AC178" s="108">
        <v>0</v>
      </c>
      <c r="AD178" s="108">
        <v>12</v>
      </c>
      <c r="AE178" s="108">
        <v>240</v>
      </c>
      <c r="AF178" s="108">
        <v>0</v>
      </c>
      <c r="AG178" s="108">
        <v>0</v>
      </c>
      <c r="AH178" s="108">
        <v>0</v>
      </c>
      <c r="AI178" s="108">
        <v>0</v>
      </c>
      <c r="AJ178" s="108">
        <v>0</v>
      </c>
      <c r="AK178" s="108">
        <v>0</v>
      </c>
      <c r="AL178" s="108">
        <v>39</v>
      </c>
      <c r="AM178" s="108">
        <v>1415</v>
      </c>
      <c r="AN178" s="108">
        <f t="shared" si="9"/>
        <v>39</v>
      </c>
      <c r="AO178" s="108">
        <f t="shared" si="10"/>
        <v>1415</v>
      </c>
      <c r="AP178" s="110">
        <f t="shared" si="12"/>
        <v>36.282051282051285</v>
      </c>
      <c r="AQ178" s="110">
        <f t="shared" si="11"/>
        <v>0.19921160073208505</v>
      </c>
      <c r="AR178" s="108">
        <v>0</v>
      </c>
      <c r="AS178" s="108">
        <v>0</v>
      </c>
      <c r="AT178" s="108">
        <v>7103</v>
      </c>
    </row>
    <row r="179" spans="1:46" ht="13.5" thickBot="1" x14ac:dyDescent="0.25">
      <c r="A179" s="48" t="s">
        <v>682</v>
      </c>
      <c r="B179" s="47" t="s">
        <v>681</v>
      </c>
      <c r="C179" s="48" t="s">
        <v>25</v>
      </c>
      <c r="D179" s="48" t="s">
        <v>1648</v>
      </c>
      <c r="E179" s="48" t="s">
        <v>1648</v>
      </c>
      <c r="F179" s="108">
        <v>19</v>
      </c>
      <c r="G179" s="108">
        <v>152</v>
      </c>
      <c r="H179" s="108">
        <v>9</v>
      </c>
      <c r="I179" s="108">
        <v>15</v>
      </c>
      <c r="J179" s="108">
        <v>5</v>
      </c>
      <c r="K179" s="108">
        <v>285</v>
      </c>
      <c r="L179" s="108">
        <v>2</v>
      </c>
      <c r="M179" s="108">
        <v>2</v>
      </c>
      <c r="N179" s="108">
        <v>105</v>
      </c>
      <c r="O179" s="108">
        <v>0</v>
      </c>
      <c r="P179" s="108">
        <v>105</v>
      </c>
      <c r="Q179" s="108">
        <v>15</v>
      </c>
      <c r="R179" s="108">
        <v>0</v>
      </c>
      <c r="S179" s="108">
        <v>24</v>
      </c>
      <c r="T179" s="108">
        <v>437</v>
      </c>
      <c r="U179" s="109" t="s">
        <v>1648</v>
      </c>
      <c r="V179" s="108">
        <v>19</v>
      </c>
      <c r="W179" s="108">
        <v>152</v>
      </c>
      <c r="X179" s="108">
        <v>0</v>
      </c>
      <c r="Y179" s="108">
        <v>0</v>
      </c>
      <c r="Z179" s="108">
        <v>11</v>
      </c>
      <c r="AA179" s="108">
        <v>17</v>
      </c>
      <c r="AB179" s="108">
        <v>0</v>
      </c>
      <c r="AC179" s="108">
        <v>0</v>
      </c>
      <c r="AD179" s="108">
        <v>9</v>
      </c>
      <c r="AE179" s="108">
        <v>89</v>
      </c>
      <c r="AF179" s="108">
        <v>0</v>
      </c>
      <c r="AG179" s="108">
        <v>0</v>
      </c>
      <c r="AH179" s="108">
        <v>0</v>
      </c>
      <c r="AI179" s="108">
        <v>0</v>
      </c>
      <c r="AJ179" s="108">
        <v>15</v>
      </c>
      <c r="AK179" s="108">
        <v>0</v>
      </c>
      <c r="AL179" s="108">
        <v>44</v>
      </c>
      <c r="AM179" s="108">
        <v>543</v>
      </c>
      <c r="AN179" s="108">
        <f t="shared" si="9"/>
        <v>59</v>
      </c>
      <c r="AO179" s="108">
        <f t="shared" si="10"/>
        <v>543</v>
      </c>
      <c r="AP179" s="110">
        <f t="shared" si="12"/>
        <v>9.203389830508474</v>
      </c>
      <c r="AQ179" s="110">
        <f t="shared" si="11"/>
        <v>4.772787202250154E-2</v>
      </c>
      <c r="AR179" s="108">
        <v>0</v>
      </c>
      <c r="AS179" s="108">
        <v>0</v>
      </c>
      <c r="AT179" s="108">
        <v>11377</v>
      </c>
    </row>
    <row r="180" spans="1:46" ht="13.5" thickBot="1" x14ac:dyDescent="0.25">
      <c r="A180" s="48" t="s">
        <v>694</v>
      </c>
      <c r="B180" s="47" t="s">
        <v>693</v>
      </c>
      <c r="C180" s="48" t="s">
        <v>25</v>
      </c>
      <c r="D180" s="48" t="s">
        <v>1649</v>
      </c>
      <c r="E180" s="48" t="s">
        <v>1649</v>
      </c>
      <c r="F180" s="108">
        <v>36</v>
      </c>
      <c r="G180" s="108">
        <v>854</v>
      </c>
      <c r="H180" s="108">
        <v>5</v>
      </c>
      <c r="I180" s="108">
        <v>34</v>
      </c>
      <c r="J180" s="108">
        <v>5</v>
      </c>
      <c r="K180" s="108">
        <v>188</v>
      </c>
      <c r="L180" s="108">
        <v>4</v>
      </c>
      <c r="M180" s="108">
        <v>38</v>
      </c>
      <c r="N180" s="108">
        <v>127</v>
      </c>
      <c r="O180" s="108">
        <v>7</v>
      </c>
      <c r="P180" s="108">
        <v>134</v>
      </c>
      <c r="Q180" s="108">
        <v>0</v>
      </c>
      <c r="R180" s="108">
        <v>0</v>
      </c>
      <c r="S180" s="108">
        <v>41</v>
      </c>
      <c r="T180" s="108">
        <v>1042</v>
      </c>
      <c r="U180" s="109" t="s">
        <v>1648</v>
      </c>
      <c r="V180" s="108">
        <v>17</v>
      </c>
      <c r="W180" s="108">
        <v>543</v>
      </c>
      <c r="X180" s="108">
        <v>0</v>
      </c>
      <c r="Y180" s="108">
        <v>0</v>
      </c>
      <c r="Z180" s="108">
        <v>9</v>
      </c>
      <c r="AA180" s="108">
        <v>72</v>
      </c>
      <c r="AB180" s="108">
        <v>0</v>
      </c>
      <c r="AC180" s="108">
        <v>0</v>
      </c>
      <c r="AD180" s="108">
        <v>2</v>
      </c>
      <c r="AE180" s="108">
        <v>59</v>
      </c>
      <c r="AF180" s="108">
        <v>0</v>
      </c>
      <c r="AG180" s="108">
        <v>0</v>
      </c>
      <c r="AH180" s="108">
        <v>11</v>
      </c>
      <c r="AI180" s="108">
        <v>270</v>
      </c>
      <c r="AJ180" s="108">
        <v>0</v>
      </c>
      <c r="AK180" s="108">
        <v>0</v>
      </c>
      <c r="AL180" s="108">
        <v>63</v>
      </c>
      <c r="AM180" s="108">
        <v>1443</v>
      </c>
      <c r="AN180" s="108">
        <f t="shared" si="9"/>
        <v>63</v>
      </c>
      <c r="AO180" s="108">
        <f t="shared" si="10"/>
        <v>1443</v>
      </c>
      <c r="AP180" s="110">
        <f t="shared" si="12"/>
        <v>22.904761904761905</v>
      </c>
      <c r="AQ180" s="110">
        <f t="shared" si="11"/>
        <v>0.17207250178869543</v>
      </c>
      <c r="AR180" s="108">
        <v>0</v>
      </c>
      <c r="AS180" s="108">
        <v>0</v>
      </c>
      <c r="AT180" s="108">
        <v>8386</v>
      </c>
    </row>
    <row r="181" spans="1:46" ht="13.5" thickBot="1" x14ac:dyDescent="0.25">
      <c r="A181" s="48" t="s">
        <v>718</v>
      </c>
      <c r="B181" s="47" t="s">
        <v>717</v>
      </c>
      <c r="C181" s="48" t="s">
        <v>25</v>
      </c>
      <c r="D181" s="48" t="s">
        <v>1649</v>
      </c>
      <c r="E181" s="48" t="s">
        <v>1649</v>
      </c>
      <c r="F181" s="108">
        <v>1</v>
      </c>
      <c r="G181" s="108">
        <v>832</v>
      </c>
      <c r="H181" s="108">
        <v>0</v>
      </c>
      <c r="I181" s="108">
        <v>0</v>
      </c>
      <c r="J181" s="108">
        <v>0</v>
      </c>
      <c r="K181" s="108">
        <v>0</v>
      </c>
      <c r="L181" s="108">
        <v>0</v>
      </c>
      <c r="M181" s="108">
        <v>0</v>
      </c>
      <c r="N181" s="108">
        <v>0</v>
      </c>
      <c r="O181" s="108">
        <v>0</v>
      </c>
      <c r="P181" s="108">
        <v>0</v>
      </c>
      <c r="Q181" s="108">
        <v>0</v>
      </c>
      <c r="R181" s="108">
        <v>0</v>
      </c>
      <c r="S181" s="108">
        <v>1</v>
      </c>
      <c r="T181" s="108">
        <v>832</v>
      </c>
      <c r="U181" s="109" t="s">
        <v>1649</v>
      </c>
      <c r="V181" s="108">
        <v>0</v>
      </c>
      <c r="W181" s="108">
        <v>0</v>
      </c>
      <c r="X181" s="108">
        <v>0</v>
      </c>
      <c r="Y181" s="108">
        <v>0</v>
      </c>
      <c r="Z181" s="108">
        <v>0</v>
      </c>
      <c r="AA181" s="108">
        <v>0</v>
      </c>
      <c r="AB181" s="108">
        <v>0</v>
      </c>
      <c r="AC181" s="108">
        <v>0</v>
      </c>
      <c r="AD181" s="108">
        <v>0</v>
      </c>
      <c r="AE181" s="108">
        <v>0</v>
      </c>
      <c r="AF181" s="108">
        <v>0</v>
      </c>
      <c r="AG181" s="108">
        <v>0</v>
      </c>
      <c r="AH181" s="108">
        <v>0</v>
      </c>
      <c r="AI181" s="108">
        <v>0</v>
      </c>
      <c r="AJ181" s="108">
        <v>0</v>
      </c>
      <c r="AK181" s="108">
        <v>0</v>
      </c>
      <c r="AL181" s="108">
        <v>1</v>
      </c>
      <c r="AM181" s="108">
        <v>832</v>
      </c>
      <c r="AN181" s="108">
        <f t="shared" si="9"/>
        <v>1</v>
      </c>
      <c r="AO181" s="108">
        <f t="shared" si="10"/>
        <v>832</v>
      </c>
      <c r="AP181" s="110">
        <f t="shared" si="12"/>
        <v>832</v>
      </c>
      <c r="AQ181" s="110">
        <f t="shared" si="11"/>
        <v>8.9452747016449841E-2</v>
      </c>
      <c r="AR181" s="108">
        <v>0</v>
      </c>
      <c r="AS181" s="108">
        <v>0</v>
      </c>
      <c r="AT181" s="108">
        <v>9301</v>
      </c>
    </row>
    <row r="182" spans="1:46" ht="13.5" thickBot="1" x14ac:dyDescent="0.25">
      <c r="A182" s="48" t="s">
        <v>722</v>
      </c>
      <c r="B182" s="47" t="s">
        <v>721</v>
      </c>
      <c r="C182" s="48" t="s">
        <v>25</v>
      </c>
      <c r="D182" s="48" t="s">
        <v>1649</v>
      </c>
      <c r="E182" s="48" t="s">
        <v>1649</v>
      </c>
      <c r="F182" s="108">
        <v>35</v>
      </c>
      <c r="G182" s="108">
        <v>469</v>
      </c>
      <c r="H182" s="108">
        <v>21</v>
      </c>
      <c r="I182" s="108">
        <v>216</v>
      </c>
      <c r="J182" s="108">
        <v>17</v>
      </c>
      <c r="K182" s="108">
        <v>231</v>
      </c>
      <c r="L182" s="108">
        <v>18</v>
      </c>
      <c r="M182" s="108">
        <v>32</v>
      </c>
      <c r="N182" s="108">
        <v>63</v>
      </c>
      <c r="O182" s="108">
        <v>22</v>
      </c>
      <c r="P182" s="108">
        <v>85</v>
      </c>
      <c r="Q182" s="108">
        <v>0</v>
      </c>
      <c r="R182" s="108">
        <v>0</v>
      </c>
      <c r="S182" s="108">
        <v>52</v>
      </c>
      <c r="T182" s="108">
        <v>700</v>
      </c>
      <c r="U182" s="109" t="s">
        <v>1648</v>
      </c>
      <c r="V182" s="108">
        <v>23</v>
      </c>
      <c r="W182" s="108">
        <v>159</v>
      </c>
      <c r="X182" s="108">
        <v>0</v>
      </c>
      <c r="Y182" s="108">
        <v>0</v>
      </c>
      <c r="Z182" s="108">
        <v>39</v>
      </c>
      <c r="AA182" s="108">
        <v>248</v>
      </c>
      <c r="AB182" s="108">
        <v>0</v>
      </c>
      <c r="AC182" s="108">
        <v>0</v>
      </c>
      <c r="AD182" s="108">
        <v>6</v>
      </c>
      <c r="AE182" s="108">
        <v>67</v>
      </c>
      <c r="AF182" s="108">
        <v>0</v>
      </c>
      <c r="AG182" s="108">
        <v>0</v>
      </c>
      <c r="AH182" s="108">
        <v>0</v>
      </c>
      <c r="AI182" s="108">
        <v>0</v>
      </c>
      <c r="AJ182" s="108">
        <v>0</v>
      </c>
      <c r="AK182" s="108">
        <v>0</v>
      </c>
      <c r="AL182" s="108">
        <v>97</v>
      </c>
      <c r="AM182" s="108">
        <v>1015</v>
      </c>
      <c r="AN182" s="108">
        <f t="shared" si="9"/>
        <v>97</v>
      </c>
      <c r="AO182" s="108">
        <f t="shared" si="10"/>
        <v>1015</v>
      </c>
      <c r="AP182" s="110">
        <f t="shared" si="12"/>
        <v>10.463917525773196</v>
      </c>
      <c r="AQ182" s="110">
        <f t="shared" si="11"/>
        <v>0.12928289389886638</v>
      </c>
      <c r="AR182" s="108">
        <v>0</v>
      </c>
      <c r="AS182" s="108">
        <v>0</v>
      </c>
      <c r="AT182" s="108">
        <v>7851</v>
      </c>
    </row>
    <row r="183" spans="1:46" ht="13.5" thickBot="1" x14ac:dyDescent="0.25">
      <c r="A183" s="48" t="s">
        <v>724</v>
      </c>
      <c r="B183" s="47" t="s">
        <v>723</v>
      </c>
      <c r="C183" s="48" t="s">
        <v>25</v>
      </c>
      <c r="D183" s="48" t="s">
        <v>1648</v>
      </c>
      <c r="E183" s="48" t="s">
        <v>1648</v>
      </c>
      <c r="F183" s="108">
        <v>138</v>
      </c>
      <c r="G183" s="108">
        <v>708</v>
      </c>
      <c r="H183" s="108">
        <v>7</v>
      </c>
      <c r="I183" s="108">
        <v>49</v>
      </c>
      <c r="J183" s="108">
        <v>24</v>
      </c>
      <c r="K183" s="108">
        <v>241</v>
      </c>
      <c r="L183" s="108">
        <v>5</v>
      </c>
      <c r="M183" s="108">
        <v>53</v>
      </c>
      <c r="N183" s="108">
        <v>153</v>
      </c>
      <c r="O183" s="108">
        <v>32</v>
      </c>
      <c r="P183" s="108">
        <v>185</v>
      </c>
      <c r="Q183" s="108">
        <v>0</v>
      </c>
      <c r="R183" s="108">
        <v>0</v>
      </c>
      <c r="S183" s="108">
        <v>162</v>
      </c>
      <c r="T183" s="108">
        <v>949</v>
      </c>
      <c r="U183" s="109" t="s">
        <v>1648</v>
      </c>
      <c r="V183" s="109">
        <v>0</v>
      </c>
      <c r="W183" s="109">
        <v>0</v>
      </c>
      <c r="X183" s="108">
        <v>0</v>
      </c>
      <c r="Y183" s="108">
        <v>0</v>
      </c>
      <c r="Z183" s="108">
        <v>12</v>
      </c>
      <c r="AA183" s="108">
        <v>102</v>
      </c>
      <c r="AB183" s="108">
        <v>0</v>
      </c>
      <c r="AC183" s="108">
        <v>0</v>
      </c>
      <c r="AD183" s="109">
        <v>0</v>
      </c>
      <c r="AE183" s="109">
        <v>0</v>
      </c>
      <c r="AF183" s="108">
        <v>0</v>
      </c>
      <c r="AG183" s="108">
        <v>0</v>
      </c>
      <c r="AH183" s="109">
        <v>0</v>
      </c>
      <c r="AI183" s="109">
        <v>0</v>
      </c>
      <c r="AJ183" s="108">
        <v>0</v>
      </c>
      <c r="AK183" s="108">
        <v>0</v>
      </c>
      <c r="AL183" s="108">
        <v>174</v>
      </c>
      <c r="AM183" s="108">
        <v>1051</v>
      </c>
      <c r="AN183" s="108">
        <f t="shared" si="9"/>
        <v>174</v>
      </c>
      <c r="AO183" s="108">
        <f t="shared" si="10"/>
        <v>1051</v>
      </c>
      <c r="AP183" s="110">
        <f t="shared" si="12"/>
        <v>6.0402298850574709</v>
      </c>
      <c r="AQ183" s="110">
        <f t="shared" si="11"/>
        <v>0.10253658536585365</v>
      </c>
      <c r="AR183" s="108">
        <v>0</v>
      </c>
      <c r="AS183" s="108">
        <v>0</v>
      </c>
      <c r="AT183" s="108">
        <v>10250</v>
      </c>
    </row>
    <row r="184" spans="1:46" ht="13.5" thickBot="1" x14ac:dyDescent="0.25">
      <c r="A184" s="48" t="s">
        <v>734</v>
      </c>
      <c r="B184" s="47" t="s">
        <v>733</v>
      </c>
      <c r="C184" s="48" t="s">
        <v>25</v>
      </c>
      <c r="D184" s="48" t="s">
        <v>1648</v>
      </c>
      <c r="E184" s="48" t="s">
        <v>1649</v>
      </c>
      <c r="F184" s="108">
        <v>93</v>
      </c>
      <c r="G184" s="108">
        <v>1631</v>
      </c>
      <c r="H184" s="108">
        <v>21</v>
      </c>
      <c r="I184" s="108">
        <v>68</v>
      </c>
      <c r="J184" s="108">
        <v>0</v>
      </c>
      <c r="K184" s="108">
        <v>0</v>
      </c>
      <c r="L184" s="108">
        <v>4</v>
      </c>
      <c r="M184" s="108">
        <v>11</v>
      </c>
      <c r="N184" s="108">
        <v>19</v>
      </c>
      <c r="O184" s="108">
        <v>6</v>
      </c>
      <c r="P184" s="108">
        <v>25</v>
      </c>
      <c r="Q184" s="108">
        <v>0</v>
      </c>
      <c r="R184" s="108">
        <v>0</v>
      </c>
      <c r="S184" s="108">
        <v>93</v>
      </c>
      <c r="T184" s="108">
        <v>1631</v>
      </c>
      <c r="U184" s="109" t="s">
        <v>1648</v>
      </c>
      <c r="V184" s="108">
        <v>32</v>
      </c>
      <c r="W184" s="108">
        <v>363</v>
      </c>
      <c r="X184" s="108">
        <v>2</v>
      </c>
      <c r="Y184" s="108">
        <v>6</v>
      </c>
      <c r="Z184" s="108">
        <v>25</v>
      </c>
      <c r="AA184" s="108">
        <v>79</v>
      </c>
      <c r="AB184" s="108">
        <v>0</v>
      </c>
      <c r="AC184" s="108">
        <v>0</v>
      </c>
      <c r="AD184" s="108">
        <v>6</v>
      </c>
      <c r="AE184" s="108">
        <v>49</v>
      </c>
      <c r="AF184" s="108">
        <v>0</v>
      </c>
      <c r="AG184" s="108">
        <v>0</v>
      </c>
      <c r="AH184" s="108">
        <v>2</v>
      </c>
      <c r="AI184" s="108">
        <v>252</v>
      </c>
      <c r="AJ184" s="108">
        <v>2</v>
      </c>
      <c r="AK184" s="108">
        <v>6</v>
      </c>
      <c r="AL184" s="108">
        <v>126</v>
      </c>
      <c r="AM184" s="108">
        <v>2011</v>
      </c>
      <c r="AN184" s="108">
        <f t="shared" si="9"/>
        <v>128</v>
      </c>
      <c r="AO184" s="108">
        <f t="shared" si="10"/>
        <v>2017</v>
      </c>
      <c r="AP184" s="110">
        <f t="shared" si="12"/>
        <v>15.7578125</v>
      </c>
      <c r="AQ184" s="110">
        <f t="shared" si="11"/>
        <v>0.18917651472519229</v>
      </c>
      <c r="AR184" s="108">
        <v>0</v>
      </c>
      <c r="AS184" s="108">
        <v>0</v>
      </c>
      <c r="AT184" s="108">
        <v>10662</v>
      </c>
    </row>
    <row r="185" spans="1:46" ht="13.5" thickBot="1" x14ac:dyDescent="0.25">
      <c r="A185" s="48" t="s">
        <v>738</v>
      </c>
      <c r="B185" s="47" t="s">
        <v>737</v>
      </c>
      <c r="C185" s="48" t="s">
        <v>25</v>
      </c>
      <c r="D185" s="48" t="s">
        <v>1649</v>
      </c>
      <c r="E185" s="48" t="s">
        <v>1649</v>
      </c>
      <c r="F185" s="108">
        <v>44</v>
      </c>
      <c r="G185" s="108">
        <v>639</v>
      </c>
      <c r="H185" s="108">
        <v>1</v>
      </c>
      <c r="I185" s="108">
        <v>29</v>
      </c>
      <c r="J185" s="108">
        <v>15</v>
      </c>
      <c r="K185" s="108">
        <v>669</v>
      </c>
      <c r="L185" s="108">
        <v>2</v>
      </c>
      <c r="M185" s="108">
        <v>37</v>
      </c>
      <c r="N185" s="108">
        <v>336</v>
      </c>
      <c r="O185" s="108">
        <v>79</v>
      </c>
      <c r="P185" s="108">
        <v>415</v>
      </c>
      <c r="Q185" s="108">
        <v>0</v>
      </c>
      <c r="R185" s="108">
        <v>0</v>
      </c>
      <c r="S185" s="108">
        <v>59</v>
      </c>
      <c r="T185" s="108">
        <v>1308</v>
      </c>
      <c r="U185" s="109" t="s">
        <v>1648</v>
      </c>
      <c r="V185" s="108">
        <v>44</v>
      </c>
      <c r="W185" s="108">
        <v>995</v>
      </c>
      <c r="X185" s="108">
        <v>0</v>
      </c>
      <c r="Y185" s="108">
        <v>0</v>
      </c>
      <c r="Z185" s="108">
        <v>3</v>
      </c>
      <c r="AA185" s="108">
        <v>66</v>
      </c>
      <c r="AB185" s="108">
        <v>0</v>
      </c>
      <c r="AC185" s="108">
        <v>0</v>
      </c>
      <c r="AD185" s="108">
        <v>24</v>
      </c>
      <c r="AE185" s="108">
        <v>137</v>
      </c>
      <c r="AF185" s="108">
        <v>0</v>
      </c>
      <c r="AG185" s="108">
        <v>0</v>
      </c>
      <c r="AH185" s="108">
        <v>0</v>
      </c>
      <c r="AI185" s="108">
        <v>0</v>
      </c>
      <c r="AJ185" s="108">
        <v>0</v>
      </c>
      <c r="AK185" s="108">
        <v>0</v>
      </c>
      <c r="AL185" s="108">
        <v>86</v>
      </c>
      <c r="AM185" s="108">
        <v>1511</v>
      </c>
      <c r="AN185" s="108">
        <f t="shared" si="9"/>
        <v>86</v>
      </c>
      <c r="AO185" s="108">
        <f t="shared" si="10"/>
        <v>1511</v>
      </c>
      <c r="AP185" s="110">
        <f t="shared" si="12"/>
        <v>17.569767441860463</v>
      </c>
      <c r="AQ185" s="110">
        <f t="shared" si="11"/>
        <v>0.12607425949103046</v>
      </c>
      <c r="AR185" s="108">
        <v>0</v>
      </c>
      <c r="AS185" s="108">
        <v>0</v>
      </c>
      <c r="AT185" s="108">
        <v>11985</v>
      </c>
    </row>
    <row r="186" spans="1:46" ht="13.5" thickBot="1" x14ac:dyDescent="0.25">
      <c r="A186" s="48" t="s">
        <v>776</v>
      </c>
      <c r="B186" s="47" t="s">
        <v>775</v>
      </c>
      <c r="C186" s="48" t="s">
        <v>25</v>
      </c>
      <c r="D186" s="48" t="s">
        <v>1649</v>
      </c>
      <c r="E186" s="48" t="s">
        <v>1649</v>
      </c>
      <c r="F186" s="108">
        <v>5</v>
      </c>
      <c r="G186" s="108">
        <v>150</v>
      </c>
      <c r="H186" s="108">
        <v>0</v>
      </c>
      <c r="I186" s="108">
        <v>20</v>
      </c>
      <c r="J186" s="108">
        <v>4</v>
      </c>
      <c r="K186" s="108">
        <v>120</v>
      </c>
      <c r="L186" s="108">
        <v>1</v>
      </c>
      <c r="M186" s="108">
        <v>20</v>
      </c>
      <c r="N186" s="108">
        <v>34</v>
      </c>
      <c r="O186" s="108">
        <v>12</v>
      </c>
      <c r="P186" s="108">
        <v>46</v>
      </c>
      <c r="Q186" s="108">
        <v>0</v>
      </c>
      <c r="R186" s="108">
        <v>0</v>
      </c>
      <c r="S186" s="108">
        <v>9</v>
      </c>
      <c r="T186" s="108">
        <v>270</v>
      </c>
      <c r="U186" s="109" t="s">
        <v>1648</v>
      </c>
      <c r="V186" s="108">
        <v>4</v>
      </c>
      <c r="W186" s="108">
        <v>120</v>
      </c>
      <c r="X186" s="108">
        <v>0</v>
      </c>
      <c r="Y186" s="108">
        <v>0</v>
      </c>
      <c r="Z186" s="108">
        <v>1</v>
      </c>
      <c r="AA186" s="108">
        <v>40</v>
      </c>
      <c r="AB186" s="108">
        <v>0</v>
      </c>
      <c r="AC186" s="108">
        <v>0</v>
      </c>
      <c r="AD186" s="108">
        <v>9</v>
      </c>
      <c r="AE186" s="108">
        <v>185</v>
      </c>
      <c r="AF186" s="108">
        <v>0</v>
      </c>
      <c r="AG186" s="108">
        <v>0</v>
      </c>
      <c r="AH186" s="108">
        <v>3</v>
      </c>
      <c r="AI186" s="108">
        <v>250</v>
      </c>
      <c r="AJ186" s="108">
        <v>0</v>
      </c>
      <c r="AK186" s="108">
        <v>0</v>
      </c>
      <c r="AL186" s="108">
        <v>22</v>
      </c>
      <c r="AM186" s="108">
        <v>745</v>
      </c>
      <c r="AN186" s="108">
        <f t="shared" si="9"/>
        <v>22</v>
      </c>
      <c r="AO186" s="108">
        <f t="shared" si="10"/>
        <v>745</v>
      </c>
      <c r="AP186" s="110">
        <f t="shared" si="12"/>
        <v>33.863636363636367</v>
      </c>
      <c r="AQ186" s="110">
        <f t="shared" si="11"/>
        <v>7.8305654824469204E-2</v>
      </c>
      <c r="AR186" s="108">
        <v>0</v>
      </c>
      <c r="AS186" s="108">
        <v>0</v>
      </c>
      <c r="AT186" s="108">
        <v>9514</v>
      </c>
    </row>
    <row r="187" spans="1:46" ht="13.5" thickBot="1" x14ac:dyDescent="0.25">
      <c r="A187" s="48" t="s">
        <v>790</v>
      </c>
      <c r="B187" s="47" t="s">
        <v>789</v>
      </c>
      <c r="C187" s="48" t="s">
        <v>25</v>
      </c>
      <c r="D187" s="48" t="s">
        <v>1649</v>
      </c>
      <c r="E187" s="48" t="s">
        <v>1649</v>
      </c>
      <c r="F187" s="108">
        <v>23</v>
      </c>
      <c r="G187" s="108">
        <v>575</v>
      </c>
      <c r="H187" s="108">
        <v>15</v>
      </c>
      <c r="I187" s="108">
        <v>237</v>
      </c>
      <c r="J187" s="108">
        <v>10</v>
      </c>
      <c r="K187" s="108">
        <v>574</v>
      </c>
      <c r="L187" s="108">
        <v>2</v>
      </c>
      <c r="M187" s="108">
        <v>15</v>
      </c>
      <c r="N187" s="108">
        <v>0</v>
      </c>
      <c r="O187" s="108">
        <v>0</v>
      </c>
      <c r="P187" s="108">
        <v>0</v>
      </c>
      <c r="Q187" s="108">
        <v>0</v>
      </c>
      <c r="R187" s="108">
        <v>0</v>
      </c>
      <c r="S187" s="108">
        <v>33</v>
      </c>
      <c r="T187" s="108">
        <v>1149</v>
      </c>
      <c r="U187" s="109" t="s">
        <v>1648</v>
      </c>
      <c r="V187" s="108">
        <v>18</v>
      </c>
      <c r="W187" s="108">
        <v>414</v>
      </c>
      <c r="X187" s="108">
        <v>0</v>
      </c>
      <c r="Y187" s="108">
        <v>0</v>
      </c>
      <c r="Z187" s="108">
        <v>17</v>
      </c>
      <c r="AA187" s="108">
        <v>252</v>
      </c>
      <c r="AB187" s="108">
        <v>0</v>
      </c>
      <c r="AC187" s="108">
        <v>0</v>
      </c>
      <c r="AD187" s="108">
        <v>55</v>
      </c>
      <c r="AE187" s="108">
        <v>1263</v>
      </c>
      <c r="AF187" s="108">
        <v>0</v>
      </c>
      <c r="AG187" s="108">
        <v>0</v>
      </c>
      <c r="AH187" s="108">
        <v>11</v>
      </c>
      <c r="AI187" s="108">
        <v>341</v>
      </c>
      <c r="AJ187" s="108">
        <v>0</v>
      </c>
      <c r="AK187" s="108">
        <v>0</v>
      </c>
      <c r="AL187" s="108">
        <v>116</v>
      </c>
      <c r="AM187" s="108">
        <v>3005</v>
      </c>
      <c r="AN187" s="108">
        <f t="shared" si="9"/>
        <v>116</v>
      </c>
      <c r="AO187" s="108">
        <f t="shared" si="10"/>
        <v>3005</v>
      </c>
      <c r="AP187" s="110">
        <f t="shared" si="12"/>
        <v>25.905172413793103</v>
      </c>
      <c r="AQ187" s="110">
        <f t="shared" si="11"/>
        <v>0.32884657474283213</v>
      </c>
      <c r="AR187" s="108">
        <v>0</v>
      </c>
      <c r="AS187" s="108">
        <v>0</v>
      </c>
      <c r="AT187" s="108">
        <v>9138</v>
      </c>
    </row>
    <row r="188" spans="1:46" ht="13.5" thickBot="1" x14ac:dyDescent="0.25">
      <c r="A188" s="48" t="s">
        <v>520</v>
      </c>
      <c r="B188" s="47" t="s">
        <v>519</v>
      </c>
      <c r="C188" s="48" t="s">
        <v>25</v>
      </c>
      <c r="D188" s="48" t="s">
        <v>1648</v>
      </c>
      <c r="E188" s="48" t="s">
        <v>1648</v>
      </c>
      <c r="F188" s="108">
        <v>21</v>
      </c>
      <c r="G188" s="108">
        <v>161</v>
      </c>
      <c r="H188" s="108">
        <v>3</v>
      </c>
      <c r="I188" s="108">
        <v>109</v>
      </c>
      <c r="J188" s="108">
        <v>6</v>
      </c>
      <c r="K188" s="108">
        <v>282</v>
      </c>
      <c r="L188" s="108">
        <v>0</v>
      </c>
      <c r="M188" s="108">
        <v>0</v>
      </c>
      <c r="N188" s="108">
        <v>49</v>
      </c>
      <c r="O188" s="108">
        <v>0</v>
      </c>
      <c r="P188" s="108">
        <v>49</v>
      </c>
      <c r="Q188" s="108">
        <v>2</v>
      </c>
      <c r="R188" s="108">
        <v>7</v>
      </c>
      <c r="S188" s="108">
        <v>27</v>
      </c>
      <c r="T188" s="108">
        <v>443</v>
      </c>
      <c r="U188" s="109" t="s">
        <v>1648</v>
      </c>
      <c r="V188" s="108">
        <v>27</v>
      </c>
      <c r="W188" s="108">
        <v>443</v>
      </c>
      <c r="X188" s="108">
        <v>0</v>
      </c>
      <c r="Y188" s="108">
        <v>0</v>
      </c>
      <c r="Z188" s="108">
        <v>3</v>
      </c>
      <c r="AA188" s="108">
        <v>109</v>
      </c>
      <c r="AB188" s="108">
        <v>2</v>
      </c>
      <c r="AC188" s="108">
        <v>12</v>
      </c>
      <c r="AD188" s="108">
        <v>31</v>
      </c>
      <c r="AE188" s="108">
        <v>388</v>
      </c>
      <c r="AF188" s="108">
        <v>4</v>
      </c>
      <c r="AG188" s="108">
        <v>44</v>
      </c>
      <c r="AH188" s="108">
        <v>8</v>
      </c>
      <c r="AI188" s="108">
        <v>503</v>
      </c>
      <c r="AJ188" s="108">
        <v>8</v>
      </c>
      <c r="AK188" s="108">
        <v>63</v>
      </c>
      <c r="AL188" s="108">
        <v>69</v>
      </c>
      <c r="AM188" s="108">
        <v>1443</v>
      </c>
      <c r="AN188" s="108">
        <f t="shared" si="9"/>
        <v>77</v>
      </c>
      <c r="AO188" s="108">
        <f t="shared" si="10"/>
        <v>1506</v>
      </c>
      <c r="AP188" s="110">
        <f t="shared" si="12"/>
        <v>19.558441558441558</v>
      </c>
      <c r="AQ188" s="110">
        <f t="shared" si="11"/>
        <v>0.15650005195884858</v>
      </c>
      <c r="AR188" s="108">
        <v>1</v>
      </c>
      <c r="AS188" s="108">
        <v>332</v>
      </c>
      <c r="AT188" s="108">
        <v>9623</v>
      </c>
    </row>
    <row r="189" spans="1:46" ht="13.5" thickBot="1" x14ac:dyDescent="0.25">
      <c r="A189" s="48" t="s">
        <v>700</v>
      </c>
      <c r="B189" s="47" t="s">
        <v>699</v>
      </c>
      <c r="C189" s="48" t="s">
        <v>25</v>
      </c>
      <c r="D189" s="48" t="s">
        <v>1649</v>
      </c>
      <c r="E189" s="48" t="s">
        <v>1648</v>
      </c>
      <c r="F189" s="108">
        <v>28</v>
      </c>
      <c r="G189" s="108">
        <v>679</v>
      </c>
      <c r="H189" s="108">
        <v>0</v>
      </c>
      <c r="I189" s="108">
        <v>0</v>
      </c>
      <c r="J189" s="108">
        <v>11</v>
      </c>
      <c r="K189" s="108">
        <v>174</v>
      </c>
      <c r="L189" s="108">
        <v>2</v>
      </c>
      <c r="M189" s="108">
        <v>10</v>
      </c>
      <c r="N189" s="108">
        <v>273</v>
      </c>
      <c r="O189" s="108">
        <v>14</v>
      </c>
      <c r="P189" s="108">
        <v>287</v>
      </c>
      <c r="Q189" s="108">
        <v>1</v>
      </c>
      <c r="R189" s="108">
        <v>193</v>
      </c>
      <c r="S189" s="108">
        <v>39</v>
      </c>
      <c r="T189" s="108">
        <v>853</v>
      </c>
      <c r="U189" s="109" t="s">
        <v>1648</v>
      </c>
      <c r="V189" s="108">
        <v>39</v>
      </c>
      <c r="W189" s="108">
        <v>184</v>
      </c>
      <c r="X189" s="108">
        <v>0</v>
      </c>
      <c r="Y189" s="108">
        <v>0</v>
      </c>
      <c r="Z189" s="108">
        <v>2</v>
      </c>
      <c r="AA189" s="108">
        <v>10</v>
      </c>
      <c r="AB189" s="108">
        <v>0</v>
      </c>
      <c r="AC189" s="108">
        <v>0</v>
      </c>
      <c r="AD189" s="108">
        <v>0</v>
      </c>
      <c r="AE189" s="108">
        <v>0</v>
      </c>
      <c r="AF189" s="108">
        <v>0</v>
      </c>
      <c r="AG189" s="108">
        <v>0</v>
      </c>
      <c r="AH189" s="108">
        <v>0</v>
      </c>
      <c r="AI189" s="108">
        <v>0</v>
      </c>
      <c r="AJ189" s="108">
        <v>1</v>
      </c>
      <c r="AK189" s="108">
        <v>193</v>
      </c>
      <c r="AL189" s="108">
        <v>41</v>
      </c>
      <c r="AM189" s="108">
        <v>863</v>
      </c>
      <c r="AN189" s="108">
        <f t="shared" si="9"/>
        <v>42</v>
      </c>
      <c r="AO189" s="108">
        <f t="shared" si="10"/>
        <v>1056</v>
      </c>
      <c r="AP189" s="110">
        <f t="shared" si="12"/>
        <v>25.142857142857142</v>
      </c>
      <c r="AQ189" s="110">
        <f t="shared" si="11"/>
        <v>0.1159165751920966</v>
      </c>
      <c r="AR189" s="108">
        <v>1</v>
      </c>
      <c r="AS189" s="108">
        <v>193</v>
      </c>
      <c r="AT189" s="108">
        <v>9110</v>
      </c>
    </row>
    <row r="190" spans="1:46" ht="13.5" thickBot="1" x14ac:dyDescent="0.25">
      <c r="A190" s="48" t="s">
        <v>66</v>
      </c>
      <c r="B190" s="47" t="s">
        <v>65</v>
      </c>
      <c r="C190" s="48" t="s">
        <v>25</v>
      </c>
      <c r="D190" s="48" t="s">
        <v>1648</v>
      </c>
      <c r="E190" s="48" t="s">
        <v>1648</v>
      </c>
      <c r="F190" s="108">
        <v>9</v>
      </c>
      <c r="G190" s="108">
        <v>290</v>
      </c>
      <c r="H190" s="108">
        <v>3</v>
      </c>
      <c r="I190" s="108">
        <v>12</v>
      </c>
      <c r="J190" s="108">
        <v>3</v>
      </c>
      <c r="K190" s="108">
        <v>180</v>
      </c>
      <c r="L190" s="108">
        <v>4</v>
      </c>
      <c r="M190" s="108">
        <v>42</v>
      </c>
      <c r="N190" s="108">
        <v>83</v>
      </c>
      <c r="O190" s="108">
        <v>26</v>
      </c>
      <c r="P190" s="108">
        <v>109</v>
      </c>
      <c r="Q190" s="108">
        <v>0</v>
      </c>
      <c r="R190" s="108">
        <v>0</v>
      </c>
      <c r="S190" s="108">
        <v>12</v>
      </c>
      <c r="T190" s="108">
        <v>470</v>
      </c>
      <c r="U190" s="109" t="s">
        <v>1648</v>
      </c>
      <c r="V190" s="108">
        <v>5</v>
      </c>
      <c r="W190" s="108">
        <v>60</v>
      </c>
      <c r="X190" s="108">
        <v>1</v>
      </c>
      <c r="Y190" s="108">
        <v>15</v>
      </c>
      <c r="Z190" s="108">
        <v>7</v>
      </c>
      <c r="AA190" s="108">
        <v>54</v>
      </c>
      <c r="AB190" s="108">
        <v>0</v>
      </c>
      <c r="AC190" s="108">
        <v>0</v>
      </c>
      <c r="AD190" s="108">
        <v>5</v>
      </c>
      <c r="AE190" s="108">
        <v>105</v>
      </c>
      <c r="AF190" s="108">
        <v>0</v>
      </c>
      <c r="AG190" s="108">
        <v>0</v>
      </c>
      <c r="AH190" s="108">
        <v>4</v>
      </c>
      <c r="AI190" s="108">
        <v>505</v>
      </c>
      <c r="AJ190" s="108">
        <v>1</v>
      </c>
      <c r="AK190" s="108">
        <v>15</v>
      </c>
      <c r="AL190" s="108">
        <v>28</v>
      </c>
      <c r="AM190" s="108">
        <v>1134</v>
      </c>
      <c r="AN190" s="108">
        <f t="shared" si="9"/>
        <v>29</v>
      </c>
      <c r="AO190" s="108">
        <f t="shared" si="10"/>
        <v>1149</v>
      </c>
      <c r="AP190" s="110">
        <f t="shared" si="12"/>
        <v>39.620689655172413</v>
      </c>
      <c r="AQ190" s="110">
        <f t="shared" si="11"/>
        <v>0.16020635805911879</v>
      </c>
      <c r="AR190" s="108">
        <v>2</v>
      </c>
      <c r="AS190" s="108">
        <v>293</v>
      </c>
      <c r="AT190" s="108">
        <v>7172</v>
      </c>
    </row>
    <row r="191" spans="1:46" ht="13.5" thickBot="1" x14ac:dyDescent="0.25">
      <c r="A191" s="48" t="s">
        <v>130</v>
      </c>
      <c r="B191" s="47" t="s">
        <v>129</v>
      </c>
      <c r="C191" s="48" t="s">
        <v>25</v>
      </c>
      <c r="D191" s="48" t="s">
        <v>1648</v>
      </c>
      <c r="E191" s="48" t="s">
        <v>1648</v>
      </c>
      <c r="F191" s="108">
        <v>45</v>
      </c>
      <c r="G191" s="108">
        <v>1226</v>
      </c>
      <c r="H191" s="108">
        <v>0</v>
      </c>
      <c r="I191" s="108">
        <v>0</v>
      </c>
      <c r="J191" s="108">
        <v>13</v>
      </c>
      <c r="K191" s="108">
        <v>401</v>
      </c>
      <c r="L191" s="108">
        <v>3</v>
      </c>
      <c r="M191" s="108">
        <v>85</v>
      </c>
      <c r="N191" s="108">
        <v>47</v>
      </c>
      <c r="O191" s="108">
        <v>20</v>
      </c>
      <c r="P191" s="108">
        <v>67</v>
      </c>
      <c r="Q191" s="108">
        <v>0</v>
      </c>
      <c r="R191" s="108">
        <v>0</v>
      </c>
      <c r="S191" s="108">
        <v>58</v>
      </c>
      <c r="T191" s="108">
        <v>1627</v>
      </c>
      <c r="U191" s="109" t="s">
        <v>1648</v>
      </c>
      <c r="V191" s="108">
        <v>24</v>
      </c>
      <c r="W191" s="108">
        <v>798</v>
      </c>
      <c r="X191" s="108">
        <v>0</v>
      </c>
      <c r="Y191" s="108">
        <v>0</v>
      </c>
      <c r="Z191" s="108">
        <v>3</v>
      </c>
      <c r="AA191" s="108">
        <v>85</v>
      </c>
      <c r="AB191" s="108">
        <v>4</v>
      </c>
      <c r="AC191" s="108">
        <v>23</v>
      </c>
      <c r="AD191" s="108">
        <v>48</v>
      </c>
      <c r="AE191" s="108">
        <v>621</v>
      </c>
      <c r="AF191" s="108">
        <v>0</v>
      </c>
      <c r="AG191" s="108">
        <v>0</v>
      </c>
      <c r="AH191" s="108">
        <v>0</v>
      </c>
      <c r="AI191" s="108">
        <v>0</v>
      </c>
      <c r="AJ191" s="108">
        <v>4</v>
      </c>
      <c r="AK191" s="108">
        <v>23</v>
      </c>
      <c r="AL191" s="108">
        <v>109</v>
      </c>
      <c r="AM191" s="108">
        <v>2333</v>
      </c>
      <c r="AN191" s="108">
        <f t="shared" si="9"/>
        <v>113</v>
      </c>
      <c r="AO191" s="108">
        <f t="shared" si="10"/>
        <v>2356</v>
      </c>
      <c r="AP191" s="110">
        <f t="shared" si="12"/>
        <v>20.849557522123895</v>
      </c>
      <c r="AQ191" s="110">
        <f t="shared" si="11"/>
        <v>0.24276146316331787</v>
      </c>
      <c r="AR191" s="108">
        <v>4</v>
      </c>
      <c r="AS191" s="108">
        <v>1509</v>
      </c>
      <c r="AT191" s="108">
        <v>9705</v>
      </c>
    </row>
    <row r="192" spans="1:46" ht="13.5" thickBot="1" x14ac:dyDescent="0.25">
      <c r="A192" s="48" t="s">
        <v>378</v>
      </c>
      <c r="B192" s="47" t="s">
        <v>377</v>
      </c>
      <c r="C192" s="48" t="s">
        <v>25</v>
      </c>
      <c r="D192" s="48" t="s">
        <v>1648</v>
      </c>
      <c r="E192" s="48" t="s">
        <v>1648</v>
      </c>
      <c r="F192" s="108">
        <v>69</v>
      </c>
      <c r="G192" s="108">
        <v>700</v>
      </c>
      <c r="H192" s="108">
        <v>5</v>
      </c>
      <c r="I192" s="108">
        <v>25</v>
      </c>
      <c r="J192" s="108">
        <v>8</v>
      </c>
      <c r="K192" s="108">
        <v>90</v>
      </c>
      <c r="L192" s="108">
        <v>0</v>
      </c>
      <c r="M192" s="108">
        <v>0</v>
      </c>
      <c r="N192" s="108">
        <v>31</v>
      </c>
      <c r="O192" s="108">
        <v>21</v>
      </c>
      <c r="P192" s="108">
        <v>52</v>
      </c>
      <c r="Q192" s="108">
        <v>8</v>
      </c>
      <c r="R192" s="108">
        <v>160</v>
      </c>
      <c r="S192" s="108">
        <v>77</v>
      </c>
      <c r="T192" s="108">
        <v>790</v>
      </c>
      <c r="U192" s="109" t="s">
        <v>1648</v>
      </c>
      <c r="V192" s="108">
        <v>9</v>
      </c>
      <c r="W192" s="108">
        <v>90</v>
      </c>
      <c r="X192" s="108">
        <v>0</v>
      </c>
      <c r="Y192" s="108">
        <v>0</v>
      </c>
      <c r="Z192" s="108">
        <v>5</v>
      </c>
      <c r="AA192" s="108">
        <v>25</v>
      </c>
      <c r="AB192" s="108">
        <v>13</v>
      </c>
      <c r="AC192" s="108">
        <v>260</v>
      </c>
      <c r="AD192" s="108">
        <v>42</v>
      </c>
      <c r="AE192" s="108">
        <v>504</v>
      </c>
      <c r="AF192" s="108">
        <v>0</v>
      </c>
      <c r="AG192" s="108">
        <v>0</v>
      </c>
      <c r="AH192" s="108">
        <v>3</v>
      </c>
      <c r="AI192" s="108">
        <v>100</v>
      </c>
      <c r="AJ192" s="108">
        <v>21</v>
      </c>
      <c r="AK192" s="108">
        <v>420</v>
      </c>
      <c r="AL192" s="108">
        <v>127</v>
      </c>
      <c r="AM192" s="108">
        <v>1419</v>
      </c>
      <c r="AN192" s="108">
        <f t="shared" si="9"/>
        <v>148</v>
      </c>
      <c r="AO192" s="108">
        <f t="shared" si="10"/>
        <v>1839</v>
      </c>
      <c r="AP192" s="110">
        <f t="shared" si="12"/>
        <v>12.425675675675675</v>
      </c>
      <c r="AQ192" s="110">
        <f t="shared" si="11"/>
        <v>0.20983569146508443</v>
      </c>
      <c r="AR192" s="108">
        <v>5</v>
      </c>
      <c r="AS192" s="108">
        <v>25</v>
      </c>
      <c r="AT192" s="108">
        <v>8764</v>
      </c>
    </row>
    <row r="193" spans="1:46" ht="13.5" thickBot="1" x14ac:dyDescent="0.25">
      <c r="A193" s="48" t="s">
        <v>433</v>
      </c>
      <c r="B193" s="47" t="s">
        <v>432</v>
      </c>
      <c r="C193" s="48" t="s">
        <v>25</v>
      </c>
      <c r="D193" s="48" t="s">
        <v>1648</v>
      </c>
      <c r="E193" s="48" t="s">
        <v>1648</v>
      </c>
      <c r="F193" s="108">
        <v>82</v>
      </c>
      <c r="G193" s="108">
        <v>977</v>
      </c>
      <c r="H193" s="108">
        <v>16</v>
      </c>
      <c r="I193" s="108">
        <v>27</v>
      </c>
      <c r="J193" s="108">
        <v>26</v>
      </c>
      <c r="K193" s="108">
        <v>519</v>
      </c>
      <c r="L193" s="108">
        <v>5</v>
      </c>
      <c r="M193" s="108">
        <v>36</v>
      </c>
      <c r="N193" s="108">
        <v>25</v>
      </c>
      <c r="O193" s="108">
        <v>1</v>
      </c>
      <c r="P193" s="108">
        <v>26</v>
      </c>
      <c r="Q193" s="108">
        <v>0</v>
      </c>
      <c r="R193" s="108">
        <v>0</v>
      </c>
      <c r="S193" s="108">
        <v>108</v>
      </c>
      <c r="T193" s="108">
        <v>1496</v>
      </c>
      <c r="U193" s="109" t="s">
        <v>1648</v>
      </c>
      <c r="V193" s="108">
        <v>34</v>
      </c>
      <c r="W193" s="108">
        <v>272</v>
      </c>
      <c r="X193" s="108">
        <v>2</v>
      </c>
      <c r="Y193" s="108">
        <v>0</v>
      </c>
      <c r="Z193" s="108">
        <v>21</v>
      </c>
      <c r="AA193" s="108">
        <v>63</v>
      </c>
      <c r="AB193" s="108">
        <v>1</v>
      </c>
      <c r="AC193" s="108">
        <v>3</v>
      </c>
      <c r="AD193" s="108">
        <v>46</v>
      </c>
      <c r="AE193" s="108">
        <v>242</v>
      </c>
      <c r="AF193" s="108">
        <v>3</v>
      </c>
      <c r="AG193" s="108">
        <v>3</v>
      </c>
      <c r="AH193" s="108">
        <v>154</v>
      </c>
      <c r="AI193" s="108">
        <v>1731</v>
      </c>
      <c r="AJ193" s="108">
        <v>6</v>
      </c>
      <c r="AK193" s="108">
        <v>6</v>
      </c>
      <c r="AL193" s="108">
        <v>329</v>
      </c>
      <c r="AM193" s="108">
        <v>3532</v>
      </c>
      <c r="AN193" s="108">
        <f t="shared" si="9"/>
        <v>335</v>
      </c>
      <c r="AO193" s="108">
        <f t="shared" si="10"/>
        <v>3538</v>
      </c>
      <c r="AP193" s="110">
        <f t="shared" si="12"/>
        <v>10.561194029850746</v>
      </c>
      <c r="AQ193" s="110">
        <f t="shared" si="11"/>
        <v>0.33791786055396372</v>
      </c>
      <c r="AR193" s="108">
        <v>7</v>
      </c>
      <c r="AS193" s="108">
        <v>999</v>
      </c>
      <c r="AT193" s="108">
        <v>10470</v>
      </c>
    </row>
    <row r="194" spans="1:46" ht="13.5" thickBot="1" x14ac:dyDescent="0.25">
      <c r="A194" s="48" t="s">
        <v>324</v>
      </c>
      <c r="B194" s="47" t="s">
        <v>323</v>
      </c>
      <c r="C194" s="48" t="s">
        <v>25</v>
      </c>
      <c r="D194" s="48" t="s">
        <v>1648</v>
      </c>
      <c r="E194" s="48" t="s">
        <v>1648</v>
      </c>
      <c r="F194" s="108">
        <v>109</v>
      </c>
      <c r="G194" s="108">
        <v>2345</v>
      </c>
      <c r="H194" s="108">
        <v>26</v>
      </c>
      <c r="I194" s="108">
        <v>141</v>
      </c>
      <c r="J194" s="108">
        <v>17</v>
      </c>
      <c r="K194" s="108">
        <v>1254</v>
      </c>
      <c r="L194" s="108">
        <v>0</v>
      </c>
      <c r="M194" s="108">
        <v>0</v>
      </c>
      <c r="N194" s="108">
        <v>60</v>
      </c>
      <c r="O194" s="108">
        <v>22</v>
      </c>
      <c r="P194" s="108">
        <v>82</v>
      </c>
      <c r="Q194" s="108">
        <v>0</v>
      </c>
      <c r="R194" s="108">
        <v>0</v>
      </c>
      <c r="S194" s="108">
        <v>126</v>
      </c>
      <c r="T194" s="108">
        <v>3599</v>
      </c>
      <c r="U194" s="109" t="s">
        <v>1648</v>
      </c>
      <c r="V194" s="108">
        <v>24</v>
      </c>
      <c r="W194" s="108">
        <v>484</v>
      </c>
      <c r="X194" s="108">
        <v>0</v>
      </c>
      <c r="Y194" s="108">
        <v>0</v>
      </c>
      <c r="Z194" s="108">
        <v>26</v>
      </c>
      <c r="AA194" s="108">
        <v>141</v>
      </c>
      <c r="AB194" s="108">
        <v>0</v>
      </c>
      <c r="AC194" s="108">
        <v>0</v>
      </c>
      <c r="AD194" s="109">
        <v>0</v>
      </c>
      <c r="AE194" s="109">
        <v>0</v>
      </c>
      <c r="AF194" s="108">
        <v>0</v>
      </c>
      <c r="AG194" s="108">
        <v>0</v>
      </c>
      <c r="AH194" s="109">
        <v>0</v>
      </c>
      <c r="AI194" s="109">
        <v>0</v>
      </c>
      <c r="AJ194" s="108">
        <v>0</v>
      </c>
      <c r="AK194" s="108">
        <v>0</v>
      </c>
      <c r="AL194" s="108">
        <v>152</v>
      </c>
      <c r="AM194" s="108">
        <v>3740</v>
      </c>
      <c r="AN194" s="108">
        <f t="shared" si="9"/>
        <v>152</v>
      </c>
      <c r="AO194" s="108">
        <f t="shared" si="10"/>
        <v>3740</v>
      </c>
      <c r="AP194" s="110">
        <f t="shared" si="12"/>
        <v>24.605263157894736</v>
      </c>
      <c r="AQ194" s="110">
        <f t="shared" si="11"/>
        <v>0.42140845070422533</v>
      </c>
      <c r="AR194" s="108">
        <v>8</v>
      </c>
      <c r="AS194" s="108">
        <v>713</v>
      </c>
      <c r="AT194" s="108">
        <v>8875</v>
      </c>
    </row>
    <row r="195" spans="1:46" ht="13.5" thickBot="1" x14ac:dyDescent="0.25">
      <c r="A195" s="48" t="s">
        <v>792</v>
      </c>
      <c r="B195" s="47" t="s">
        <v>791</v>
      </c>
      <c r="C195" s="48" t="s">
        <v>25</v>
      </c>
      <c r="D195" s="48" t="s">
        <v>1648</v>
      </c>
      <c r="E195" s="48" t="s">
        <v>1648</v>
      </c>
      <c r="F195" s="108">
        <v>101</v>
      </c>
      <c r="G195" s="108">
        <v>3253</v>
      </c>
      <c r="H195" s="108">
        <v>8</v>
      </c>
      <c r="I195" s="108">
        <v>75</v>
      </c>
      <c r="J195" s="108">
        <v>6</v>
      </c>
      <c r="K195" s="108">
        <v>642</v>
      </c>
      <c r="L195" s="108">
        <v>0</v>
      </c>
      <c r="M195" s="108">
        <v>0</v>
      </c>
      <c r="N195" s="108">
        <v>128</v>
      </c>
      <c r="O195" s="108">
        <v>0</v>
      </c>
      <c r="P195" s="108">
        <v>128</v>
      </c>
      <c r="Q195" s="108">
        <v>24</v>
      </c>
      <c r="R195" s="108">
        <v>325</v>
      </c>
      <c r="S195" s="108">
        <v>107</v>
      </c>
      <c r="T195" s="108">
        <v>3895</v>
      </c>
      <c r="U195" s="109" t="s">
        <v>1648</v>
      </c>
      <c r="V195" s="108">
        <v>57</v>
      </c>
      <c r="W195" s="108">
        <v>1752</v>
      </c>
      <c r="X195" s="108">
        <v>0</v>
      </c>
      <c r="Y195" s="108">
        <v>0</v>
      </c>
      <c r="Z195" s="108">
        <v>8</v>
      </c>
      <c r="AA195" s="108">
        <v>75</v>
      </c>
      <c r="AB195" s="108">
        <v>0</v>
      </c>
      <c r="AC195" s="108">
        <v>0</v>
      </c>
      <c r="AD195" s="108">
        <v>55</v>
      </c>
      <c r="AE195" s="108">
        <v>318</v>
      </c>
      <c r="AF195" s="108">
        <v>0</v>
      </c>
      <c r="AG195" s="108">
        <v>0</v>
      </c>
      <c r="AH195" s="108">
        <v>21</v>
      </c>
      <c r="AI195" s="108">
        <v>1415</v>
      </c>
      <c r="AJ195" s="108">
        <v>24</v>
      </c>
      <c r="AK195" s="108">
        <v>325</v>
      </c>
      <c r="AL195" s="108">
        <v>191</v>
      </c>
      <c r="AM195" s="108">
        <v>5703</v>
      </c>
      <c r="AN195" s="108">
        <f t="shared" si="9"/>
        <v>215</v>
      </c>
      <c r="AO195" s="108">
        <f t="shared" si="10"/>
        <v>6028</v>
      </c>
      <c r="AP195" s="110">
        <f t="shared" si="12"/>
        <v>28.037209302325582</v>
      </c>
      <c r="AQ195" s="110">
        <f t="shared" si="11"/>
        <v>0.81791044776119404</v>
      </c>
      <c r="AR195" s="108">
        <v>8</v>
      </c>
      <c r="AS195" s="108">
        <v>178</v>
      </c>
      <c r="AT195" s="108">
        <v>7370</v>
      </c>
    </row>
    <row r="196" spans="1:46" ht="13.5" thickBot="1" x14ac:dyDescent="0.25">
      <c r="A196" s="48" t="s">
        <v>740</v>
      </c>
      <c r="B196" s="47" t="s">
        <v>739</v>
      </c>
      <c r="C196" s="48" t="s">
        <v>25</v>
      </c>
      <c r="D196" s="48" t="s">
        <v>1649</v>
      </c>
      <c r="E196" s="48" t="s">
        <v>1648</v>
      </c>
      <c r="F196" s="108">
        <v>49</v>
      </c>
      <c r="G196" s="108">
        <v>1342</v>
      </c>
      <c r="H196" s="108">
        <v>0</v>
      </c>
      <c r="I196" s="108">
        <v>0</v>
      </c>
      <c r="J196" s="108">
        <v>6</v>
      </c>
      <c r="K196" s="108">
        <v>200</v>
      </c>
      <c r="L196" s="108">
        <v>0</v>
      </c>
      <c r="M196" s="108">
        <v>0</v>
      </c>
      <c r="N196" s="108">
        <v>85</v>
      </c>
      <c r="O196" s="108">
        <v>0</v>
      </c>
      <c r="P196" s="108">
        <v>85</v>
      </c>
      <c r="Q196" s="108">
        <v>3</v>
      </c>
      <c r="R196" s="108">
        <v>75</v>
      </c>
      <c r="S196" s="108">
        <v>55</v>
      </c>
      <c r="T196" s="108">
        <v>1542</v>
      </c>
      <c r="U196" s="109" t="s">
        <v>1648</v>
      </c>
      <c r="V196" s="108">
        <v>49</v>
      </c>
      <c r="W196" s="108">
        <v>1342</v>
      </c>
      <c r="X196" s="108">
        <v>0</v>
      </c>
      <c r="Y196" s="108">
        <v>0</v>
      </c>
      <c r="Z196" s="108">
        <v>0</v>
      </c>
      <c r="AA196" s="108">
        <v>0</v>
      </c>
      <c r="AB196" s="108">
        <v>0</v>
      </c>
      <c r="AC196" s="108">
        <v>0</v>
      </c>
      <c r="AD196" s="108">
        <v>3</v>
      </c>
      <c r="AE196" s="108">
        <v>20</v>
      </c>
      <c r="AF196" s="108">
        <v>0</v>
      </c>
      <c r="AG196" s="108">
        <v>0</v>
      </c>
      <c r="AH196" s="108">
        <v>0</v>
      </c>
      <c r="AI196" s="108">
        <v>0</v>
      </c>
      <c r="AJ196" s="108">
        <v>3</v>
      </c>
      <c r="AK196" s="108">
        <v>75</v>
      </c>
      <c r="AL196" s="108">
        <v>58</v>
      </c>
      <c r="AM196" s="108">
        <v>1562</v>
      </c>
      <c r="AN196" s="108">
        <f t="shared" ref="AN196:AN259" si="13">AL196+AJ196</f>
        <v>61</v>
      </c>
      <c r="AO196" s="108">
        <f t="shared" ref="AO196:AO259" si="14">AM196+AK196</f>
        <v>1637</v>
      </c>
      <c r="AP196" s="110">
        <f t="shared" si="12"/>
        <v>26.83606557377049</v>
      </c>
      <c r="AQ196" s="110">
        <f t="shared" ref="AQ196:AQ259" si="15">AO196/AT196</f>
        <v>0.20093285872100158</v>
      </c>
      <c r="AR196" s="108">
        <v>9</v>
      </c>
      <c r="AS196" s="108">
        <v>600</v>
      </c>
      <c r="AT196" s="108">
        <v>8147</v>
      </c>
    </row>
    <row r="197" spans="1:46" ht="13.5" thickBot="1" x14ac:dyDescent="0.25">
      <c r="A197" s="48" t="s">
        <v>652</v>
      </c>
      <c r="B197" s="47" t="s">
        <v>651</v>
      </c>
      <c r="C197" s="48" t="s">
        <v>25</v>
      </c>
      <c r="D197" s="48" t="s">
        <v>1648</v>
      </c>
      <c r="E197" s="48" t="s">
        <v>1648</v>
      </c>
      <c r="F197" s="108">
        <v>66</v>
      </c>
      <c r="G197" s="108">
        <v>1059</v>
      </c>
      <c r="H197" s="108">
        <v>0</v>
      </c>
      <c r="I197" s="108">
        <v>0</v>
      </c>
      <c r="J197" s="108">
        <v>11</v>
      </c>
      <c r="K197" s="108">
        <v>165</v>
      </c>
      <c r="L197" s="108">
        <v>0</v>
      </c>
      <c r="M197" s="108">
        <v>0</v>
      </c>
      <c r="N197" s="108">
        <v>110</v>
      </c>
      <c r="O197" s="108">
        <v>50</v>
      </c>
      <c r="P197" s="108">
        <v>160</v>
      </c>
      <c r="Q197" s="108">
        <v>2</v>
      </c>
      <c r="R197" s="108">
        <v>10</v>
      </c>
      <c r="S197" s="108">
        <v>77</v>
      </c>
      <c r="T197" s="108">
        <v>1224</v>
      </c>
      <c r="U197" s="109" t="s">
        <v>1648</v>
      </c>
      <c r="V197" s="108">
        <v>12</v>
      </c>
      <c r="W197" s="108">
        <v>116</v>
      </c>
      <c r="X197" s="108">
        <v>0</v>
      </c>
      <c r="Y197" s="108">
        <v>0</v>
      </c>
      <c r="Z197" s="108">
        <v>0</v>
      </c>
      <c r="AA197" s="108">
        <v>0</v>
      </c>
      <c r="AB197" s="108">
        <v>0</v>
      </c>
      <c r="AC197" s="108">
        <v>0</v>
      </c>
      <c r="AD197" s="108">
        <v>50</v>
      </c>
      <c r="AE197" s="108">
        <v>383</v>
      </c>
      <c r="AF197" s="108">
        <v>0</v>
      </c>
      <c r="AG197" s="108">
        <v>0</v>
      </c>
      <c r="AH197" s="108">
        <v>0</v>
      </c>
      <c r="AI197" s="108">
        <v>0</v>
      </c>
      <c r="AJ197" s="108">
        <v>2</v>
      </c>
      <c r="AK197" s="108">
        <v>10</v>
      </c>
      <c r="AL197" s="108">
        <v>127</v>
      </c>
      <c r="AM197" s="108">
        <v>1607</v>
      </c>
      <c r="AN197" s="108">
        <f t="shared" si="13"/>
        <v>129</v>
      </c>
      <c r="AO197" s="108">
        <f t="shared" si="14"/>
        <v>1617</v>
      </c>
      <c r="AP197" s="110">
        <f t="shared" si="12"/>
        <v>12.534883720930232</v>
      </c>
      <c r="AQ197" s="110">
        <f t="shared" si="15"/>
        <v>0.2073608617594255</v>
      </c>
      <c r="AR197" s="108">
        <v>10</v>
      </c>
      <c r="AS197" s="108">
        <v>30</v>
      </c>
      <c r="AT197" s="108">
        <v>7798</v>
      </c>
    </row>
    <row r="198" spans="1:46" ht="13.5" thickBot="1" x14ac:dyDescent="0.25">
      <c r="A198" s="48" t="s">
        <v>670</v>
      </c>
      <c r="B198" s="47" t="s">
        <v>669</v>
      </c>
      <c r="C198" s="48" t="s">
        <v>25</v>
      </c>
      <c r="D198" s="48" t="s">
        <v>1649</v>
      </c>
      <c r="E198" s="48" t="s">
        <v>1648</v>
      </c>
      <c r="F198" s="108">
        <v>104</v>
      </c>
      <c r="G198" s="108">
        <v>1000</v>
      </c>
      <c r="H198" s="108">
        <v>14</v>
      </c>
      <c r="I198" s="108">
        <v>25</v>
      </c>
      <c r="J198" s="108">
        <v>0</v>
      </c>
      <c r="K198" s="108">
        <v>0</v>
      </c>
      <c r="L198" s="108">
        <v>0</v>
      </c>
      <c r="M198" s="108">
        <v>0</v>
      </c>
      <c r="N198" s="108">
        <v>99</v>
      </c>
      <c r="O198" s="108">
        <v>79</v>
      </c>
      <c r="P198" s="108">
        <v>178</v>
      </c>
      <c r="Q198" s="108">
        <v>0</v>
      </c>
      <c r="R198" s="108">
        <v>0</v>
      </c>
      <c r="S198" s="108">
        <v>104</v>
      </c>
      <c r="T198" s="108">
        <v>1000</v>
      </c>
      <c r="U198" s="109" t="s">
        <v>1648</v>
      </c>
      <c r="V198" s="108">
        <v>54</v>
      </c>
      <c r="W198" s="108">
        <v>300</v>
      </c>
      <c r="X198" s="108">
        <v>0</v>
      </c>
      <c r="Y198" s="108">
        <v>0</v>
      </c>
      <c r="Z198" s="108">
        <v>14</v>
      </c>
      <c r="AA198" s="108">
        <v>25</v>
      </c>
      <c r="AB198" s="108">
        <v>0</v>
      </c>
      <c r="AC198" s="108">
        <v>0</v>
      </c>
      <c r="AD198" s="108">
        <v>28</v>
      </c>
      <c r="AE198" s="108">
        <v>500</v>
      </c>
      <c r="AF198" s="108">
        <v>0</v>
      </c>
      <c r="AG198" s="108">
        <v>0</v>
      </c>
      <c r="AH198" s="108">
        <v>4</v>
      </c>
      <c r="AI198" s="108">
        <v>200</v>
      </c>
      <c r="AJ198" s="108">
        <v>0</v>
      </c>
      <c r="AK198" s="108">
        <v>0</v>
      </c>
      <c r="AL198" s="108">
        <v>150</v>
      </c>
      <c r="AM198" s="108">
        <v>1725</v>
      </c>
      <c r="AN198" s="108">
        <f t="shared" si="13"/>
        <v>150</v>
      </c>
      <c r="AO198" s="108">
        <f t="shared" si="14"/>
        <v>1725</v>
      </c>
      <c r="AP198" s="110">
        <f t="shared" si="12"/>
        <v>11.5</v>
      </c>
      <c r="AQ198" s="110">
        <f t="shared" si="15"/>
        <v>0.16931684334511191</v>
      </c>
      <c r="AR198" s="108">
        <v>11</v>
      </c>
      <c r="AS198" s="108">
        <v>150</v>
      </c>
      <c r="AT198" s="108">
        <v>10188</v>
      </c>
    </row>
    <row r="199" spans="1:46" ht="13.5" thickBot="1" x14ac:dyDescent="0.25">
      <c r="A199" s="48" t="s">
        <v>676</v>
      </c>
      <c r="B199" s="47" t="s">
        <v>675</v>
      </c>
      <c r="C199" s="48" t="s">
        <v>25</v>
      </c>
      <c r="D199" s="48" t="s">
        <v>1648</v>
      </c>
      <c r="E199" s="48" t="s">
        <v>1648</v>
      </c>
      <c r="F199" s="108">
        <v>26</v>
      </c>
      <c r="G199" s="108">
        <v>365</v>
      </c>
      <c r="H199" s="108">
        <v>7</v>
      </c>
      <c r="I199" s="108">
        <v>61</v>
      </c>
      <c r="J199" s="108">
        <v>0</v>
      </c>
      <c r="K199" s="108">
        <v>0</v>
      </c>
      <c r="L199" s="108">
        <v>0</v>
      </c>
      <c r="M199" s="108">
        <v>0</v>
      </c>
      <c r="N199" s="108">
        <v>33</v>
      </c>
      <c r="O199" s="108">
        <v>3</v>
      </c>
      <c r="P199" s="108">
        <v>36</v>
      </c>
      <c r="Q199" s="108">
        <v>14</v>
      </c>
      <c r="R199" s="108">
        <v>32</v>
      </c>
      <c r="S199" s="108">
        <v>26</v>
      </c>
      <c r="T199" s="108">
        <v>365</v>
      </c>
      <c r="U199" s="109" t="s">
        <v>1648</v>
      </c>
      <c r="V199" s="108">
        <v>15</v>
      </c>
      <c r="W199" s="108">
        <v>219</v>
      </c>
      <c r="X199" s="108">
        <v>1</v>
      </c>
      <c r="Y199" s="108">
        <v>3</v>
      </c>
      <c r="Z199" s="108">
        <v>7</v>
      </c>
      <c r="AA199" s="108">
        <v>61</v>
      </c>
      <c r="AB199" s="108">
        <v>0</v>
      </c>
      <c r="AC199" s="108">
        <v>0</v>
      </c>
      <c r="AD199" s="108">
        <v>7</v>
      </c>
      <c r="AE199" s="108">
        <v>135</v>
      </c>
      <c r="AF199" s="108">
        <v>14</v>
      </c>
      <c r="AG199" s="108">
        <v>109</v>
      </c>
      <c r="AH199" s="108">
        <v>5</v>
      </c>
      <c r="AI199" s="108">
        <v>262</v>
      </c>
      <c r="AJ199" s="108">
        <v>29</v>
      </c>
      <c r="AK199" s="108">
        <v>144</v>
      </c>
      <c r="AL199" s="108">
        <v>45</v>
      </c>
      <c r="AM199" s="108">
        <v>823</v>
      </c>
      <c r="AN199" s="108">
        <f t="shared" si="13"/>
        <v>74</v>
      </c>
      <c r="AO199" s="108">
        <f t="shared" si="14"/>
        <v>967</v>
      </c>
      <c r="AP199" s="110">
        <f t="shared" si="12"/>
        <v>13.067567567567568</v>
      </c>
      <c r="AQ199" s="110">
        <f t="shared" si="15"/>
        <v>0.13297579757975797</v>
      </c>
      <c r="AR199" s="108">
        <v>11</v>
      </c>
      <c r="AS199" s="108">
        <v>8499</v>
      </c>
      <c r="AT199" s="108">
        <v>7272</v>
      </c>
    </row>
    <row r="200" spans="1:46" ht="13.5" thickBot="1" x14ac:dyDescent="0.25">
      <c r="A200" s="48" t="s">
        <v>144</v>
      </c>
      <c r="B200" s="47" t="s">
        <v>143</v>
      </c>
      <c r="C200" s="48" t="s">
        <v>25</v>
      </c>
      <c r="D200" s="48" t="s">
        <v>1648</v>
      </c>
      <c r="E200" s="48" t="s">
        <v>1648</v>
      </c>
      <c r="F200" s="108">
        <v>64</v>
      </c>
      <c r="G200" s="108">
        <v>1894</v>
      </c>
      <c r="H200" s="108">
        <v>32</v>
      </c>
      <c r="I200" s="108">
        <v>578</v>
      </c>
      <c r="J200" s="108">
        <v>7</v>
      </c>
      <c r="K200" s="108">
        <v>236</v>
      </c>
      <c r="L200" s="108">
        <v>3</v>
      </c>
      <c r="M200" s="108">
        <v>74</v>
      </c>
      <c r="N200" s="108">
        <v>324</v>
      </c>
      <c r="O200" s="108">
        <v>36</v>
      </c>
      <c r="P200" s="108">
        <v>360</v>
      </c>
      <c r="Q200" s="108">
        <v>0</v>
      </c>
      <c r="R200" s="108">
        <v>0</v>
      </c>
      <c r="S200" s="108">
        <v>71</v>
      </c>
      <c r="T200" s="108">
        <v>2130</v>
      </c>
      <c r="U200" s="109" t="s">
        <v>1648</v>
      </c>
      <c r="V200" s="108">
        <v>25</v>
      </c>
      <c r="W200" s="108">
        <v>482</v>
      </c>
      <c r="X200" s="108">
        <v>0</v>
      </c>
      <c r="Y200" s="108">
        <v>0</v>
      </c>
      <c r="Z200" s="108">
        <v>35</v>
      </c>
      <c r="AA200" s="108">
        <v>652</v>
      </c>
      <c r="AB200" s="108">
        <v>15</v>
      </c>
      <c r="AC200" s="108">
        <v>173</v>
      </c>
      <c r="AD200" s="108">
        <v>129</v>
      </c>
      <c r="AE200" s="108">
        <v>1065</v>
      </c>
      <c r="AF200" s="108">
        <v>0</v>
      </c>
      <c r="AG200" s="108">
        <v>0</v>
      </c>
      <c r="AH200" s="108">
        <v>31</v>
      </c>
      <c r="AI200" s="108">
        <v>2855</v>
      </c>
      <c r="AJ200" s="108">
        <v>15</v>
      </c>
      <c r="AK200" s="108">
        <v>173</v>
      </c>
      <c r="AL200" s="108">
        <v>266</v>
      </c>
      <c r="AM200" s="108">
        <v>6702</v>
      </c>
      <c r="AN200" s="108">
        <f t="shared" si="13"/>
        <v>281</v>
      </c>
      <c r="AO200" s="108">
        <f t="shared" si="14"/>
        <v>6875</v>
      </c>
      <c r="AP200" s="110">
        <f t="shared" si="12"/>
        <v>24.466192170818506</v>
      </c>
      <c r="AQ200" s="110">
        <f t="shared" si="15"/>
        <v>0.58100228175441559</v>
      </c>
      <c r="AR200" s="108">
        <v>12</v>
      </c>
      <c r="AS200" s="108">
        <v>473</v>
      </c>
      <c r="AT200" s="108">
        <v>11833</v>
      </c>
    </row>
    <row r="201" spans="1:46" ht="13.5" thickBot="1" x14ac:dyDescent="0.25">
      <c r="A201" s="48" t="s">
        <v>106</v>
      </c>
      <c r="B201" s="47" t="s">
        <v>105</v>
      </c>
      <c r="C201" s="48" t="s">
        <v>25</v>
      </c>
      <c r="D201" s="48" t="s">
        <v>1648</v>
      </c>
      <c r="E201" s="48" t="s">
        <v>1648</v>
      </c>
      <c r="F201" s="108">
        <v>86</v>
      </c>
      <c r="G201" s="108">
        <v>1822</v>
      </c>
      <c r="H201" s="108">
        <v>0</v>
      </c>
      <c r="I201" s="108">
        <v>0</v>
      </c>
      <c r="J201" s="108">
        <v>18</v>
      </c>
      <c r="K201" s="108">
        <v>223</v>
      </c>
      <c r="L201" s="108">
        <v>1</v>
      </c>
      <c r="M201" s="108">
        <v>7</v>
      </c>
      <c r="N201" s="108">
        <v>72</v>
      </c>
      <c r="O201" s="108">
        <v>17</v>
      </c>
      <c r="P201" s="108">
        <v>89</v>
      </c>
      <c r="Q201" s="108">
        <v>1</v>
      </c>
      <c r="R201" s="108">
        <v>12</v>
      </c>
      <c r="S201" s="108">
        <v>104</v>
      </c>
      <c r="T201" s="108">
        <v>2045</v>
      </c>
      <c r="U201" s="109" t="s">
        <v>1648</v>
      </c>
      <c r="V201" s="108">
        <v>88</v>
      </c>
      <c r="W201" s="108">
        <v>1760</v>
      </c>
      <c r="X201" s="108">
        <v>0</v>
      </c>
      <c r="Y201" s="108">
        <v>0</v>
      </c>
      <c r="Z201" s="108">
        <v>1</v>
      </c>
      <c r="AA201" s="108">
        <v>7</v>
      </c>
      <c r="AB201" s="108">
        <v>1</v>
      </c>
      <c r="AC201" s="108">
        <v>23</v>
      </c>
      <c r="AD201" s="108">
        <v>74</v>
      </c>
      <c r="AE201" s="108">
        <v>715</v>
      </c>
      <c r="AF201" s="108">
        <v>0</v>
      </c>
      <c r="AG201" s="108">
        <v>0</v>
      </c>
      <c r="AH201" s="108">
        <v>0</v>
      </c>
      <c r="AI201" s="108">
        <v>0</v>
      </c>
      <c r="AJ201" s="108">
        <v>2</v>
      </c>
      <c r="AK201" s="108">
        <v>35</v>
      </c>
      <c r="AL201" s="108">
        <v>179</v>
      </c>
      <c r="AM201" s="108">
        <v>2767</v>
      </c>
      <c r="AN201" s="108">
        <f t="shared" si="13"/>
        <v>181</v>
      </c>
      <c r="AO201" s="108">
        <f t="shared" si="14"/>
        <v>2802</v>
      </c>
      <c r="AP201" s="110">
        <f t="shared" si="12"/>
        <v>15.480662983425415</v>
      </c>
      <c r="AQ201" s="110">
        <f t="shared" si="15"/>
        <v>0.23695560253699788</v>
      </c>
      <c r="AR201" s="108">
        <v>14</v>
      </c>
      <c r="AS201" s="108">
        <v>141</v>
      </c>
      <c r="AT201" s="108">
        <v>11825</v>
      </c>
    </row>
    <row r="202" spans="1:46" ht="13.5" thickBot="1" x14ac:dyDescent="0.25">
      <c r="A202" s="48" t="s">
        <v>798</v>
      </c>
      <c r="B202" s="47" t="s">
        <v>797</v>
      </c>
      <c r="C202" s="48" t="s">
        <v>25</v>
      </c>
      <c r="D202" s="48" t="s">
        <v>1648</v>
      </c>
      <c r="E202" s="48" t="s">
        <v>1648</v>
      </c>
      <c r="F202" s="108">
        <v>100</v>
      </c>
      <c r="G202" s="108">
        <v>2512</v>
      </c>
      <c r="H202" s="108">
        <v>37</v>
      </c>
      <c r="I202" s="108">
        <v>212</v>
      </c>
      <c r="J202" s="108">
        <v>43</v>
      </c>
      <c r="K202" s="108">
        <v>2146</v>
      </c>
      <c r="L202" s="108">
        <v>20</v>
      </c>
      <c r="M202" s="108">
        <v>443</v>
      </c>
      <c r="N202" s="108">
        <v>124</v>
      </c>
      <c r="O202" s="108">
        <v>7</v>
      </c>
      <c r="P202" s="108">
        <v>131</v>
      </c>
      <c r="Q202" s="108">
        <v>2</v>
      </c>
      <c r="R202" s="108">
        <v>0</v>
      </c>
      <c r="S202" s="108">
        <v>143</v>
      </c>
      <c r="T202" s="108">
        <v>4658</v>
      </c>
      <c r="U202" s="109" t="s">
        <v>1648</v>
      </c>
      <c r="V202" s="108">
        <v>88</v>
      </c>
      <c r="W202" s="108">
        <v>1667</v>
      </c>
      <c r="X202" s="108">
        <v>0</v>
      </c>
      <c r="Y202" s="108">
        <v>0</v>
      </c>
      <c r="Z202" s="108">
        <v>57</v>
      </c>
      <c r="AA202" s="108">
        <v>655</v>
      </c>
      <c r="AB202" s="108">
        <v>0</v>
      </c>
      <c r="AC202" s="108">
        <v>0</v>
      </c>
      <c r="AD202" s="108">
        <v>65</v>
      </c>
      <c r="AE202" s="108">
        <v>1008</v>
      </c>
      <c r="AF202" s="108">
        <v>0</v>
      </c>
      <c r="AG202" s="108">
        <v>0</v>
      </c>
      <c r="AH202" s="108">
        <v>0</v>
      </c>
      <c r="AI202" s="108">
        <v>0</v>
      </c>
      <c r="AJ202" s="108">
        <v>2</v>
      </c>
      <c r="AK202" s="108">
        <v>0</v>
      </c>
      <c r="AL202" s="108">
        <v>265</v>
      </c>
      <c r="AM202" s="108">
        <v>6321</v>
      </c>
      <c r="AN202" s="108">
        <f t="shared" si="13"/>
        <v>267</v>
      </c>
      <c r="AO202" s="108">
        <f t="shared" si="14"/>
        <v>6321</v>
      </c>
      <c r="AP202" s="110">
        <f t="shared" si="12"/>
        <v>23.674157303370787</v>
      </c>
      <c r="AQ202" s="110">
        <f t="shared" si="15"/>
        <v>0.53517907035814072</v>
      </c>
      <c r="AR202" s="108">
        <v>14</v>
      </c>
      <c r="AS202" s="108">
        <v>71</v>
      </c>
      <c r="AT202" s="108">
        <v>11811</v>
      </c>
    </row>
    <row r="203" spans="1:46" ht="13.5" thickBot="1" x14ac:dyDescent="0.25">
      <c r="A203" s="48" t="s">
        <v>584</v>
      </c>
      <c r="B203" s="47" t="s">
        <v>583</v>
      </c>
      <c r="C203" s="48" t="s">
        <v>25</v>
      </c>
      <c r="D203" s="48" t="s">
        <v>1648</v>
      </c>
      <c r="E203" s="48" t="s">
        <v>1648</v>
      </c>
      <c r="F203" s="108">
        <v>304</v>
      </c>
      <c r="G203" s="108">
        <v>4970</v>
      </c>
      <c r="H203" s="108">
        <v>40</v>
      </c>
      <c r="I203" s="108">
        <v>399</v>
      </c>
      <c r="J203" s="108">
        <v>66</v>
      </c>
      <c r="K203" s="108">
        <v>1102</v>
      </c>
      <c r="L203" s="108">
        <v>7</v>
      </c>
      <c r="M203" s="108">
        <v>153</v>
      </c>
      <c r="N203" s="108">
        <v>1210</v>
      </c>
      <c r="O203" s="108">
        <v>127</v>
      </c>
      <c r="P203" s="108">
        <v>1337</v>
      </c>
      <c r="Q203" s="108">
        <v>4</v>
      </c>
      <c r="R203" s="108">
        <v>500</v>
      </c>
      <c r="S203" s="108">
        <v>370</v>
      </c>
      <c r="T203" s="108">
        <v>6072</v>
      </c>
      <c r="U203" s="109" t="s">
        <v>1648</v>
      </c>
      <c r="V203" s="108">
        <v>181</v>
      </c>
      <c r="W203" s="108">
        <v>3781</v>
      </c>
      <c r="X203" s="108">
        <v>0</v>
      </c>
      <c r="Y203" s="108">
        <v>0</v>
      </c>
      <c r="Z203" s="108">
        <v>47</v>
      </c>
      <c r="AA203" s="108">
        <v>552</v>
      </c>
      <c r="AB203" s="108">
        <v>9</v>
      </c>
      <c r="AC203" s="108">
        <v>217</v>
      </c>
      <c r="AD203" s="108">
        <v>260</v>
      </c>
      <c r="AE203" s="108">
        <v>3399</v>
      </c>
      <c r="AF203" s="108">
        <v>8</v>
      </c>
      <c r="AG203" s="108">
        <v>96</v>
      </c>
      <c r="AH203" s="108">
        <v>221</v>
      </c>
      <c r="AI203" s="108">
        <v>4753</v>
      </c>
      <c r="AJ203" s="108">
        <v>21</v>
      </c>
      <c r="AK203" s="108">
        <v>813</v>
      </c>
      <c r="AL203" s="108">
        <v>898</v>
      </c>
      <c r="AM203" s="108">
        <v>14776</v>
      </c>
      <c r="AN203" s="108">
        <f t="shared" si="13"/>
        <v>919</v>
      </c>
      <c r="AO203" s="108">
        <f t="shared" si="14"/>
        <v>15589</v>
      </c>
      <c r="AP203" s="110">
        <f t="shared" si="12"/>
        <v>16.963003264417846</v>
      </c>
      <c r="AQ203" s="110">
        <f t="shared" si="15"/>
        <v>1.3552116839085455</v>
      </c>
      <c r="AR203" s="108">
        <v>16</v>
      </c>
      <c r="AS203" s="108">
        <v>2704</v>
      </c>
      <c r="AT203" s="108">
        <v>11503</v>
      </c>
    </row>
    <row r="204" spans="1:46" ht="13.5" thickBot="1" x14ac:dyDescent="0.25">
      <c r="A204" s="48" t="s">
        <v>350</v>
      </c>
      <c r="B204" s="47" t="s">
        <v>349</v>
      </c>
      <c r="C204" s="48" t="s">
        <v>25</v>
      </c>
      <c r="D204" s="48" t="s">
        <v>1648</v>
      </c>
      <c r="E204" s="48" t="s">
        <v>1648</v>
      </c>
      <c r="F204" s="108">
        <v>150</v>
      </c>
      <c r="G204" s="108">
        <v>5692</v>
      </c>
      <c r="H204" s="108">
        <v>115</v>
      </c>
      <c r="I204" s="108">
        <v>814</v>
      </c>
      <c r="J204" s="108">
        <v>32</v>
      </c>
      <c r="K204" s="108">
        <v>1855</v>
      </c>
      <c r="L204" s="108">
        <v>12</v>
      </c>
      <c r="M204" s="108">
        <v>68</v>
      </c>
      <c r="N204" s="108">
        <v>570</v>
      </c>
      <c r="O204" s="108">
        <v>173</v>
      </c>
      <c r="P204" s="108">
        <v>743</v>
      </c>
      <c r="Q204" s="108">
        <v>4</v>
      </c>
      <c r="R204" s="108">
        <v>232</v>
      </c>
      <c r="S204" s="108">
        <v>182</v>
      </c>
      <c r="T204" s="108">
        <v>7547</v>
      </c>
      <c r="U204" s="109" t="s">
        <v>1648</v>
      </c>
      <c r="V204" s="108">
        <v>83</v>
      </c>
      <c r="W204" s="108">
        <v>2452</v>
      </c>
      <c r="X204" s="108">
        <v>3</v>
      </c>
      <c r="Y204" s="108">
        <v>8</v>
      </c>
      <c r="Z204" s="108">
        <v>127</v>
      </c>
      <c r="AA204" s="108">
        <v>882</v>
      </c>
      <c r="AB204" s="108">
        <v>14</v>
      </c>
      <c r="AC204" s="108">
        <v>106</v>
      </c>
      <c r="AD204" s="108">
        <v>36</v>
      </c>
      <c r="AE204" s="108">
        <v>698</v>
      </c>
      <c r="AF204" s="108">
        <v>0</v>
      </c>
      <c r="AG204" s="108">
        <v>0</v>
      </c>
      <c r="AH204" s="109">
        <v>0</v>
      </c>
      <c r="AI204" s="109">
        <v>0</v>
      </c>
      <c r="AJ204" s="108">
        <v>21</v>
      </c>
      <c r="AK204" s="108">
        <v>346</v>
      </c>
      <c r="AL204" s="108">
        <v>345</v>
      </c>
      <c r="AM204" s="108">
        <v>9127</v>
      </c>
      <c r="AN204" s="108">
        <f t="shared" si="13"/>
        <v>366</v>
      </c>
      <c r="AO204" s="108">
        <f t="shared" si="14"/>
        <v>9473</v>
      </c>
      <c r="AP204" s="110">
        <f t="shared" si="12"/>
        <v>25.882513661202186</v>
      </c>
      <c r="AQ204" s="110">
        <f t="shared" si="15"/>
        <v>1.3276804484933427</v>
      </c>
      <c r="AR204" s="108">
        <v>17</v>
      </c>
      <c r="AS204" s="108">
        <v>1444</v>
      </c>
      <c r="AT204" s="108">
        <v>7135</v>
      </c>
    </row>
    <row r="205" spans="1:46" ht="13.5" thickBot="1" x14ac:dyDescent="0.25">
      <c r="A205" s="48" t="s">
        <v>504</v>
      </c>
      <c r="B205" s="47" t="s">
        <v>503</v>
      </c>
      <c r="C205" s="48" t="s">
        <v>25</v>
      </c>
      <c r="D205" s="48" t="s">
        <v>1648</v>
      </c>
      <c r="E205" s="48" t="s">
        <v>1648</v>
      </c>
      <c r="F205" s="108">
        <v>64</v>
      </c>
      <c r="G205" s="108">
        <v>710</v>
      </c>
      <c r="H205" s="108">
        <v>7</v>
      </c>
      <c r="I205" s="108">
        <v>37</v>
      </c>
      <c r="J205" s="108">
        <v>9</v>
      </c>
      <c r="K205" s="108">
        <v>24</v>
      </c>
      <c r="L205" s="108">
        <v>7</v>
      </c>
      <c r="M205" s="108">
        <v>177</v>
      </c>
      <c r="N205" s="108">
        <v>149</v>
      </c>
      <c r="O205" s="108">
        <v>48</v>
      </c>
      <c r="P205" s="108">
        <v>197</v>
      </c>
      <c r="Q205" s="108">
        <v>1</v>
      </c>
      <c r="R205" s="108">
        <v>15</v>
      </c>
      <c r="S205" s="108">
        <v>73</v>
      </c>
      <c r="T205" s="108">
        <v>734</v>
      </c>
      <c r="U205" s="109" t="s">
        <v>1648</v>
      </c>
      <c r="V205" s="108">
        <v>36</v>
      </c>
      <c r="W205" s="108">
        <v>639</v>
      </c>
      <c r="X205" s="108">
        <v>0</v>
      </c>
      <c r="Y205" s="108">
        <v>0</v>
      </c>
      <c r="Z205" s="108">
        <v>14</v>
      </c>
      <c r="AA205" s="108">
        <v>214</v>
      </c>
      <c r="AB205" s="108">
        <v>4</v>
      </c>
      <c r="AC205" s="108">
        <v>5</v>
      </c>
      <c r="AD205" s="108">
        <v>24</v>
      </c>
      <c r="AE205" s="108">
        <v>191</v>
      </c>
      <c r="AF205" s="108">
        <v>0</v>
      </c>
      <c r="AG205" s="108">
        <v>0</v>
      </c>
      <c r="AH205" s="108">
        <v>9</v>
      </c>
      <c r="AI205" s="108">
        <v>976</v>
      </c>
      <c r="AJ205" s="108">
        <v>5</v>
      </c>
      <c r="AK205" s="108">
        <v>20</v>
      </c>
      <c r="AL205" s="108">
        <v>120</v>
      </c>
      <c r="AM205" s="108">
        <v>2115</v>
      </c>
      <c r="AN205" s="108">
        <f t="shared" si="13"/>
        <v>125</v>
      </c>
      <c r="AO205" s="108">
        <f t="shared" si="14"/>
        <v>2135</v>
      </c>
      <c r="AP205" s="110">
        <f t="shared" si="12"/>
        <v>17.079999999999998</v>
      </c>
      <c r="AQ205" s="110">
        <f t="shared" si="15"/>
        <v>0.28758081896551724</v>
      </c>
      <c r="AR205" s="108">
        <v>17</v>
      </c>
      <c r="AS205" s="108">
        <v>2111</v>
      </c>
      <c r="AT205" s="108">
        <v>7424</v>
      </c>
    </row>
    <row r="206" spans="1:46" ht="13.5" thickBot="1" x14ac:dyDescent="0.25">
      <c r="A206" s="48" t="s">
        <v>702</v>
      </c>
      <c r="B206" s="47" t="s">
        <v>701</v>
      </c>
      <c r="C206" s="48" t="s">
        <v>25</v>
      </c>
      <c r="D206" s="48" t="s">
        <v>1648</v>
      </c>
      <c r="E206" s="48" t="s">
        <v>1648</v>
      </c>
      <c r="F206" s="108">
        <v>55</v>
      </c>
      <c r="G206" s="108">
        <v>2602</v>
      </c>
      <c r="H206" s="108">
        <v>6</v>
      </c>
      <c r="I206" s="108">
        <v>61</v>
      </c>
      <c r="J206" s="108">
        <v>9</v>
      </c>
      <c r="K206" s="108">
        <v>300</v>
      </c>
      <c r="L206" s="108">
        <v>0</v>
      </c>
      <c r="M206" s="108">
        <v>0</v>
      </c>
      <c r="N206" s="108">
        <v>28</v>
      </c>
      <c r="O206" s="108">
        <v>0</v>
      </c>
      <c r="P206" s="108">
        <v>28</v>
      </c>
      <c r="Q206" s="108">
        <v>9</v>
      </c>
      <c r="R206" s="108">
        <v>195</v>
      </c>
      <c r="S206" s="108">
        <v>64</v>
      </c>
      <c r="T206" s="108">
        <v>2902</v>
      </c>
      <c r="U206" s="109" t="s">
        <v>1648</v>
      </c>
      <c r="V206" s="108">
        <v>48</v>
      </c>
      <c r="W206" s="108">
        <v>1319</v>
      </c>
      <c r="X206" s="108">
        <v>0</v>
      </c>
      <c r="Y206" s="108">
        <v>0</v>
      </c>
      <c r="Z206" s="108">
        <v>6</v>
      </c>
      <c r="AA206" s="108">
        <v>61</v>
      </c>
      <c r="AB206" s="108">
        <v>0</v>
      </c>
      <c r="AC206" s="108">
        <v>0</v>
      </c>
      <c r="AD206" s="108">
        <v>7</v>
      </c>
      <c r="AE206" s="108">
        <v>350</v>
      </c>
      <c r="AF206" s="108">
        <v>0</v>
      </c>
      <c r="AG206" s="108">
        <v>0</v>
      </c>
      <c r="AH206" s="108">
        <v>1</v>
      </c>
      <c r="AI206" s="108">
        <v>75</v>
      </c>
      <c r="AJ206" s="108">
        <v>9</v>
      </c>
      <c r="AK206" s="108">
        <v>195</v>
      </c>
      <c r="AL206" s="108">
        <v>78</v>
      </c>
      <c r="AM206" s="108">
        <v>3388</v>
      </c>
      <c r="AN206" s="108">
        <f t="shared" si="13"/>
        <v>87</v>
      </c>
      <c r="AO206" s="108">
        <f t="shared" si="14"/>
        <v>3583</v>
      </c>
      <c r="AP206" s="110">
        <f t="shared" si="12"/>
        <v>41.183908045977013</v>
      </c>
      <c r="AQ206" s="110">
        <f t="shared" si="15"/>
        <v>0.37148781752203214</v>
      </c>
      <c r="AR206" s="108">
        <v>18</v>
      </c>
      <c r="AS206" s="108">
        <v>269</v>
      </c>
      <c r="AT206" s="108">
        <v>9645</v>
      </c>
    </row>
    <row r="207" spans="1:46" ht="13.5" thickBot="1" x14ac:dyDescent="0.25">
      <c r="A207" s="48" t="s">
        <v>96</v>
      </c>
      <c r="B207" s="47" t="s">
        <v>95</v>
      </c>
      <c r="C207" s="48" t="s">
        <v>25</v>
      </c>
      <c r="D207" s="48" t="s">
        <v>1648</v>
      </c>
      <c r="E207" s="48" t="s">
        <v>1648</v>
      </c>
      <c r="F207" s="108">
        <v>78</v>
      </c>
      <c r="G207" s="108">
        <v>1286</v>
      </c>
      <c r="H207" s="108">
        <v>90</v>
      </c>
      <c r="I207" s="108">
        <v>1038</v>
      </c>
      <c r="J207" s="108">
        <v>6</v>
      </c>
      <c r="K207" s="108">
        <v>72</v>
      </c>
      <c r="L207" s="108">
        <v>4</v>
      </c>
      <c r="M207" s="108">
        <v>24</v>
      </c>
      <c r="N207" s="108">
        <v>74</v>
      </c>
      <c r="O207" s="108">
        <v>19</v>
      </c>
      <c r="P207" s="108">
        <v>93</v>
      </c>
      <c r="Q207" s="108">
        <v>40</v>
      </c>
      <c r="R207" s="108">
        <v>179</v>
      </c>
      <c r="S207" s="108">
        <v>84</v>
      </c>
      <c r="T207" s="108">
        <v>1358</v>
      </c>
      <c r="U207" s="109" t="s">
        <v>1648</v>
      </c>
      <c r="V207" s="108">
        <v>60</v>
      </c>
      <c r="W207" s="108">
        <v>1158</v>
      </c>
      <c r="X207" s="108">
        <v>0</v>
      </c>
      <c r="Y207" s="108">
        <v>0</v>
      </c>
      <c r="Z207" s="108">
        <v>94</v>
      </c>
      <c r="AA207" s="108">
        <v>1062</v>
      </c>
      <c r="AB207" s="108">
        <v>7</v>
      </c>
      <c r="AC207" s="108">
        <v>43</v>
      </c>
      <c r="AD207" s="108">
        <v>43</v>
      </c>
      <c r="AE207" s="108">
        <v>266</v>
      </c>
      <c r="AF207" s="108">
        <v>1</v>
      </c>
      <c r="AG207" s="108">
        <v>4</v>
      </c>
      <c r="AH207" s="108">
        <v>2</v>
      </c>
      <c r="AI207" s="108">
        <v>943</v>
      </c>
      <c r="AJ207" s="108">
        <v>48</v>
      </c>
      <c r="AK207" s="108">
        <v>226</v>
      </c>
      <c r="AL207" s="108">
        <v>223</v>
      </c>
      <c r="AM207" s="108">
        <v>3629</v>
      </c>
      <c r="AN207" s="108">
        <f t="shared" si="13"/>
        <v>271</v>
      </c>
      <c r="AO207" s="108">
        <f t="shared" si="14"/>
        <v>3855</v>
      </c>
      <c r="AP207" s="110">
        <f t="shared" si="12"/>
        <v>14.22509225092251</v>
      </c>
      <c r="AQ207" s="110">
        <f t="shared" si="15"/>
        <v>0.41915842122431229</v>
      </c>
      <c r="AR207" s="108">
        <v>20</v>
      </c>
      <c r="AS207" s="108">
        <v>745</v>
      </c>
      <c r="AT207" s="108">
        <v>9197</v>
      </c>
    </row>
    <row r="208" spans="1:46" ht="13.5" thickBot="1" x14ac:dyDescent="0.25">
      <c r="A208" s="48" t="s">
        <v>564</v>
      </c>
      <c r="B208" s="47" t="s">
        <v>563</v>
      </c>
      <c r="C208" s="48" t="s">
        <v>25</v>
      </c>
      <c r="D208" s="48" t="s">
        <v>1648</v>
      </c>
      <c r="E208" s="48" t="s">
        <v>1648</v>
      </c>
      <c r="F208" s="108">
        <v>70</v>
      </c>
      <c r="G208" s="108">
        <v>494</v>
      </c>
      <c r="H208" s="108">
        <v>0</v>
      </c>
      <c r="I208" s="108">
        <v>0</v>
      </c>
      <c r="J208" s="108">
        <v>0</v>
      </c>
      <c r="K208" s="108">
        <v>0</v>
      </c>
      <c r="L208" s="108">
        <v>0</v>
      </c>
      <c r="M208" s="108">
        <v>0</v>
      </c>
      <c r="N208" s="108">
        <v>20</v>
      </c>
      <c r="O208" s="108">
        <v>2</v>
      </c>
      <c r="P208" s="108">
        <v>22</v>
      </c>
      <c r="Q208" s="108">
        <v>2</v>
      </c>
      <c r="R208" s="108">
        <v>8</v>
      </c>
      <c r="S208" s="108">
        <v>70</v>
      </c>
      <c r="T208" s="108">
        <v>494</v>
      </c>
      <c r="U208" s="109" t="s">
        <v>1649</v>
      </c>
      <c r="V208" s="108">
        <v>0</v>
      </c>
      <c r="W208" s="108">
        <v>0</v>
      </c>
      <c r="X208" s="108">
        <v>0</v>
      </c>
      <c r="Y208" s="108">
        <v>0</v>
      </c>
      <c r="Z208" s="108">
        <v>0</v>
      </c>
      <c r="AA208" s="108">
        <v>0</v>
      </c>
      <c r="AB208" s="108">
        <v>17</v>
      </c>
      <c r="AC208" s="108">
        <v>92</v>
      </c>
      <c r="AD208" s="108">
        <v>44</v>
      </c>
      <c r="AE208" s="108">
        <v>1297</v>
      </c>
      <c r="AF208" s="108">
        <v>0</v>
      </c>
      <c r="AG208" s="108">
        <v>0</v>
      </c>
      <c r="AH208" s="108">
        <v>0</v>
      </c>
      <c r="AI208" s="108">
        <v>0</v>
      </c>
      <c r="AJ208" s="108">
        <v>19</v>
      </c>
      <c r="AK208" s="108">
        <v>100</v>
      </c>
      <c r="AL208" s="108">
        <v>114</v>
      </c>
      <c r="AM208" s="108">
        <v>1791</v>
      </c>
      <c r="AN208" s="108">
        <f t="shared" si="13"/>
        <v>133</v>
      </c>
      <c r="AO208" s="108">
        <f t="shared" si="14"/>
        <v>1891</v>
      </c>
      <c r="AP208" s="110">
        <f t="shared" si="12"/>
        <v>14.218045112781954</v>
      </c>
      <c r="AQ208" s="110">
        <f t="shared" si="15"/>
        <v>0.18968803290199618</v>
      </c>
      <c r="AR208" s="108">
        <v>20</v>
      </c>
      <c r="AS208" s="108">
        <v>1629</v>
      </c>
      <c r="AT208" s="108">
        <v>9969</v>
      </c>
    </row>
    <row r="209" spans="1:46" ht="13.5" thickBot="1" x14ac:dyDescent="0.25">
      <c r="A209" s="48" t="s">
        <v>128</v>
      </c>
      <c r="B209" s="47" t="s">
        <v>127</v>
      </c>
      <c r="C209" s="48" t="s">
        <v>25</v>
      </c>
      <c r="D209" s="48" t="s">
        <v>1648</v>
      </c>
      <c r="E209" s="48" t="s">
        <v>1648</v>
      </c>
      <c r="F209" s="108">
        <v>96</v>
      </c>
      <c r="G209" s="108">
        <v>2450</v>
      </c>
      <c r="H209" s="108">
        <v>16</v>
      </c>
      <c r="I209" s="108">
        <v>253</v>
      </c>
      <c r="J209" s="108">
        <v>24</v>
      </c>
      <c r="K209" s="108">
        <v>1363</v>
      </c>
      <c r="L209" s="108">
        <v>7</v>
      </c>
      <c r="M209" s="108">
        <v>42</v>
      </c>
      <c r="N209" s="108">
        <v>217</v>
      </c>
      <c r="O209" s="108">
        <v>12</v>
      </c>
      <c r="P209" s="108">
        <v>229</v>
      </c>
      <c r="Q209" s="108">
        <v>41</v>
      </c>
      <c r="R209" s="108">
        <v>102</v>
      </c>
      <c r="S209" s="108">
        <v>120</v>
      </c>
      <c r="T209" s="108">
        <v>3813</v>
      </c>
      <c r="U209" s="109" t="s">
        <v>1648</v>
      </c>
      <c r="V209" s="108">
        <v>28</v>
      </c>
      <c r="W209" s="108">
        <v>571</v>
      </c>
      <c r="X209" s="108">
        <v>22</v>
      </c>
      <c r="Y209" s="108">
        <v>36</v>
      </c>
      <c r="Z209" s="108">
        <v>23</v>
      </c>
      <c r="AA209" s="108">
        <v>295</v>
      </c>
      <c r="AB209" s="108">
        <v>19</v>
      </c>
      <c r="AC209" s="108">
        <v>132</v>
      </c>
      <c r="AD209" s="108">
        <v>69</v>
      </c>
      <c r="AE209" s="108">
        <v>499</v>
      </c>
      <c r="AF209" s="108">
        <v>0</v>
      </c>
      <c r="AG209" s="108">
        <v>0</v>
      </c>
      <c r="AH209" s="108">
        <v>2</v>
      </c>
      <c r="AI209" s="108">
        <v>459</v>
      </c>
      <c r="AJ209" s="108">
        <v>82</v>
      </c>
      <c r="AK209" s="108">
        <v>270</v>
      </c>
      <c r="AL209" s="108">
        <v>214</v>
      </c>
      <c r="AM209" s="108">
        <v>5066</v>
      </c>
      <c r="AN209" s="108">
        <f t="shared" si="13"/>
        <v>296</v>
      </c>
      <c r="AO209" s="108">
        <f t="shared" si="14"/>
        <v>5336</v>
      </c>
      <c r="AP209" s="110">
        <f t="shared" si="12"/>
        <v>18.027027027027028</v>
      </c>
      <c r="AQ209" s="110">
        <f t="shared" si="15"/>
        <v>0.52884043607532205</v>
      </c>
      <c r="AR209" s="108">
        <v>21</v>
      </c>
      <c r="AS209" s="108">
        <v>2056</v>
      </c>
      <c r="AT209" s="108">
        <v>10090</v>
      </c>
    </row>
    <row r="210" spans="1:46" ht="13.5" thickBot="1" x14ac:dyDescent="0.25">
      <c r="A210" s="48" t="s">
        <v>302</v>
      </c>
      <c r="B210" s="47" t="s">
        <v>301</v>
      </c>
      <c r="C210" s="48" t="s">
        <v>25</v>
      </c>
      <c r="D210" s="48" t="s">
        <v>1648</v>
      </c>
      <c r="E210" s="48" t="s">
        <v>1648</v>
      </c>
      <c r="F210" s="108">
        <v>90</v>
      </c>
      <c r="G210" s="108">
        <v>2813</v>
      </c>
      <c r="H210" s="108">
        <v>10</v>
      </c>
      <c r="I210" s="108">
        <v>109</v>
      </c>
      <c r="J210" s="108">
        <v>1</v>
      </c>
      <c r="K210" s="108">
        <v>0</v>
      </c>
      <c r="L210" s="108">
        <v>1</v>
      </c>
      <c r="M210" s="108">
        <v>0</v>
      </c>
      <c r="N210" s="108">
        <v>84</v>
      </c>
      <c r="O210" s="108">
        <v>39</v>
      </c>
      <c r="P210" s="108">
        <v>123</v>
      </c>
      <c r="Q210" s="108">
        <v>13</v>
      </c>
      <c r="R210" s="108">
        <v>612</v>
      </c>
      <c r="S210" s="108">
        <v>91</v>
      </c>
      <c r="T210" s="108">
        <v>2813</v>
      </c>
      <c r="U210" s="109" t="s">
        <v>1648</v>
      </c>
      <c r="V210" s="108">
        <v>85</v>
      </c>
      <c r="W210" s="108">
        <v>2761</v>
      </c>
      <c r="X210" s="108">
        <v>0</v>
      </c>
      <c r="Y210" s="108">
        <v>0</v>
      </c>
      <c r="Z210" s="108">
        <v>11</v>
      </c>
      <c r="AA210" s="108">
        <v>109</v>
      </c>
      <c r="AB210" s="108">
        <v>0</v>
      </c>
      <c r="AC210" s="108">
        <v>0</v>
      </c>
      <c r="AD210" s="108">
        <v>128</v>
      </c>
      <c r="AE210" s="108">
        <v>1183</v>
      </c>
      <c r="AF210" s="108">
        <v>0</v>
      </c>
      <c r="AG210" s="108">
        <v>0</v>
      </c>
      <c r="AH210" s="108">
        <v>8</v>
      </c>
      <c r="AI210" s="108">
        <v>190</v>
      </c>
      <c r="AJ210" s="108">
        <v>13</v>
      </c>
      <c r="AK210" s="108">
        <v>612</v>
      </c>
      <c r="AL210" s="108">
        <v>238</v>
      </c>
      <c r="AM210" s="108">
        <v>4295</v>
      </c>
      <c r="AN210" s="108">
        <f t="shared" si="13"/>
        <v>251</v>
      </c>
      <c r="AO210" s="108">
        <f t="shared" si="14"/>
        <v>4907</v>
      </c>
      <c r="AP210" s="110">
        <f t="shared" si="12"/>
        <v>19.54980079681275</v>
      </c>
      <c r="AQ210" s="110">
        <f t="shared" si="15"/>
        <v>0.44678138942001272</v>
      </c>
      <c r="AR210" s="108">
        <v>28</v>
      </c>
      <c r="AS210" s="108">
        <v>1468</v>
      </c>
      <c r="AT210" s="108">
        <v>10983</v>
      </c>
    </row>
    <row r="211" spans="1:46" ht="13.5" thickBot="1" x14ac:dyDescent="0.25">
      <c r="A211" s="48" t="s">
        <v>804</v>
      </c>
      <c r="B211" s="47" t="s">
        <v>803</v>
      </c>
      <c r="C211" s="48" t="s">
        <v>25</v>
      </c>
      <c r="D211" s="48" t="s">
        <v>1649</v>
      </c>
      <c r="E211" s="48" t="s">
        <v>1648</v>
      </c>
      <c r="F211" s="108">
        <v>16</v>
      </c>
      <c r="G211" s="108">
        <v>648</v>
      </c>
      <c r="H211" s="108">
        <v>5</v>
      </c>
      <c r="I211" s="108">
        <v>48</v>
      </c>
      <c r="J211" s="108">
        <v>6</v>
      </c>
      <c r="K211" s="108">
        <v>150</v>
      </c>
      <c r="L211" s="108">
        <v>2</v>
      </c>
      <c r="M211" s="108">
        <v>7</v>
      </c>
      <c r="N211" s="108">
        <v>187</v>
      </c>
      <c r="O211" s="108">
        <v>37</v>
      </c>
      <c r="P211" s="108">
        <v>224</v>
      </c>
      <c r="Q211" s="108">
        <v>0</v>
      </c>
      <c r="R211" s="108">
        <v>0</v>
      </c>
      <c r="S211" s="108">
        <v>22</v>
      </c>
      <c r="T211" s="108">
        <v>798</v>
      </c>
      <c r="U211" s="109" t="s">
        <v>1648</v>
      </c>
      <c r="V211" s="108">
        <v>11</v>
      </c>
      <c r="W211" s="108">
        <v>255</v>
      </c>
      <c r="X211" s="108">
        <v>0</v>
      </c>
      <c r="Y211" s="108">
        <v>0</v>
      </c>
      <c r="Z211" s="108">
        <v>7</v>
      </c>
      <c r="AA211" s="108">
        <v>55</v>
      </c>
      <c r="AB211" s="108">
        <v>0</v>
      </c>
      <c r="AC211" s="108">
        <v>0</v>
      </c>
      <c r="AD211" s="108">
        <v>35</v>
      </c>
      <c r="AE211" s="108">
        <v>476</v>
      </c>
      <c r="AF211" s="108">
        <v>0</v>
      </c>
      <c r="AG211" s="108">
        <v>0</v>
      </c>
      <c r="AH211" s="108">
        <v>5</v>
      </c>
      <c r="AI211" s="108">
        <v>37</v>
      </c>
      <c r="AJ211" s="108">
        <v>0</v>
      </c>
      <c r="AK211" s="108">
        <v>0</v>
      </c>
      <c r="AL211" s="108">
        <v>69</v>
      </c>
      <c r="AM211" s="108">
        <v>1366</v>
      </c>
      <c r="AN211" s="108">
        <f t="shared" si="13"/>
        <v>69</v>
      </c>
      <c r="AO211" s="108">
        <f t="shared" si="14"/>
        <v>1366</v>
      </c>
      <c r="AP211" s="110">
        <f t="shared" si="12"/>
        <v>19.797101449275363</v>
      </c>
      <c r="AQ211" s="110">
        <f t="shared" si="15"/>
        <v>0.13640902736169364</v>
      </c>
      <c r="AR211" s="108">
        <v>28</v>
      </c>
      <c r="AS211" s="108">
        <v>473</v>
      </c>
      <c r="AT211" s="108">
        <v>10014</v>
      </c>
    </row>
    <row r="212" spans="1:46" ht="13.5" thickBot="1" x14ac:dyDescent="0.25">
      <c r="A212" s="48" t="s">
        <v>610</v>
      </c>
      <c r="B212" s="47" t="s">
        <v>609</v>
      </c>
      <c r="C212" s="48" t="s">
        <v>25</v>
      </c>
      <c r="D212" s="48" t="s">
        <v>1649</v>
      </c>
      <c r="E212" s="48" t="s">
        <v>1648</v>
      </c>
      <c r="F212" s="108">
        <v>44</v>
      </c>
      <c r="G212" s="108">
        <v>1057</v>
      </c>
      <c r="H212" s="108">
        <v>4</v>
      </c>
      <c r="I212" s="108">
        <v>8</v>
      </c>
      <c r="J212" s="108">
        <v>9</v>
      </c>
      <c r="K212" s="108">
        <v>313</v>
      </c>
      <c r="L212" s="108">
        <v>4</v>
      </c>
      <c r="M212" s="108">
        <v>8</v>
      </c>
      <c r="N212" s="108">
        <v>75</v>
      </c>
      <c r="O212" s="108">
        <v>8</v>
      </c>
      <c r="P212" s="108">
        <v>83</v>
      </c>
      <c r="Q212" s="108">
        <v>0</v>
      </c>
      <c r="R212" s="108">
        <v>0</v>
      </c>
      <c r="S212" s="108">
        <v>53</v>
      </c>
      <c r="T212" s="108">
        <v>1370</v>
      </c>
      <c r="U212" s="109" t="s">
        <v>1648</v>
      </c>
      <c r="V212" s="108">
        <v>12</v>
      </c>
      <c r="W212" s="108">
        <v>247</v>
      </c>
      <c r="X212" s="108">
        <v>0</v>
      </c>
      <c r="Y212" s="108">
        <v>0</v>
      </c>
      <c r="Z212" s="108">
        <v>8</v>
      </c>
      <c r="AA212" s="108">
        <v>16</v>
      </c>
      <c r="AB212" s="108">
        <v>0</v>
      </c>
      <c r="AC212" s="108">
        <v>0</v>
      </c>
      <c r="AD212" s="108">
        <v>71</v>
      </c>
      <c r="AE212" s="108">
        <v>725</v>
      </c>
      <c r="AF212" s="108">
        <v>0</v>
      </c>
      <c r="AG212" s="108">
        <v>0</v>
      </c>
      <c r="AH212" s="108">
        <v>91</v>
      </c>
      <c r="AI212" s="108">
        <v>1615</v>
      </c>
      <c r="AJ212" s="108">
        <v>0</v>
      </c>
      <c r="AK212" s="108">
        <v>0</v>
      </c>
      <c r="AL212" s="108">
        <v>223</v>
      </c>
      <c r="AM212" s="108">
        <v>3726</v>
      </c>
      <c r="AN212" s="108">
        <f t="shared" si="13"/>
        <v>223</v>
      </c>
      <c r="AO212" s="108">
        <f t="shared" si="14"/>
        <v>3726</v>
      </c>
      <c r="AP212" s="110">
        <f t="shared" si="12"/>
        <v>16.708520179372197</v>
      </c>
      <c r="AQ212" s="110">
        <f t="shared" si="15"/>
        <v>0.41907546957597569</v>
      </c>
      <c r="AR212" s="108">
        <v>29</v>
      </c>
      <c r="AS212" s="108">
        <v>2790</v>
      </c>
      <c r="AT212" s="108">
        <v>8891</v>
      </c>
    </row>
    <row r="213" spans="1:46" ht="13.5" thickBot="1" x14ac:dyDescent="0.25">
      <c r="A213" s="48" t="s">
        <v>796</v>
      </c>
      <c r="B213" s="47" t="s">
        <v>795</v>
      </c>
      <c r="C213" s="48" t="s">
        <v>25</v>
      </c>
      <c r="D213" s="48" t="s">
        <v>1649</v>
      </c>
      <c r="E213" s="48" t="s">
        <v>1648</v>
      </c>
      <c r="F213" s="108">
        <v>50</v>
      </c>
      <c r="G213" s="108">
        <v>442</v>
      </c>
      <c r="H213" s="108">
        <v>5</v>
      </c>
      <c r="I213" s="108">
        <v>249</v>
      </c>
      <c r="J213" s="108">
        <v>17</v>
      </c>
      <c r="K213" s="108">
        <v>283</v>
      </c>
      <c r="L213" s="108">
        <v>3</v>
      </c>
      <c r="M213" s="108">
        <v>18</v>
      </c>
      <c r="N213" s="108">
        <v>48</v>
      </c>
      <c r="O213" s="108">
        <v>24</v>
      </c>
      <c r="P213" s="108">
        <v>72</v>
      </c>
      <c r="Q213" s="108">
        <v>0</v>
      </c>
      <c r="R213" s="108">
        <v>0</v>
      </c>
      <c r="S213" s="108">
        <v>67</v>
      </c>
      <c r="T213" s="108">
        <v>725</v>
      </c>
      <c r="U213" s="109" t="s">
        <v>1648</v>
      </c>
      <c r="V213" s="108">
        <v>8</v>
      </c>
      <c r="W213" s="108">
        <v>39</v>
      </c>
      <c r="X213" s="108">
        <v>0</v>
      </c>
      <c r="Y213" s="108">
        <v>0</v>
      </c>
      <c r="Z213" s="108">
        <v>8</v>
      </c>
      <c r="AA213" s="108">
        <v>267</v>
      </c>
      <c r="AB213" s="108">
        <v>0</v>
      </c>
      <c r="AC213" s="108">
        <v>0</v>
      </c>
      <c r="AD213" s="108">
        <v>17</v>
      </c>
      <c r="AE213" s="108">
        <v>240</v>
      </c>
      <c r="AF213" s="108">
        <v>0</v>
      </c>
      <c r="AG213" s="108">
        <v>0</v>
      </c>
      <c r="AH213" s="108">
        <v>3</v>
      </c>
      <c r="AI213" s="108">
        <v>375</v>
      </c>
      <c r="AJ213" s="108">
        <v>0</v>
      </c>
      <c r="AK213" s="108">
        <v>0</v>
      </c>
      <c r="AL213" s="108">
        <v>95</v>
      </c>
      <c r="AM213" s="108">
        <v>1607</v>
      </c>
      <c r="AN213" s="108">
        <f t="shared" si="13"/>
        <v>95</v>
      </c>
      <c r="AO213" s="108">
        <f t="shared" si="14"/>
        <v>1607</v>
      </c>
      <c r="AP213" s="110">
        <f t="shared" si="12"/>
        <v>16.91578947368421</v>
      </c>
      <c r="AQ213" s="110">
        <f t="shared" si="15"/>
        <v>0.18832766904957224</v>
      </c>
      <c r="AR213" s="108">
        <v>29</v>
      </c>
      <c r="AS213" s="108">
        <v>422</v>
      </c>
      <c r="AT213" s="108">
        <v>8533</v>
      </c>
    </row>
    <row r="214" spans="1:46" ht="13.5" thickBot="1" x14ac:dyDescent="0.25">
      <c r="A214" s="48" t="s">
        <v>232</v>
      </c>
      <c r="B214" s="47" t="s">
        <v>231</v>
      </c>
      <c r="C214" s="48" t="s">
        <v>25</v>
      </c>
      <c r="D214" s="48" t="s">
        <v>1648</v>
      </c>
      <c r="E214" s="48" t="s">
        <v>1648</v>
      </c>
      <c r="F214" s="108">
        <v>112</v>
      </c>
      <c r="G214" s="108">
        <v>3625</v>
      </c>
      <c r="H214" s="108">
        <v>18</v>
      </c>
      <c r="I214" s="108">
        <v>356</v>
      </c>
      <c r="J214" s="108">
        <v>28</v>
      </c>
      <c r="K214" s="108">
        <v>644</v>
      </c>
      <c r="L214" s="108">
        <v>10</v>
      </c>
      <c r="M214" s="108">
        <v>288</v>
      </c>
      <c r="N214" s="108">
        <v>313</v>
      </c>
      <c r="O214" s="108">
        <v>35</v>
      </c>
      <c r="P214" s="108">
        <v>348</v>
      </c>
      <c r="Q214" s="108">
        <v>14</v>
      </c>
      <c r="R214" s="108">
        <v>57</v>
      </c>
      <c r="S214" s="108">
        <v>140</v>
      </c>
      <c r="T214" s="108">
        <v>4269</v>
      </c>
      <c r="U214" s="109" t="s">
        <v>1648</v>
      </c>
      <c r="V214" s="108">
        <v>32</v>
      </c>
      <c r="W214" s="108">
        <v>2923</v>
      </c>
      <c r="X214" s="108">
        <v>0</v>
      </c>
      <c r="Y214" s="108">
        <v>0</v>
      </c>
      <c r="Z214" s="108">
        <v>28</v>
      </c>
      <c r="AA214" s="108">
        <v>644</v>
      </c>
      <c r="AB214" s="108">
        <v>0</v>
      </c>
      <c r="AC214" s="108">
        <v>0</v>
      </c>
      <c r="AD214" s="108">
        <v>104</v>
      </c>
      <c r="AE214" s="108">
        <v>1523</v>
      </c>
      <c r="AF214" s="108">
        <v>0</v>
      </c>
      <c r="AG214" s="108">
        <v>0</v>
      </c>
      <c r="AH214" s="108">
        <v>10</v>
      </c>
      <c r="AI214" s="108">
        <v>508</v>
      </c>
      <c r="AJ214" s="108">
        <v>14</v>
      </c>
      <c r="AK214" s="108">
        <v>57</v>
      </c>
      <c r="AL214" s="108">
        <v>282</v>
      </c>
      <c r="AM214" s="108">
        <v>6944</v>
      </c>
      <c r="AN214" s="108">
        <f t="shared" si="13"/>
        <v>296</v>
      </c>
      <c r="AO214" s="108">
        <f t="shared" si="14"/>
        <v>7001</v>
      </c>
      <c r="AP214" s="110">
        <f t="shared" si="12"/>
        <v>23.652027027027028</v>
      </c>
      <c r="AQ214" s="110">
        <f t="shared" si="15"/>
        <v>0.94112111842989654</v>
      </c>
      <c r="AR214" s="108">
        <v>32</v>
      </c>
      <c r="AS214" s="108">
        <v>157</v>
      </c>
      <c r="AT214" s="108">
        <v>7439</v>
      </c>
    </row>
    <row r="215" spans="1:46" ht="13.5" thickBot="1" x14ac:dyDescent="0.25">
      <c r="A215" s="48" t="s">
        <v>576</v>
      </c>
      <c r="B215" s="47" t="s">
        <v>575</v>
      </c>
      <c r="C215" s="48" t="s">
        <v>25</v>
      </c>
      <c r="D215" s="48" t="s">
        <v>1648</v>
      </c>
      <c r="E215" s="48" t="s">
        <v>1648</v>
      </c>
      <c r="F215" s="108">
        <v>143</v>
      </c>
      <c r="G215" s="108">
        <v>2074</v>
      </c>
      <c r="H215" s="108">
        <v>48</v>
      </c>
      <c r="I215" s="108">
        <v>544</v>
      </c>
      <c r="J215" s="108">
        <v>9</v>
      </c>
      <c r="K215" s="108">
        <v>115</v>
      </c>
      <c r="L215" s="108">
        <v>9</v>
      </c>
      <c r="M215" s="108">
        <v>96</v>
      </c>
      <c r="N215" s="108">
        <v>73</v>
      </c>
      <c r="O215" s="108">
        <v>27</v>
      </c>
      <c r="P215" s="108">
        <v>100</v>
      </c>
      <c r="Q215" s="108">
        <v>48</v>
      </c>
      <c r="R215" s="108">
        <v>273</v>
      </c>
      <c r="S215" s="108">
        <v>152</v>
      </c>
      <c r="T215" s="108">
        <v>2189</v>
      </c>
      <c r="U215" s="109" t="s">
        <v>1648</v>
      </c>
      <c r="V215" s="108">
        <v>140</v>
      </c>
      <c r="W215" s="108">
        <v>1989</v>
      </c>
      <c r="X215" s="108">
        <v>0</v>
      </c>
      <c r="Y215" s="108">
        <v>0</v>
      </c>
      <c r="Z215" s="108">
        <v>57</v>
      </c>
      <c r="AA215" s="108">
        <v>640</v>
      </c>
      <c r="AB215" s="108">
        <v>4</v>
      </c>
      <c r="AC215" s="108">
        <v>47</v>
      </c>
      <c r="AD215" s="108">
        <v>175</v>
      </c>
      <c r="AE215" s="108">
        <v>1112</v>
      </c>
      <c r="AF215" s="108">
        <v>0</v>
      </c>
      <c r="AG215" s="108">
        <v>0</v>
      </c>
      <c r="AH215" s="108">
        <v>0</v>
      </c>
      <c r="AI215" s="108">
        <v>0</v>
      </c>
      <c r="AJ215" s="108">
        <v>52</v>
      </c>
      <c r="AK215" s="108">
        <v>320</v>
      </c>
      <c r="AL215" s="108">
        <v>384</v>
      </c>
      <c r="AM215" s="108">
        <v>3941</v>
      </c>
      <c r="AN215" s="108">
        <f t="shared" si="13"/>
        <v>436</v>
      </c>
      <c r="AO215" s="108">
        <f t="shared" si="14"/>
        <v>4261</v>
      </c>
      <c r="AP215" s="110">
        <f t="shared" si="12"/>
        <v>9.772935779816514</v>
      </c>
      <c r="AQ215" s="110">
        <f t="shared" si="15"/>
        <v>0.48239556209668288</v>
      </c>
      <c r="AR215" s="108">
        <v>33</v>
      </c>
      <c r="AS215" s="108">
        <v>3727</v>
      </c>
      <c r="AT215" s="108">
        <v>8833</v>
      </c>
    </row>
    <row r="216" spans="1:46" ht="13.5" thickBot="1" x14ac:dyDescent="0.25">
      <c r="A216" s="48" t="s">
        <v>29</v>
      </c>
      <c r="B216" s="47" t="s">
        <v>28</v>
      </c>
      <c r="C216" s="48" t="s">
        <v>25</v>
      </c>
      <c r="D216" s="48" t="s">
        <v>1649</v>
      </c>
      <c r="E216" s="48" t="s">
        <v>1648</v>
      </c>
      <c r="F216" s="108">
        <v>103</v>
      </c>
      <c r="G216" s="108">
        <v>3207</v>
      </c>
      <c r="H216" s="108">
        <v>27</v>
      </c>
      <c r="I216" s="108">
        <v>298</v>
      </c>
      <c r="J216" s="108">
        <v>43</v>
      </c>
      <c r="K216" s="108">
        <v>1588</v>
      </c>
      <c r="L216" s="108">
        <v>12</v>
      </c>
      <c r="M216" s="108">
        <v>183</v>
      </c>
      <c r="N216" s="108">
        <v>96</v>
      </c>
      <c r="O216" s="108">
        <v>41</v>
      </c>
      <c r="P216" s="108">
        <v>137</v>
      </c>
      <c r="Q216" s="108">
        <v>0</v>
      </c>
      <c r="R216" s="108">
        <v>0</v>
      </c>
      <c r="S216" s="108">
        <v>146</v>
      </c>
      <c r="T216" s="108">
        <v>4795</v>
      </c>
      <c r="U216" s="109" t="s">
        <v>1649</v>
      </c>
      <c r="V216" s="108">
        <v>0</v>
      </c>
      <c r="W216" s="108">
        <v>0</v>
      </c>
      <c r="X216" s="108">
        <v>0</v>
      </c>
      <c r="Y216" s="108">
        <v>0</v>
      </c>
      <c r="Z216" s="108">
        <v>39</v>
      </c>
      <c r="AA216" s="108">
        <v>481</v>
      </c>
      <c r="AB216" s="108">
        <v>0</v>
      </c>
      <c r="AC216" s="108">
        <v>0</v>
      </c>
      <c r="AD216" s="108">
        <v>340</v>
      </c>
      <c r="AE216" s="108">
        <v>2092</v>
      </c>
      <c r="AF216" s="108">
        <v>0</v>
      </c>
      <c r="AG216" s="108">
        <v>0</v>
      </c>
      <c r="AH216" s="108">
        <v>38</v>
      </c>
      <c r="AI216" s="108">
        <v>649</v>
      </c>
      <c r="AJ216" s="108">
        <v>0</v>
      </c>
      <c r="AK216" s="108">
        <v>0</v>
      </c>
      <c r="AL216" s="108">
        <v>563</v>
      </c>
      <c r="AM216" s="108">
        <v>8017</v>
      </c>
      <c r="AN216" s="108">
        <f t="shared" si="13"/>
        <v>563</v>
      </c>
      <c r="AO216" s="108">
        <f t="shared" si="14"/>
        <v>8017</v>
      </c>
      <c r="AP216" s="110">
        <f t="shared" si="12"/>
        <v>14.239786856127886</v>
      </c>
      <c r="AQ216" s="110">
        <f t="shared" si="15"/>
        <v>0.69297259918748377</v>
      </c>
      <c r="AR216" s="108">
        <v>35</v>
      </c>
      <c r="AS216" s="108">
        <v>4564</v>
      </c>
      <c r="AT216" s="108">
        <v>11569</v>
      </c>
    </row>
    <row r="217" spans="1:46" ht="13.5" thickBot="1" x14ac:dyDescent="0.25">
      <c r="A217" s="48" t="s">
        <v>160</v>
      </c>
      <c r="B217" s="47" t="s">
        <v>159</v>
      </c>
      <c r="C217" s="48" t="s">
        <v>25</v>
      </c>
      <c r="D217" s="48" t="s">
        <v>1648</v>
      </c>
      <c r="E217" s="48" t="s">
        <v>1648</v>
      </c>
      <c r="F217" s="108">
        <v>148</v>
      </c>
      <c r="G217" s="108">
        <v>3633</v>
      </c>
      <c r="H217" s="108">
        <v>20</v>
      </c>
      <c r="I217" s="108">
        <v>67</v>
      </c>
      <c r="J217" s="108">
        <v>11</v>
      </c>
      <c r="K217" s="108">
        <v>34</v>
      </c>
      <c r="L217" s="108">
        <v>4</v>
      </c>
      <c r="M217" s="108">
        <v>32</v>
      </c>
      <c r="N217" s="108">
        <v>42</v>
      </c>
      <c r="O217" s="108">
        <v>32</v>
      </c>
      <c r="P217" s="108">
        <v>74</v>
      </c>
      <c r="Q217" s="108">
        <v>0</v>
      </c>
      <c r="R217" s="108">
        <v>0</v>
      </c>
      <c r="S217" s="108">
        <v>159</v>
      </c>
      <c r="T217" s="108">
        <v>3667</v>
      </c>
      <c r="U217" s="109" t="s">
        <v>1648</v>
      </c>
      <c r="V217" s="108">
        <v>55</v>
      </c>
      <c r="W217" s="108">
        <v>1500</v>
      </c>
      <c r="X217" s="108">
        <v>0</v>
      </c>
      <c r="Y217" s="108">
        <v>0</v>
      </c>
      <c r="Z217" s="108">
        <v>24</v>
      </c>
      <c r="AA217" s="108">
        <v>99</v>
      </c>
      <c r="AB217" s="108">
        <v>0</v>
      </c>
      <c r="AC217" s="108">
        <v>0</v>
      </c>
      <c r="AD217" s="108">
        <v>147</v>
      </c>
      <c r="AE217" s="108">
        <v>3805</v>
      </c>
      <c r="AF217" s="108">
        <v>12</v>
      </c>
      <c r="AG217" s="108">
        <v>0</v>
      </c>
      <c r="AH217" s="108">
        <v>0</v>
      </c>
      <c r="AI217" s="108">
        <v>0</v>
      </c>
      <c r="AJ217" s="108">
        <v>12</v>
      </c>
      <c r="AK217" s="108">
        <v>0</v>
      </c>
      <c r="AL217" s="108">
        <v>330</v>
      </c>
      <c r="AM217" s="108">
        <v>7571</v>
      </c>
      <c r="AN217" s="108">
        <f t="shared" si="13"/>
        <v>342</v>
      </c>
      <c r="AO217" s="108">
        <f t="shared" si="14"/>
        <v>7571</v>
      </c>
      <c r="AP217" s="110">
        <f t="shared" si="12"/>
        <v>22.137426900584796</v>
      </c>
      <c r="AQ217" s="110">
        <f t="shared" si="15"/>
        <v>0.77176350662589199</v>
      </c>
      <c r="AR217" s="108">
        <v>38</v>
      </c>
      <c r="AS217" s="108">
        <v>8427</v>
      </c>
      <c r="AT217" s="108">
        <v>9810</v>
      </c>
    </row>
    <row r="218" spans="1:46" ht="13.5" thickBot="1" x14ac:dyDescent="0.25">
      <c r="A218" s="48" t="s">
        <v>358</v>
      </c>
      <c r="B218" s="47" t="s">
        <v>357</v>
      </c>
      <c r="C218" s="48" t="s">
        <v>25</v>
      </c>
      <c r="D218" s="48" t="s">
        <v>1649</v>
      </c>
      <c r="E218" s="48" t="s">
        <v>1649</v>
      </c>
      <c r="F218" s="108">
        <v>55</v>
      </c>
      <c r="G218" s="108">
        <v>1438</v>
      </c>
      <c r="H218" s="108">
        <v>23</v>
      </c>
      <c r="I218" s="108">
        <v>220</v>
      </c>
      <c r="J218" s="108">
        <v>0</v>
      </c>
      <c r="K218" s="108">
        <v>0</v>
      </c>
      <c r="L218" s="108">
        <v>0</v>
      </c>
      <c r="M218" s="108">
        <v>0</v>
      </c>
      <c r="N218" s="108">
        <v>36</v>
      </c>
      <c r="O218" s="108">
        <v>0</v>
      </c>
      <c r="P218" s="108">
        <v>36</v>
      </c>
      <c r="Q218" s="108">
        <v>0</v>
      </c>
      <c r="R218" s="108">
        <v>0</v>
      </c>
      <c r="S218" s="108">
        <v>55</v>
      </c>
      <c r="T218" s="108">
        <v>1438</v>
      </c>
      <c r="U218" s="109" t="s">
        <v>1649</v>
      </c>
      <c r="V218" s="108">
        <v>28</v>
      </c>
      <c r="W218" s="108">
        <v>410</v>
      </c>
      <c r="X218" s="108">
        <v>0</v>
      </c>
      <c r="Y218" s="108">
        <v>0</v>
      </c>
      <c r="Z218" s="108">
        <v>23</v>
      </c>
      <c r="AA218" s="108">
        <v>220</v>
      </c>
      <c r="AB218" s="108">
        <v>0</v>
      </c>
      <c r="AC218" s="108">
        <v>0</v>
      </c>
      <c r="AD218" s="108">
        <v>19</v>
      </c>
      <c r="AE218" s="108">
        <v>120</v>
      </c>
      <c r="AF218" s="108">
        <v>0</v>
      </c>
      <c r="AG218" s="108">
        <v>0</v>
      </c>
      <c r="AH218" s="108">
        <v>0</v>
      </c>
      <c r="AI218" s="108">
        <v>0</v>
      </c>
      <c r="AJ218" s="108">
        <v>0</v>
      </c>
      <c r="AK218" s="108">
        <v>0</v>
      </c>
      <c r="AL218" s="108">
        <v>97</v>
      </c>
      <c r="AM218" s="108">
        <v>1778</v>
      </c>
      <c r="AN218" s="108">
        <f t="shared" si="13"/>
        <v>97</v>
      </c>
      <c r="AO218" s="108">
        <f t="shared" si="14"/>
        <v>1778</v>
      </c>
      <c r="AP218" s="110">
        <f t="shared" si="12"/>
        <v>18.329896907216494</v>
      </c>
      <c r="AQ218" s="110">
        <f t="shared" si="15"/>
        <v>0.14978938500421229</v>
      </c>
      <c r="AR218" s="108">
        <v>45</v>
      </c>
      <c r="AS218" s="108">
        <v>10767</v>
      </c>
      <c r="AT218" s="108">
        <v>11870</v>
      </c>
    </row>
    <row r="219" spans="1:46" ht="13.5" thickBot="1" x14ac:dyDescent="0.25">
      <c r="A219" s="48" t="s">
        <v>626</v>
      </c>
      <c r="B219" s="47" t="s">
        <v>625</v>
      </c>
      <c r="C219" s="48" t="s">
        <v>25</v>
      </c>
      <c r="D219" s="48" t="s">
        <v>1648</v>
      </c>
      <c r="E219" s="48" t="s">
        <v>1648</v>
      </c>
      <c r="F219" s="108">
        <v>96</v>
      </c>
      <c r="G219" s="108">
        <v>1308</v>
      </c>
      <c r="H219" s="108">
        <v>18</v>
      </c>
      <c r="I219" s="108">
        <v>90</v>
      </c>
      <c r="J219" s="108">
        <v>23</v>
      </c>
      <c r="K219" s="108">
        <v>976</v>
      </c>
      <c r="L219" s="108">
        <v>9</v>
      </c>
      <c r="M219" s="108">
        <v>71</v>
      </c>
      <c r="N219" s="108">
        <v>148</v>
      </c>
      <c r="O219" s="108">
        <v>35</v>
      </c>
      <c r="P219" s="108">
        <v>183</v>
      </c>
      <c r="Q219" s="108">
        <v>0</v>
      </c>
      <c r="R219" s="108">
        <v>0</v>
      </c>
      <c r="S219" s="108">
        <v>119</v>
      </c>
      <c r="T219" s="108">
        <v>2284</v>
      </c>
      <c r="U219" s="109" t="s">
        <v>1649</v>
      </c>
      <c r="V219" s="108">
        <v>0</v>
      </c>
      <c r="W219" s="108">
        <v>0</v>
      </c>
      <c r="X219" s="108">
        <v>2</v>
      </c>
      <c r="Y219" s="108">
        <v>5</v>
      </c>
      <c r="Z219" s="108">
        <v>27</v>
      </c>
      <c r="AA219" s="108">
        <v>161</v>
      </c>
      <c r="AB219" s="108">
        <v>0</v>
      </c>
      <c r="AC219" s="108">
        <v>0</v>
      </c>
      <c r="AD219" s="108">
        <v>32</v>
      </c>
      <c r="AE219" s="108">
        <v>728</v>
      </c>
      <c r="AF219" s="108">
        <v>0</v>
      </c>
      <c r="AG219" s="108">
        <v>0</v>
      </c>
      <c r="AH219" s="108">
        <v>4</v>
      </c>
      <c r="AI219" s="108">
        <v>1362</v>
      </c>
      <c r="AJ219" s="108">
        <v>2</v>
      </c>
      <c r="AK219" s="108">
        <v>5</v>
      </c>
      <c r="AL219" s="108">
        <v>182</v>
      </c>
      <c r="AM219" s="108">
        <v>4535</v>
      </c>
      <c r="AN219" s="108">
        <f t="shared" si="13"/>
        <v>184</v>
      </c>
      <c r="AO219" s="108">
        <f t="shared" si="14"/>
        <v>4540</v>
      </c>
      <c r="AP219" s="110">
        <f t="shared" si="12"/>
        <v>24.673913043478262</v>
      </c>
      <c r="AQ219" s="110">
        <f t="shared" si="15"/>
        <v>0.59894459102902375</v>
      </c>
      <c r="AR219" s="108">
        <v>47</v>
      </c>
      <c r="AS219" s="108">
        <v>1396</v>
      </c>
      <c r="AT219" s="108">
        <v>7580</v>
      </c>
    </row>
    <row r="220" spans="1:46" ht="13.5" thickBot="1" x14ac:dyDescent="0.25">
      <c r="A220" s="48" t="s">
        <v>748</v>
      </c>
      <c r="B220" s="47" t="s">
        <v>747</v>
      </c>
      <c r="C220" s="48" t="s">
        <v>25</v>
      </c>
      <c r="D220" s="48" t="s">
        <v>1648</v>
      </c>
      <c r="E220" s="48" t="s">
        <v>1648</v>
      </c>
      <c r="F220" s="108">
        <v>96</v>
      </c>
      <c r="G220" s="108">
        <v>1503</v>
      </c>
      <c r="H220" s="108">
        <v>30</v>
      </c>
      <c r="I220" s="108">
        <v>300</v>
      </c>
      <c r="J220" s="108">
        <v>43</v>
      </c>
      <c r="K220" s="108">
        <v>3967</v>
      </c>
      <c r="L220" s="108">
        <v>7</v>
      </c>
      <c r="M220" s="108">
        <v>119</v>
      </c>
      <c r="N220" s="108">
        <v>379</v>
      </c>
      <c r="O220" s="108">
        <v>14</v>
      </c>
      <c r="P220" s="108">
        <v>393</v>
      </c>
      <c r="Q220" s="108">
        <v>11</v>
      </c>
      <c r="R220" s="108">
        <v>1743</v>
      </c>
      <c r="S220" s="108">
        <v>139</v>
      </c>
      <c r="T220" s="108">
        <v>5470</v>
      </c>
      <c r="U220" s="109" t="s">
        <v>1648</v>
      </c>
      <c r="V220" s="108">
        <v>71</v>
      </c>
      <c r="W220" s="108">
        <v>606</v>
      </c>
      <c r="X220" s="108">
        <v>0</v>
      </c>
      <c r="Y220" s="108">
        <v>0</v>
      </c>
      <c r="Z220" s="108">
        <v>37</v>
      </c>
      <c r="AA220" s="108">
        <v>419</v>
      </c>
      <c r="AB220" s="108">
        <v>0</v>
      </c>
      <c r="AC220" s="108">
        <v>0</v>
      </c>
      <c r="AD220" s="108">
        <v>82</v>
      </c>
      <c r="AE220" s="108">
        <v>1464</v>
      </c>
      <c r="AF220" s="108">
        <v>0</v>
      </c>
      <c r="AG220" s="108">
        <v>0</v>
      </c>
      <c r="AH220" s="108">
        <v>8</v>
      </c>
      <c r="AI220" s="108">
        <v>428</v>
      </c>
      <c r="AJ220" s="108">
        <v>11</v>
      </c>
      <c r="AK220" s="108">
        <v>1743</v>
      </c>
      <c r="AL220" s="108">
        <v>266</v>
      </c>
      <c r="AM220" s="108">
        <v>7781</v>
      </c>
      <c r="AN220" s="108">
        <f t="shared" si="13"/>
        <v>277</v>
      </c>
      <c r="AO220" s="108">
        <f t="shared" si="14"/>
        <v>9524</v>
      </c>
      <c r="AP220" s="110">
        <f t="shared" si="12"/>
        <v>34.382671480144403</v>
      </c>
      <c r="AQ220" s="110">
        <f t="shared" si="15"/>
        <v>0.98044060119415277</v>
      </c>
      <c r="AR220" s="108">
        <v>61</v>
      </c>
      <c r="AS220" s="108">
        <v>2876</v>
      </c>
      <c r="AT220" s="108">
        <v>9714</v>
      </c>
    </row>
    <row r="221" spans="1:46" ht="13.5" thickBot="1" x14ac:dyDescent="0.25">
      <c r="A221" s="48" t="s">
        <v>536</v>
      </c>
      <c r="B221" s="47" t="s">
        <v>535</v>
      </c>
      <c r="C221" s="48" t="s">
        <v>25</v>
      </c>
      <c r="D221" s="48" t="s">
        <v>1648</v>
      </c>
      <c r="E221" s="48" t="s">
        <v>1648</v>
      </c>
      <c r="F221" s="108">
        <v>56</v>
      </c>
      <c r="G221" s="108">
        <v>750</v>
      </c>
      <c r="H221" s="108">
        <v>3</v>
      </c>
      <c r="I221" s="108">
        <v>14</v>
      </c>
      <c r="J221" s="108">
        <v>14</v>
      </c>
      <c r="K221" s="108">
        <v>360</v>
      </c>
      <c r="L221" s="108">
        <v>14</v>
      </c>
      <c r="M221" s="108">
        <v>66</v>
      </c>
      <c r="N221" s="108">
        <v>51</v>
      </c>
      <c r="O221" s="108">
        <v>5</v>
      </c>
      <c r="P221" s="108">
        <v>56</v>
      </c>
      <c r="Q221" s="108">
        <v>7</v>
      </c>
      <c r="R221" s="108">
        <v>777</v>
      </c>
      <c r="S221" s="108">
        <v>70</v>
      </c>
      <c r="T221" s="108">
        <v>1110</v>
      </c>
      <c r="U221" s="109" t="s">
        <v>1648</v>
      </c>
      <c r="V221" s="108">
        <v>28</v>
      </c>
      <c r="W221" s="108">
        <v>522</v>
      </c>
      <c r="X221" s="108">
        <v>0</v>
      </c>
      <c r="Y221" s="108">
        <v>0</v>
      </c>
      <c r="Z221" s="108">
        <v>17</v>
      </c>
      <c r="AA221" s="108">
        <v>80</v>
      </c>
      <c r="AB221" s="108">
        <v>0</v>
      </c>
      <c r="AC221" s="108">
        <v>0</v>
      </c>
      <c r="AD221" s="108">
        <v>47</v>
      </c>
      <c r="AE221" s="108">
        <v>555</v>
      </c>
      <c r="AF221" s="108">
        <v>0</v>
      </c>
      <c r="AG221" s="108">
        <v>0</v>
      </c>
      <c r="AH221" s="108">
        <v>47</v>
      </c>
      <c r="AI221" s="108">
        <v>1367</v>
      </c>
      <c r="AJ221" s="108">
        <v>7</v>
      </c>
      <c r="AK221" s="108">
        <v>777</v>
      </c>
      <c r="AL221" s="108">
        <v>181</v>
      </c>
      <c r="AM221" s="108">
        <v>3112</v>
      </c>
      <c r="AN221" s="108">
        <f t="shared" si="13"/>
        <v>188</v>
      </c>
      <c r="AO221" s="108">
        <f t="shared" si="14"/>
        <v>3889</v>
      </c>
      <c r="AP221" s="110">
        <f t="shared" si="12"/>
        <v>20.686170212765958</v>
      </c>
      <c r="AQ221" s="110">
        <f t="shared" si="15"/>
        <v>0.4655254967680153</v>
      </c>
      <c r="AR221" s="108">
        <v>62</v>
      </c>
      <c r="AS221" s="108">
        <v>4953</v>
      </c>
      <c r="AT221" s="108">
        <v>8354</v>
      </c>
    </row>
    <row r="222" spans="1:46" ht="13.5" thickBot="1" x14ac:dyDescent="0.25">
      <c r="A222" s="48" t="s">
        <v>468</v>
      </c>
      <c r="B222" s="47" t="s">
        <v>467</v>
      </c>
      <c r="C222" s="48" t="s">
        <v>25</v>
      </c>
      <c r="D222" s="48" t="s">
        <v>1648</v>
      </c>
      <c r="E222" s="48" t="s">
        <v>1648</v>
      </c>
      <c r="F222" s="108">
        <v>77</v>
      </c>
      <c r="G222" s="108">
        <v>912</v>
      </c>
      <c r="H222" s="108">
        <v>8</v>
      </c>
      <c r="I222" s="108">
        <v>44</v>
      </c>
      <c r="J222" s="108">
        <v>12</v>
      </c>
      <c r="K222" s="108">
        <v>96</v>
      </c>
      <c r="L222" s="108">
        <v>6</v>
      </c>
      <c r="M222" s="108">
        <v>22</v>
      </c>
      <c r="N222" s="108">
        <v>71</v>
      </c>
      <c r="O222" s="108">
        <v>45</v>
      </c>
      <c r="P222" s="108">
        <v>116</v>
      </c>
      <c r="Q222" s="108">
        <v>72</v>
      </c>
      <c r="R222" s="108">
        <v>840</v>
      </c>
      <c r="S222" s="108">
        <v>89</v>
      </c>
      <c r="T222" s="108">
        <v>1008</v>
      </c>
      <c r="U222" s="109" t="s">
        <v>1648</v>
      </c>
      <c r="V222" s="108">
        <v>12</v>
      </c>
      <c r="W222" s="108">
        <v>5</v>
      </c>
      <c r="X222" s="108">
        <v>4</v>
      </c>
      <c r="Y222" s="108">
        <v>18</v>
      </c>
      <c r="Z222" s="108">
        <v>14</v>
      </c>
      <c r="AA222" s="108">
        <v>66</v>
      </c>
      <c r="AB222" s="108">
        <v>0</v>
      </c>
      <c r="AC222" s="108">
        <v>0</v>
      </c>
      <c r="AD222" s="108">
        <v>102</v>
      </c>
      <c r="AE222" s="108">
        <v>966</v>
      </c>
      <c r="AF222" s="108">
        <v>16</v>
      </c>
      <c r="AG222" s="108">
        <v>40</v>
      </c>
      <c r="AH222" s="108">
        <v>23</v>
      </c>
      <c r="AI222" s="108">
        <v>467</v>
      </c>
      <c r="AJ222" s="108">
        <v>92</v>
      </c>
      <c r="AK222" s="108">
        <v>898</v>
      </c>
      <c r="AL222" s="108">
        <v>228</v>
      </c>
      <c r="AM222" s="108">
        <v>2507</v>
      </c>
      <c r="AN222" s="108">
        <f t="shared" si="13"/>
        <v>320</v>
      </c>
      <c r="AO222" s="108">
        <f t="shared" si="14"/>
        <v>3405</v>
      </c>
      <c r="AP222" s="110">
        <f t="shared" si="12"/>
        <v>10.640625</v>
      </c>
      <c r="AQ222" s="110">
        <f t="shared" si="15"/>
        <v>0.46567286652078776</v>
      </c>
      <c r="AR222" s="108">
        <v>77</v>
      </c>
      <c r="AS222" s="108">
        <v>12</v>
      </c>
      <c r="AT222" s="108">
        <v>7312</v>
      </c>
    </row>
    <row r="223" spans="1:46" ht="13.5" thickBot="1" x14ac:dyDescent="0.25">
      <c r="A223" s="88" t="s">
        <v>43</v>
      </c>
      <c r="B223" s="89" t="s">
        <v>42</v>
      </c>
      <c r="C223" s="88" t="s">
        <v>25</v>
      </c>
      <c r="D223" s="88" t="s">
        <v>1648</v>
      </c>
      <c r="E223" s="88" t="s">
        <v>1648</v>
      </c>
      <c r="F223" s="111">
        <v>178</v>
      </c>
      <c r="G223" s="111">
        <v>4869</v>
      </c>
      <c r="H223" s="111">
        <v>2</v>
      </c>
      <c r="I223" s="111">
        <v>10</v>
      </c>
      <c r="J223" s="111">
        <v>8</v>
      </c>
      <c r="K223" s="111">
        <v>984</v>
      </c>
      <c r="L223" s="111">
        <v>0</v>
      </c>
      <c r="M223" s="111">
        <v>0</v>
      </c>
      <c r="N223" s="111">
        <v>0</v>
      </c>
      <c r="O223" s="111">
        <v>0</v>
      </c>
      <c r="P223" s="111">
        <v>0</v>
      </c>
      <c r="Q223" s="111">
        <v>88</v>
      </c>
      <c r="R223" s="111">
        <v>706</v>
      </c>
      <c r="S223" s="111">
        <v>186</v>
      </c>
      <c r="T223" s="111">
        <v>5853</v>
      </c>
      <c r="U223" s="112" t="s">
        <v>1648</v>
      </c>
      <c r="V223" s="111">
        <v>30</v>
      </c>
      <c r="W223" s="111">
        <v>492</v>
      </c>
      <c r="X223" s="111">
        <v>0</v>
      </c>
      <c r="Y223" s="111">
        <v>0</v>
      </c>
      <c r="Z223" s="111">
        <v>2</v>
      </c>
      <c r="AA223" s="111">
        <v>10</v>
      </c>
      <c r="AB223" s="111">
        <v>0</v>
      </c>
      <c r="AC223" s="111">
        <v>0</v>
      </c>
      <c r="AD223" s="111">
        <v>0</v>
      </c>
      <c r="AE223" s="111">
        <v>0</v>
      </c>
      <c r="AF223" s="111">
        <v>0</v>
      </c>
      <c r="AG223" s="111">
        <v>0</v>
      </c>
      <c r="AH223" s="111">
        <v>2097</v>
      </c>
      <c r="AI223" s="111">
        <v>20496</v>
      </c>
      <c r="AJ223" s="111">
        <v>88</v>
      </c>
      <c r="AK223" s="111">
        <v>706</v>
      </c>
      <c r="AL223" s="111">
        <v>2285</v>
      </c>
      <c r="AM223" s="111">
        <v>26359</v>
      </c>
      <c r="AN223" s="108">
        <f t="shared" si="13"/>
        <v>2373</v>
      </c>
      <c r="AO223" s="108">
        <f t="shared" si="14"/>
        <v>27065</v>
      </c>
      <c r="AP223" s="110">
        <f t="shared" si="12"/>
        <v>11.405394016013485</v>
      </c>
      <c r="AQ223" s="110">
        <f t="shared" si="15"/>
        <v>2.2739875651151067</v>
      </c>
      <c r="AR223" s="108">
        <v>88</v>
      </c>
      <c r="AS223" s="108">
        <v>12123</v>
      </c>
      <c r="AT223" s="108">
        <v>11902</v>
      </c>
    </row>
    <row r="224" spans="1:46" ht="13.5" thickBot="1" x14ac:dyDescent="0.25">
      <c r="A224" s="48" t="s">
        <v>152</v>
      </c>
      <c r="B224" s="47" t="s">
        <v>151</v>
      </c>
      <c r="C224" s="48" t="s">
        <v>25</v>
      </c>
      <c r="D224" s="48" t="s">
        <v>1648</v>
      </c>
      <c r="E224" s="48" t="s">
        <v>1648</v>
      </c>
      <c r="F224" s="108">
        <v>98</v>
      </c>
      <c r="G224" s="108">
        <v>13355</v>
      </c>
      <c r="H224" s="108">
        <v>10</v>
      </c>
      <c r="I224" s="108">
        <v>279</v>
      </c>
      <c r="J224" s="108">
        <v>23</v>
      </c>
      <c r="K224" s="108">
        <v>9101</v>
      </c>
      <c r="L224" s="108">
        <v>6</v>
      </c>
      <c r="M224" s="108">
        <v>1677</v>
      </c>
      <c r="N224" s="108">
        <v>248</v>
      </c>
      <c r="O224" s="108">
        <v>40</v>
      </c>
      <c r="P224" s="108">
        <v>288</v>
      </c>
      <c r="Q224" s="108">
        <v>6</v>
      </c>
      <c r="R224" s="108">
        <v>111</v>
      </c>
      <c r="S224" s="108">
        <v>121</v>
      </c>
      <c r="T224" s="108">
        <v>22456</v>
      </c>
      <c r="U224" s="109" t="s">
        <v>1648</v>
      </c>
      <c r="V224" s="108">
        <v>116</v>
      </c>
      <c r="W224" s="108">
        <v>2774</v>
      </c>
      <c r="X224" s="108">
        <v>1</v>
      </c>
      <c r="Y224" s="108">
        <v>24</v>
      </c>
      <c r="Z224" s="108">
        <v>16</v>
      </c>
      <c r="AA224" s="108">
        <v>1956</v>
      </c>
      <c r="AB224" s="108">
        <v>11</v>
      </c>
      <c r="AC224" s="108">
        <v>65</v>
      </c>
      <c r="AD224" s="108">
        <v>77</v>
      </c>
      <c r="AE224" s="108">
        <v>1135</v>
      </c>
      <c r="AF224" s="108">
        <v>1</v>
      </c>
      <c r="AG224" s="108">
        <v>43</v>
      </c>
      <c r="AH224" s="108">
        <v>8</v>
      </c>
      <c r="AI224" s="108">
        <v>1456</v>
      </c>
      <c r="AJ224" s="108">
        <v>19</v>
      </c>
      <c r="AK224" s="108">
        <v>243</v>
      </c>
      <c r="AL224" s="108">
        <v>222</v>
      </c>
      <c r="AM224" s="108">
        <v>27003</v>
      </c>
      <c r="AN224" s="108">
        <f t="shared" si="13"/>
        <v>241</v>
      </c>
      <c r="AO224" s="108">
        <f t="shared" si="14"/>
        <v>27246</v>
      </c>
      <c r="AP224" s="110">
        <f t="shared" si="12"/>
        <v>113.0539419087137</v>
      </c>
      <c r="AQ224" s="110">
        <f t="shared" si="15"/>
        <v>2.873141410945903</v>
      </c>
      <c r="AR224" s="108">
        <v>101</v>
      </c>
      <c r="AS224" s="108">
        <v>36408</v>
      </c>
      <c r="AT224" s="108">
        <v>9483</v>
      </c>
    </row>
    <row r="225" spans="1:46" ht="13.5" thickBot="1" x14ac:dyDescent="0.25">
      <c r="A225" s="48" t="s">
        <v>51</v>
      </c>
      <c r="B225" s="47" t="s">
        <v>50</v>
      </c>
      <c r="C225" s="48" t="s">
        <v>25</v>
      </c>
      <c r="D225" s="48" t="s">
        <v>1648</v>
      </c>
      <c r="E225" s="48" t="s">
        <v>1648</v>
      </c>
      <c r="F225" s="108">
        <v>29</v>
      </c>
      <c r="G225" s="108">
        <v>389</v>
      </c>
      <c r="H225" s="108">
        <v>22</v>
      </c>
      <c r="I225" s="108">
        <v>125</v>
      </c>
      <c r="J225" s="108">
        <v>0</v>
      </c>
      <c r="K225" s="108">
        <v>0</v>
      </c>
      <c r="L225" s="108">
        <v>0</v>
      </c>
      <c r="M225" s="108">
        <v>0</v>
      </c>
      <c r="N225" s="108">
        <v>127</v>
      </c>
      <c r="O225" s="108">
        <v>27</v>
      </c>
      <c r="P225" s="108">
        <v>154</v>
      </c>
      <c r="Q225" s="108">
        <v>171</v>
      </c>
      <c r="R225" s="108">
        <v>1723</v>
      </c>
      <c r="S225" s="108">
        <v>29</v>
      </c>
      <c r="T225" s="108">
        <v>389</v>
      </c>
      <c r="U225" s="109" t="s">
        <v>1648</v>
      </c>
      <c r="V225" s="108">
        <v>12</v>
      </c>
      <c r="W225" s="108">
        <v>72</v>
      </c>
      <c r="X225" s="108">
        <v>6</v>
      </c>
      <c r="Y225" s="108">
        <v>117</v>
      </c>
      <c r="Z225" s="108">
        <v>22</v>
      </c>
      <c r="AA225" s="108">
        <v>125</v>
      </c>
      <c r="AB225" s="108">
        <v>0</v>
      </c>
      <c r="AC225" s="108">
        <v>0</v>
      </c>
      <c r="AD225" s="108">
        <v>13</v>
      </c>
      <c r="AE225" s="108">
        <v>174</v>
      </c>
      <c r="AF225" s="108">
        <v>0</v>
      </c>
      <c r="AG225" s="108">
        <v>0</v>
      </c>
      <c r="AH225" s="108">
        <v>9</v>
      </c>
      <c r="AI225" s="108">
        <v>198</v>
      </c>
      <c r="AJ225" s="108">
        <v>177</v>
      </c>
      <c r="AK225" s="108">
        <v>1840</v>
      </c>
      <c r="AL225" s="108">
        <v>73</v>
      </c>
      <c r="AM225" s="108">
        <v>886</v>
      </c>
      <c r="AN225" s="108">
        <f t="shared" si="13"/>
        <v>250</v>
      </c>
      <c r="AO225" s="108">
        <f t="shared" si="14"/>
        <v>2726</v>
      </c>
      <c r="AP225" s="110">
        <f t="shared" si="12"/>
        <v>10.904</v>
      </c>
      <c r="AQ225" s="110">
        <f t="shared" si="15"/>
        <v>0.24781818181818183</v>
      </c>
      <c r="AR225" s="108">
        <v>171</v>
      </c>
      <c r="AS225" s="108">
        <v>4233</v>
      </c>
      <c r="AT225" s="108">
        <v>11000</v>
      </c>
    </row>
    <row r="226" spans="1:46" ht="13.5" thickBot="1" x14ac:dyDescent="0.25">
      <c r="A226" s="48" t="s">
        <v>19</v>
      </c>
      <c r="B226" s="47" t="s">
        <v>18</v>
      </c>
      <c r="C226" s="48" t="s">
        <v>22</v>
      </c>
      <c r="D226" s="48" t="s">
        <v>1648</v>
      </c>
      <c r="E226" s="48" t="s">
        <v>1648</v>
      </c>
      <c r="F226" s="108">
        <v>127</v>
      </c>
      <c r="G226" s="108">
        <v>1763</v>
      </c>
      <c r="H226" s="108">
        <v>7</v>
      </c>
      <c r="I226" s="108">
        <v>67</v>
      </c>
      <c r="J226" s="108">
        <v>19</v>
      </c>
      <c r="K226" s="108">
        <v>463</v>
      </c>
      <c r="L226" s="108">
        <v>4</v>
      </c>
      <c r="M226" s="108">
        <v>53</v>
      </c>
      <c r="N226" s="108">
        <v>117</v>
      </c>
      <c r="O226" s="108">
        <v>38</v>
      </c>
      <c r="P226" s="108">
        <v>155</v>
      </c>
      <c r="Q226" s="108">
        <v>19</v>
      </c>
      <c r="R226" s="108">
        <v>188</v>
      </c>
      <c r="S226" s="108">
        <v>146</v>
      </c>
      <c r="T226" s="108">
        <v>2226</v>
      </c>
      <c r="U226" s="109" t="s">
        <v>1648</v>
      </c>
      <c r="V226" s="108">
        <v>98</v>
      </c>
      <c r="W226" s="108">
        <v>1596</v>
      </c>
      <c r="X226" s="108">
        <v>0</v>
      </c>
      <c r="Y226" s="108">
        <v>0</v>
      </c>
      <c r="Z226" s="108">
        <v>11</v>
      </c>
      <c r="AA226" s="108">
        <v>120</v>
      </c>
      <c r="AB226" s="108">
        <v>1</v>
      </c>
      <c r="AC226" s="108">
        <v>21</v>
      </c>
      <c r="AD226" s="108">
        <v>43</v>
      </c>
      <c r="AE226" s="108">
        <v>883</v>
      </c>
      <c r="AF226" s="108">
        <v>0</v>
      </c>
      <c r="AG226" s="108">
        <v>0</v>
      </c>
      <c r="AH226" s="108">
        <v>0</v>
      </c>
      <c r="AI226" s="108">
        <v>0</v>
      </c>
      <c r="AJ226" s="108">
        <v>20</v>
      </c>
      <c r="AK226" s="108">
        <v>209</v>
      </c>
      <c r="AL226" s="108">
        <v>200</v>
      </c>
      <c r="AM226" s="108">
        <v>3229</v>
      </c>
      <c r="AN226" s="108">
        <f t="shared" si="13"/>
        <v>220</v>
      </c>
      <c r="AO226" s="108">
        <f t="shared" si="14"/>
        <v>3438</v>
      </c>
      <c r="AP226" s="110">
        <f t="shared" si="12"/>
        <v>15.627272727272727</v>
      </c>
      <c r="AQ226" s="110">
        <f t="shared" si="15"/>
        <v>0.16268395400558369</v>
      </c>
      <c r="AR226" s="108">
        <v>0</v>
      </c>
      <c r="AS226" s="108">
        <v>0</v>
      </c>
      <c r="AT226" s="108">
        <v>21133</v>
      </c>
    </row>
    <row r="227" spans="1:46" ht="13.5" thickBot="1" x14ac:dyDescent="0.25">
      <c r="A227" s="48" t="s">
        <v>68</v>
      </c>
      <c r="B227" s="47" t="s">
        <v>67</v>
      </c>
      <c r="C227" s="48" t="s">
        <v>22</v>
      </c>
      <c r="D227" s="48" t="s">
        <v>1649</v>
      </c>
      <c r="E227" s="48" t="s">
        <v>1649</v>
      </c>
      <c r="F227" s="108">
        <v>60</v>
      </c>
      <c r="G227" s="108">
        <v>1855</v>
      </c>
      <c r="H227" s="108">
        <v>10</v>
      </c>
      <c r="I227" s="108">
        <v>143</v>
      </c>
      <c r="J227" s="108">
        <v>6</v>
      </c>
      <c r="K227" s="108">
        <v>225</v>
      </c>
      <c r="L227" s="108">
        <v>0</v>
      </c>
      <c r="M227" s="108">
        <v>0</v>
      </c>
      <c r="N227" s="108">
        <v>75</v>
      </c>
      <c r="O227" s="108">
        <v>14</v>
      </c>
      <c r="P227" s="108">
        <v>89</v>
      </c>
      <c r="Q227" s="108">
        <v>0</v>
      </c>
      <c r="R227" s="108">
        <v>0</v>
      </c>
      <c r="S227" s="108">
        <v>66</v>
      </c>
      <c r="T227" s="108">
        <v>2080</v>
      </c>
      <c r="U227" s="109" t="s">
        <v>1648</v>
      </c>
      <c r="V227" s="108">
        <v>41</v>
      </c>
      <c r="W227" s="108">
        <v>1235</v>
      </c>
      <c r="X227" s="108">
        <v>0</v>
      </c>
      <c r="Y227" s="108">
        <v>0</v>
      </c>
      <c r="Z227" s="108">
        <v>10</v>
      </c>
      <c r="AA227" s="108">
        <v>143</v>
      </c>
      <c r="AB227" s="108">
        <v>0</v>
      </c>
      <c r="AC227" s="108">
        <v>0</v>
      </c>
      <c r="AD227" s="108">
        <v>64</v>
      </c>
      <c r="AE227" s="108">
        <v>1478</v>
      </c>
      <c r="AF227" s="108">
        <v>0</v>
      </c>
      <c r="AG227" s="108">
        <v>0</v>
      </c>
      <c r="AH227" s="108">
        <v>0</v>
      </c>
      <c r="AI227" s="108">
        <v>0</v>
      </c>
      <c r="AJ227" s="108">
        <v>0</v>
      </c>
      <c r="AK227" s="108">
        <v>0</v>
      </c>
      <c r="AL227" s="108">
        <v>140</v>
      </c>
      <c r="AM227" s="108">
        <v>3701</v>
      </c>
      <c r="AN227" s="108">
        <f t="shared" si="13"/>
        <v>140</v>
      </c>
      <c r="AO227" s="108">
        <f t="shared" si="14"/>
        <v>3701</v>
      </c>
      <c r="AP227" s="110">
        <f t="shared" si="12"/>
        <v>26.435714285714287</v>
      </c>
      <c r="AQ227" s="110">
        <f t="shared" si="15"/>
        <v>0.14298960707800487</v>
      </c>
      <c r="AR227" s="108">
        <v>0</v>
      </c>
      <c r="AS227" s="108">
        <v>0</v>
      </c>
      <c r="AT227" s="108">
        <v>25883</v>
      </c>
    </row>
    <row r="228" spans="1:46" ht="13.5" thickBot="1" x14ac:dyDescent="0.25">
      <c r="A228" s="48" t="s">
        <v>94</v>
      </c>
      <c r="B228" s="47" t="s">
        <v>93</v>
      </c>
      <c r="C228" s="48" t="s">
        <v>22</v>
      </c>
      <c r="D228" s="48" t="s">
        <v>1648</v>
      </c>
      <c r="E228" s="48" t="s">
        <v>1649</v>
      </c>
      <c r="F228" s="108">
        <v>109</v>
      </c>
      <c r="G228" s="108">
        <v>2977</v>
      </c>
      <c r="H228" s="108">
        <v>6</v>
      </c>
      <c r="I228" s="108">
        <v>111</v>
      </c>
      <c r="J228" s="108">
        <v>8</v>
      </c>
      <c r="K228" s="108">
        <v>186</v>
      </c>
      <c r="L228" s="108">
        <v>8</v>
      </c>
      <c r="M228" s="108">
        <v>157</v>
      </c>
      <c r="N228" s="108">
        <v>166</v>
      </c>
      <c r="O228" s="108">
        <v>21</v>
      </c>
      <c r="P228" s="108">
        <v>187</v>
      </c>
      <c r="Q228" s="108">
        <v>3</v>
      </c>
      <c r="R228" s="108">
        <v>41</v>
      </c>
      <c r="S228" s="108">
        <v>117</v>
      </c>
      <c r="T228" s="108">
        <v>3163</v>
      </c>
      <c r="U228" s="109" t="s">
        <v>1649</v>
      </c>
      <c r="V228" s="108">
        <v>0</v>
      </c>
      <c r="W228" s="108">
        <v>0</v>
      </c>
      <c r="X228" s="108">
        <v>0</v>
      </c>
      <c r="Y228" s="108">
        <v>0</v>
      </c>
      <c r="Z228" s="108">
        <v>14</v>
      </c>
      <c r="AA228" s="108">
        <v>268</v>
      </c>
      <c r="AB228" s="108">
        <v>5</v>
      </c>
      <c r="AC228" s="108">
        <v>10</v>
      </c>
      <c r="AD228" s="108">
        <v>56</v>
      </c>
      <c r="AE228" s="108">
        <v>835</v>
      </c>
      <c r="AF228" s="108">
        <v>0</v>
      </c>
      <c r="AG228" s="108">
        <v>0</v>
      </c>
      <c r="AH228" s="108">
        <v>0</v>
      </c>
      <c r="AI228" s="108">
        <v>0</v>
      </c>
      <c r="AJ228" s="108">
        <v>8</v>
      </c>
      <c r="AK228" s="108">
        <v>51</v>
      </c>
      <c r="AL228" s="108">
        <v>187</v>
      </c>
      <c r="AM228" s="108">
        <v>4266</v>
      </c>
      <c r="AN228" s="108">
        <f t="shared" si="13"/>
        <v>195</v>
      </c>
      <c r="AO228" s="108">
        <f t="shared" si="14"/>
        <v>4317</v>
      </c>
      <c r="AP228" s="110">
        <f t="shared" ref="AP228:AP291" si="16">AO228/AN228</f>
        <v>22.138461538461538</v>
      </c>
      <c r="AQ228" s="110">
        <f t="shared" si="15"/>
        <v>0.28837675350701403</v>
      </c>
      <c r="AR228" s="108">
        <v>0</v>
      </c>
      <c r="AS228" s="108">
        <v>0</v>
      </c>
      <c r="AT228" s="108">
        <v>14970</v>
      </c>
    </row>
    <row r="229" spans="1:46" ht="13.5" thickBot="1" x14ac:dyDescent="0.25">
      <c r="A229" s="48" t="s">
        <v>104</v>
      </c>
      <c r="B229" s="47" t="s">
        <v>103</v>
      </c>
      <c r="C229" s="48" t="s">
        <v>22</v>
      </c>
      <c r="D229" s="48" t="s">
        <v>1649</v>
      </c>
      <c r="E229" s="48" t="s">
        <v>1649</v>
      </c>
      <c r="F229" s="108">
        <v>143</v>
      </c>
      <c r="G229" s="108">
        <v>3071</v>
      </c>
      <c r="H229" s="108">
        <v>12</v>
      </c>
      <c r="I229" s="108">
        <v>62</v>
      </c>
      <c r="J229" s="108">
        <v>34</v>
      </c>
      <c r="K229" s="108">
        <v>921</v>
      </c>
      <c r="L229" s="108">
        <v>5</v>
      </c>
      <c r="M229" s="108">
        <v>2</v>
      </c>
      <c r="N229" s="109">
        <v>0</v>
      </c>
      <c r="O229" s="109">
        <v>0</v>
      </c>
      <c r="P229" s="109">
        <v>0</v>
      </c>
      <c r="Q229" s="108">
        <v>0</v>
      </c>
      <c r="R229" s="108">
        <v>0</v>
      </c>
      <c r="S229" s="108">
        <v>177</v>
      </c>
      <c r="T229" s="108">
        <v>3992</v>
      </c>
      <c r="U229" s="109" t="s">
        <v>1648</v>
      </c>
      <c r="V229" s="108">
        <v>93</v>
      </c>
      <c r="W229" s="108">
        <v>1799</v>
      </c>
      <c r="X229" s="108">
        <v>0</v>
      </c>
      <c r="Y229" s="108">
        <v>0</v>
      </c>
      <c r="Z229" s="108">
        <v>17</v>
      </c>
      <c r="AA229" s="108">
        <v>64</v>
      </c>
      <c r="AB229" s="108">
        <v>0</v>
      </c>
      <c r="AC229" s="108">
        <v>0</v>
      </c>
      <c r="AD229" s="108">
        <v>60</v>
      </c>
      <c r="AE229" s="108">
        <v>1111</v>
      </c>
      <c r="AF229" s="108">
        <v>0</v>
      </c>
      <c r="AG229" s="108">
        <v>0</v>
      </c>
      <c r="AH229" s="108">
        <v>11</v>
      </c>
      <c r="AI229" s="108">
        <v>758</v>
      </c>
      <c r="AJ229" s="108">
        <v>0</v>
      </c>
      <c r="AK229" s="108">
        <v>0</v>
      </c>
      <c r="AL229" s="108">
        <v>265</v>
      </c>
      <c r="AM229" s="108">
        <v>5925</v>
      </c>
      <c r="AN229" s="108">
        <f t="shared" si="13"/>
        <v>265</v>
      </c>
      <c r="AO229" s="108">
        <f t="shared" si="14"/>
        <v>5925</v>
      </c>
      <c r="AP229" s="110">
        <f t="shared" si="16"/>
        <v>22.358490566037737</v>
      </c>
      <c r="AQ229" s="110">
        <f t="shared" si="15"/>
        <v>0.29588014981273408</v>
      </c>
      <c r="AR229" s="108">
        <v>0</v>
      </c>
      <c r="AS229" s="108">
        <v>0</v>
      </c>
      <c r="AT229" s="108">
        <v>20025</v>
      </c>
    </row>
    <row r="230" spans="1:46" ht="13.5" thickBot="1" x14ac:dyDescent="0.25">
      <c r="A230" s="48" t="s">
        <v>118</v>
      </c>
      <c r="B230" s="47" t="s">
        <v>117</v>
      </c>
      <c r="C230" s="48" t="s">
        <v>22</v>
      </c>
      <c r="D230" s="48" t="s">
        <v>1648</v>
      </c>
      <c r="E230" s="48" t="s">
        <v>1649</v>
      </c>
      <c r="F230" s="108">
        <v>45</v>
      </c>
      <c r="G230" s="108">
        <v>1136</v>
      </c>
      <c r="H230" s="108">
        <v>15</v>
      </c>
      <c r="I230" s="108">
        <v>12</v>
      </c>
      <c r="J230" s="108">
        <v>10</v>
      </c>
      <c r="K230" s="108">
        <v>136</v>
      </c>
      <c r="L230" s="108">
        <v>2</v>
      </c>
      <c r="M230" s="108">
        <v>5</v>
      </c>
      <c r="N230" s="108">
        <v>153</v>
      </c>
      <c r="O230" s="108">
        <v>33</v>
      </c>
      <c r="P230" s="108">
        <v>186</v>
      </c>
      <c r="Q230" s="108">
        <v>28</v>
      </c>
      <c r="R230" s="108">
        <v>966</v>
      </c>
      <c r="S230" s="108">
        <v>55</v>
      </c>
      <c r="T230" s="108">
        <v>1272</v>
      </c>
      <c r="U230" s="109" t="s">
        <v>1648</v>
      </c>
      <c r="V230" s="108">
        <v>45</v>
      </c>
      <c r="W230" s="108">
        <v>747</v>
      </c>
      <c r="X230" s="108">
        <v>0</v>
      </c>
      <c r="Y230" s="108">
        <v>0</v>
      </c>
      <c r="Z230" s="108">
        <v>17</v>
      </c>
      <c r="AA230" s="108">
        <v>17</v>
      </c>
      <c r="AB230" s="108">
        <v>0</v>
      </c>
      <c r="AC230" s="108">
        <v>0</v>
      </c>
      <c r="AD230" s="108">
        <v>31</v>
      </c>
      <c r="AE230" s="108">
        <v>358</v>
      </c>
      <c r="AF230" s="108">
        <v>0</v>
      </c>
      <c r="AG230" s="108">
        <v>0</v>
      </c>
      <c r="AH230" s="108">
        <v>21</v>
      </c>
      <c r="AI230" s="108">
        <v>546</v>
      </c>
      <c r="AJ230" s="108">
        <v>28</v>
      </c>
      <c r="AK230" s="108">
        <v>966</v>
      </c>
      <c r="AL230" s="108">
        <v>124</v>
      </c>
      <c r="AM230" s="108">
        <v>2193</v>
      </c>
      <c r="AN230" s="108">
        <f t="shared" si="13"/>
        <v>152</v>
      </c>
      <c r="AO230" s="108">
        <f t="shared" si="14"/>
        <v>3159</v>
      </c>
      <c r="AP230" s="110">
        <f t="shared" si="16"/>
        <v>20.782894736842106</v>
      </c>
      <c r="AQ230" s="110">
        <f t="shared" si="15"/>
        <v>0.24938817399542118</v>
      </c>
      <c r="AR230" s="108">
        <v>0</v>
      </c>
      <c r="AS230" s="108">
        <v>0</v>
      </c>
      <c r="AT230" s="108">
        <v>12667</v>
      </c>
    </row>
    <row r="231" spans="1:46" ht="13.5" thickBot="1" x14ac:dyDescent="0.25">
      <c r="A231" s="48" t="s">
        <v>158</v>
      </c>
      <c r="B231" s="47" t="s">
        <v>157</v>
      </c>
      <c r="C231" s="48" t="s">
        <v>22</v>
      </c>
      <c r="D231" s="48" t="s">
        <v>1648</v>
      </c>
      <c r="E231" s="48" t="s">
        <v>1648</v>
      </c>
      <c r="F231" s="108">
        <v>186</v>
      </c>
      <c r="G231" s="108">
        <v>2492</v>
      </c>
      <c r="H231" s="108">
        <v>98</v>
      </c>
      <c r="I231" s="108">
        <v>956</v>
      </c>
      <c r="J231" s="108">
        <v>46</v>
      </c>
      <c r="K231" s="108">
        <v>839</v>
      </c>
      <c r="L231" s="108">
        <v>4</v>
      </c>
      <c r="M231" s="108">
        <v>28</v>
      </c>
      <c r="N231" s="108">
        <v>173</v>
      </c>
      <c r="O231" s="108">
        <v>8</v>
      </c>
      <c r="P231" s="108">
        <v>181</v>
      </c>
      <c r="Q231" s="108">
        <v>28</v>
      </c>
      <c r="R231" s="108">
        <v>233</v>
      </c>
      <c r="S231" s="108">
        <v>232</v>
      </c>
      <c r="T231" s="108">
        <v>3331</v>
      </c>
      <c r="U231" s="109" t="s">
        <v>1648</v>
      </c>
      <c r="V231" s="108">
        <v>129</v>
      </c>
      <c r="W231" s="108">
        <v>1706</v>
      </c>
      <c r="X231" s="108">
        <v>4</v>
      </c>
      <c r="Y231" s="108">
        <v>28</v>
      </c>
      <c r="Z231" s="108">
        <v>102</v>
      </c>
      <c r="AA231" s="108">
        <v>984</v>
      </c>
      <c r="AB231" s="108">
        <v>0</v>
      </c>
      <c r="AC231" s="108">
        <v>0</v>
      </c>
      <c r="AD231" s="108">
        <v>35</v>
      </c>
      <c r="AE231" s="108">
        <v>517</v>
      </c>
      <c r="AF231" s="108">
        <v>0</v>
      </c>
      <c r="AG231" s="108">
        <v>0</v>
      </c>
      <c r="AH231" s="108">
        <v>3</v>
      </c>
      <c r="AI231" s="108">
        <v>345</v>
      </c>
      <c r="AJ231" s="108">
        <v>32</v>
      </c>
      <c r="AK231" s="108">
        <v>261</v>
      </c>
      <c r="AL231" s="108">
        <v>372</v>
      </c>
      <c r="AM231" s="108">
        <v>5177</v>
      </c>
      <c r="AN231" s="108">
        <f t="shared" si="13"/>
        <v>404</v>
      </c>
      <c r="AO231" s="108">
        <f t="shared" si="14"/>
        <v>5438</v>
      </c>
      <c r="AP231" s="110">
        <f t="shared" si="16"/>
        <v>13.46039603960396</v>
      </c>
      <c r="AQ231" s="110">
        <f t="shared" si="15"/>
        <v>0.36089726572869657</v>
      </c>
      <c r="AR231" s="108">
        <v>0</v>
      </c>
      <c r="AS231" s="108">
        <v>0</v>
      </c>
      <c r="AT231" s="108">
        <v>15068</v>
      </c>
    </row>
    <row r="232" spans="1:46" ht="13.5" thickBot="1" x14ac:dyDescent="0.25">
      <c r="A232" s="48" t="s">
        <v>182</v>
      </c>
      <c r="B232" s="47" t="s">
        <v>181</v>
      </c>
      <c r="C232" s="48" t="s">
        <v>22</v>
      </c>
      <c r="D232" s="48" t="s">
        <v>1648</v>
      </c>
      <c r="E232" s="48" t="s">
        <v>1648</v>
      </c>
      <c r="F232" s="108">
        <v>7</v>
      </c>
      <c r="G232" s="108">
        <v>144</v>
      </c>
      <c r="H232" s="108">
        <v>0</v>
      </c>
      <c r="I232" s="108">
        <v>0</v>
      </c>
      <c r="J232" s="108">
        <v>11</v>
      </c>
      <c r="K232" s="108">
        <v>117</v>
      </c>
      <c r="L232" s="108">
        <v>5</v>
      </c>
      <c r="M232" s="108">
        <v>21</v>
      </c>
      <c r="N232" s="108">
        <v>147</v>
      </c>
      <c r="O232" s="108">
        <v>20</v>
      </c>
      <c r="P232" s="108">
        <v>167</v>
      </c>
      <c r="Q232" s="108">
        <v>2</v>
      </c>
      <c r="R232" s="108">
        <v>17</v>
      </c>
      <c r="S232" s="108">
        <v>18</v>
      </c>
      <c r="T232" s="108">
        <v>261</v>
      </c>
      <c r="U232" s="109" t="s">
        <v>1648</v>
      </c>
      <c r="V232" s="108">
        <v>28</v>
      </c>
      <c r="W232" s="108">
        <v>387</v>
      </c>
      <c r="X232" s="108">
        <v>0</v>
      </c>
      <c r="Y232" s="108">
        <v>0</v>
      </c>
      <c r="Z232" s="108">
        <v>5</v>
      </c>
      <c r="AA232" s="108">
        <v>21</v>
      </c>
      <c r="AB232" s="108">
        <v>1</v>
      </c>
      <c r="AC232" s="108">
        <v>43</v>
      </c>
      <c r="AD232" s="108">
        <v>29</v>
      </c>
      <c r="AE232" s="108">
        <v>378</v>
      </c>
      <c r="AF232" s="108">
        <v>0</v>
      </c>
      <c r="AG232" s="108">
        <v>0</v>
      </c>
      <c r="AH232" s="108">
        <v>10</v>
      </c>
      <c r="AI232" s="108">
        <v>700</v>
      </c>
      <c r="AJ232" s="108">
        <v>3</v>
      </c>
      <c r="AK232" s="108">
        <v>60</v>
      </c>
      <c r="AL232" s="108">
        <v>62</v>
      </c>
      <c r="AM232" s="108">
        <v>1360</v>
      </c>
      <c r="AN232" s="108">
        <f t="shared" si="13"/>
        <v>65</v>
      </c>
      <c r="AO232" s="108">
        <f t="shared" si="14"/>
        <v>1420</v>
      </c>
      <c r="AP232" s="110">
        <f t="shared" si="16"/>
        <v>21.846153846153847</v>
      </c>
      <c r="AQ232" s="110">
        <f t="shared" si="15"/>
        <v>0.10938222153751348</v>
      </c>
      <c r="AR232" s="108">
        <v>0</v>
      </c>
      <c r="AS232" s="108">
        <v>0</v>
      </c>
      <c r="AT232" s="108">
        <v>12982</v>
      </c>
    </row>
    <row r="233" spans="1:46" ht="13.5" thickBot="1" x14ac:dyDescent="0.25">
      <c r="A233" s="48" t="s">
        <v>198</v>
      </c>
      <c r="B233" s="47" t="s">
        <v>197</v>
      </c>
      <c r="C233" s="48" t="s">
        <v>22</v>
      </c>
      <c r="D233" s="48" t="s">
        <v>1649</v>
      </c>
      <c r="E233" s="48" t="s">
        <v>1649</v>
      </c>
      <c r="F233" s="108">
        <v>19</v>
      </c>
      <c r="G233" s="108">
        <v>887</v>
      </c>
      <c r="H233" s="108">
        <v>0</v>
      </c>
      <c r="I233" s="108">
        <v>0</v>
      </c>
      <c r="J233" s="108">
        <v>6</v>
      </c>
      <c r="K233" s="108">
        <v>113</v>
      </c>
      <c r="L233" s="108">
        <v>0</v>
      </c>
      <c r="M233" s="108">
        <v>0</v>
      </c>
      <c r="N233" s="108">
        <v>77</v>
      </c>
      <c r="O233" s="108">
        <v>12</v>
      </c>
      <c r="P233" s="108">
        <v>89</v>
      </c>
      <c r="Q233" s="108">
        <v>0</v>
      </c>
      <c r="R233" s="108">
        <v>0</v>
      </c>
      <c r="S233" s="108">
        <v>25</v>
      </c>
      <c r="T233" s="108">
        <v>1000</v>
      </c>
      <c r="U233" s="109" t="s">
        <v>1648</v>
      </c>
      <c r="V233" s="108">
        <v>10</v>
      </c>
      <c r="W233" s="108">
        <v>20</v>
      </c>
      <c r="X233" s="108">
        <v>0</v>
      </c>
      <c r="Y233" s="108">
        <v>0</v>
      </c>
      <c r="Z233" s="108">
        <v>0</v>
      </c>
      <c r="AA233" s="108">
        <v>0</v>
      </c>
      <c r="AB233" s="108">
        <v>0</v>
      </c>
      <c r="AC233" s="108">
        <v>0</v>
      </c>
      <c r="AD233" s="108">
        <v>92</v>
      </c>
      <c r="AE233" s="108">
        <v>339</v>
      </c>
      <c r="AF233" s="108">
        <v>0</v>
      </c>
      <c r="AG233" s="108">
        <v>0</v>
      </c>
      <c r="AH233" s="108">
        <v>40</v>
      </c>
      <c r="AI233" s="108">
        <v>1141</v>
      </c>
      <c r="AJ233" s="108">
        <v>0</v>
      </c>
      <c r="AK233" s="108">
        <v>0</v>
      </c>
      <c r="AL233" s="108">
        <v>157</v>
      </c>
      <c r="AM233" s="108">
        <v>2480</v>
      </c>
      <c r="AN233" s="108">
        <f t="shared" si="13"/>
        <v>157</v>
      </c>
      <c r="AO233" s="108">
        <f t="shared" si="14"/>
        <v>2480</v>
      </c>
      <c r="AP233" s="110">
        <f t="shared" si="16"/>
        <v>15.796178343949045</v>
      </c>
      <c r="AQ233" s="110">
        <f t="shared" si="15"/>
        <v>0.1762114537444934</v>
      </c>
      <c r="AR233" s="108">
        <v>0</v>
      </c>
      <c r="AS233" s="108">
        <v>0</v>
      </c>
      <c r="AT233" s="108">
        <v>14074</v>
      </c>
    </row>
    <row r="234" spans="1:46" ht="13.5" thickBot="1" x14ac:dyDescent="0.25">
      <c r="A234" s="48" t="s">
        <v>276</v>
      </c>
      <c r="B234" s="47" t="s">
        <v>275</v>
      </c>
      <c r="C234" s="48" t="s">
        <v>22</v>
      </c>
      <c r="D234" s="48" t="s">
        <v>1648</v>
      </c>
      <c r="E234" s="48" t="s">
        <v>1648</v>
      </c>
      <c r="F234" s="108">
        <v>110</v>
      </c>
      <c r="G234" s="108">
        <v>1467</v>
      </c>
      <c r="H234" s="108">
        <v>5</v>
      </c>
      <c r="I234" s="108">
        <v>9</v>
      </c>
      <c r="J234" s="108">
        <v>1</v>
      </c>
      <c r="K234" s="108">
        <v>140</v>
      </c>
      <c r="L234" s="108">
        <v>0</v>
      </c>
      <c r="M234" s="108">
        <v>0</v>
      </c>
      <c r="N234" s="108">
        <v>86</v>
      </c>
      <c r="O234" s="108">
        <v>20</v>
      </c>
      <c r="P234" s="108">
        <v>106</v>
      </c>
      <c r="Q234" s="108">
        <v>1</v>
      </c>
      <c r="R234" s="108">
        <v>150</v>
      </c>
      <c r="S234" s="108">
        <v>111</v>
      </c>
      <c r="T234" s="108">
        <v>1607</v>
      </c>
      <c r="U234" s="109" t="s">
        <v>1648</v>
      </c>
      <c r="V234" s="108">
        <v>92</v>
      </c>
      <c r="W234" s="108">
        <v>1327</v>
      </c>
      <c r="X234" s="108">
        <v>0</v>
      </c>
      <c r="Y234" s="108">
        <v>0</v>
      </c>
      <c r="Z234" s="108">
        <v>5</v>
      </c>
      <c r="AA234" s="108">
        <v>9</v>
      </c>
      <c r="AB234" s="108">
        <v>0</v>
      </c>
      <c r="AC234" s="108">
        <v>0</v>
      </c>
      <c r="AD234" s="108">
        <v>11</v>
      </c>
      <c r="AE234" s="108">
        <v>102</v>
      </c>
      <c r="AF234" s="108">
        <v>0</v>
      </c>
      <c r="AG234" s="108">
        <v>0</v>
      </c>
      <c r="AH234" s="108">
        <v>0</v>
      </c>
      <c r="AI234" s="108">
        <v>0</v>
      </c>
      <c r="AJ234" s="108">
        <v>1</v>
      </c>
      <c r="AK234" s="108">
        <v>150</v>
      </c>
      <c r="AL234" s="108">
        <v>127</v>
      </c>
      <c r="AM234" s="108">
        <v>1718</v>
      </c>
      <c r="AN234" s="108">
        <f t="shared" si="13"/>
        <v>128</v>
      </c>
      <c r="AO234" s="108">
        <f t="shared" si="14"/>
        <v>1868</v>
      </c>
      <c r="AP234" s="110">
        <f t="shared" si="16"/>
        <v>14.59375</v>
      </c>
      <c r="AQ234" s="110">
        <f t="shared" si="15"/>
        <v>0.10480839364865623</v>
      </c>
      <c r="AR234" s="108">
        <v>0</v>
      </c>
      <c r="AS234" s="108">
        <v>0</v>
      </c>
      <c r="AT234" s="108">
        <v>17823</v>
      </c>
    </row>
    <row r="235" spans="1:46" ht="13.5" thickBot="1" x14ac:dyDescent="0.25">
      <c r="A235" s="48" t="s">
        <v>294</v>
      </c>
      <c r="B235" s="47" t="s">
        <v>293</v>
      </c>
      <c r="C235" s="48" t="s">
        <v>22</v>
      </c>
      <c r="D235" s="48" t="s">
        <v>1649</v>
      </c>
      <c r="E235" s="48" t="s">
        <v>1649</v>
      </c>
      <c r="F235" s="108">
        <v>16</v>
      </c>
      <c r="G235" s="108">
        <v>2083</v>
      </c>
      <c r="H235" s="108">
        <v>3</v>
      </c>
      <c r="I235" s="108">
        <v>7</v>
      </c>
      <c r="J235" s="108">
        <v>6</v>
      </c>
      <c r="K235" s="108">
        <v>308</v>
      </c>
      <c r="L235" s="108">
        <v>0</v>
      </c>
      <c r="M235" s="108">
        <v>0</v>
      </c>
      <c r="N235" s="108">
        <v>190</v>
      </c>
      <c r="O235" s="108">
        <v>59</v>
      </c>
      <c r="P235" s="108">
        <v>249</v>
      </c>
      <c r="Q235" s="108">
        <v>0</v>
      </c>
      <c r="R235" s="108">
        <v>0</v>
      </c>
      <c r="S235" s="108">
        <v>22</v>
      </c>
      <c r="T235" s="108">
        <v>2391</v>
      </c>
      <c r="U235" s="109" t="s">
        <v>1648</v>
      </c>
      <c r="V235" s="108">
        <v>1</v>
      </c>
      <c r="W235" s="108">
        <v>1420</v>
      </c>
      <c r="X235" s="108">
        <v>0</v>
      </c>
      <c r="Y235" s="108">
        <v>0</v>
      </c>
      <c r="Z235" s="108">
        <v>3</v>
      </c>
      <c r="AA235" s="108">
        <v>7</v>
      </c>
      <c r="AB235" s="108">
        <v>0</v>
      </c>
      <c r="AC235" s="108">
        <v>0</v>
      </c>
      <c r="AD235" s="108">
        <v>7</v>
      </c>
      <c r="AE235" s="108">
        <v>59</v>
      </c>
      <c r="AF235" s="108">
        <v>0</v>
      </c>
      <c r="AG235" s="108">
        <v>0</v>
      </c>
      <c r="AH235" s="108">
        <v>4</v>
      </c>
      <c r="AI235" s="108">
        <v>44</v>
      </c>
      <c r="AJ235" s="108">
        <v>0</v>
      </c>
      <c r="AK235" s="108">
        <v>0</v>
      </c>
      <c r="AL235" s="108">
        <v>36</v>
      </c>
      <c r="AM235" s="108">
        <v>2501</v>
      </c>
      <c r="AN235" s="108">
        <f t="shared" si="13"/>
        <v>36</v>
      </c>
      <c r="AO235" s="108">
        <f t="shared" si="14"/>
        <v>2501</v>
      </c>
      <c r="AP235" s="110">
        <f t="shared" si="16"/>
        <v>69.472222222222229</v>
      </c>
      <c r="AQ235" s="110">
        <f t="shared" si="15"/>
        <v>0.18392410648624799</v>
      </c>
      <c r="AR235" s="108">
        <v>0</v>
      </c>
      <c r="AS235" s="108">
        <v>0</v>
      </c>
      <c r="AT235" s="108">
        <v>13598</v>
      </c>
    </row>
    <row r="236" spans="1:46" ht="13.5" thickBot="1" x14ac:dyDescent="0.25">
      <c r="A236" s="48" t="s">
        <v>330</v>
      </c>
      <c r="B236" s="47" t="s">
        <v>329</v>
      </c>
      <c r="C236" s="48" t="s">
        <v>22</v>
      </c>
      <c r="D236" s="48" t="s">
        <v>1649</v>
      </c>
      <c r="E236" s="48" t="s">
        <v>1649</v>
      </c>
      <c r="F236" s="108">
        <v>95</v>
      </c>
      <c r="G236" s="108">
        <v>1265</v>
      </c>
      <c r="H236" s="108">
        <v>2</v>
      </c>
      <c r="I236" s="108">
        <v>56</v>
      </c>
      <c r="J236" s="108">
        <v>25</v>
      </c>
      <c r="K236" s="108">
        <v>879</v>
      </c>
      <c r="L236" s="108">
        <v>0</v>
      </c>
      <c r="M236" s="108">
        <v>0</v>
      </c>
      <c r="N236" s="108">
        <v>0</v>
      </c>
      <c r="O236" s="108">
        <v>0</v>
      </c>
      <c r="P236" s="108">
        <v>0</v>
      </c>
      <c r="Q236" s="108">
        <v>0</v>
      </c>
      <c r="R236" s="108">
        <v>0</v>
      </c>
      <c r="S236" s="108">
        <v>120</v>
      </c>
      <c r="T236" s="108">
        <v>2144</v>
      </c>
      <c r="U236" s="109" t="s">
        <v>1648</v>
      </c>
      <c r="V236" s="108">
        <v>94</v>
      </c>
      <c r="W236" s="108">
        <v>1209</v>
      </c>
      <c r="X236" s="108">
        <v>0</v>
      </c>
      <c r="Y236" s="108">
        <v>0</v>
      </c>
      <c r="Z236" s="108">
        <v>2</v>
      </c>
      <c r="AA236" s="108">
        <v>56</v>
      </c>
      <c r="AB236" s="108">
        <v>0</v>
      </c>
      <c r="AC236" s="108">
        <v>0</v>
      </c>
      <c r="AD236" s="108">
        <v>67</v>
      </c>
      <c r="AE236" s="108">
        <v>1431</v>
      </c>
      <c r="AF236" s="108">
        <v>0</v>
      </c>
      <c r="AG236" s="108">
        <v>0</v>
      </c>
      <c r="AH236" s="108">
        <v>5</v>
      </c>
      <c r="AI236" s="108">
        <v>524</v>
      </c>
      <c r="AJ236" s="108">
        <v>0</v>
      </c>
      <c r="AK236" s="108">
        <v>0</v>
      </c>
      <c r="AL236" s="108">
        <v>194</v>
      </c>
      <c r="AM236" s="108">
        <v>4155</v>
      </c>
      <c r="AN236" s="108">
        <f t="shared" si="13"/>
        <v>194</v>
      </c>
      <c r="AO236" s="108">
        <f t="shared" si="14"/>
        <v>4155</v>
      </c>
      <c r="AP236" s="110">
        <f t="shared" si="16"/>
        <v>21.417525773195877</v>
      </c>
      <c r="AQ236" s="110">
        <f t="shared" si="15"/>
        <v>0.19631467044649184</v>
      </c>
      <c r="AR236" s="108">
        <v>0</v>
      </c>
      <c r="AS236" s="108">
        <v>0</v>
      </c>
      <c r="AT236" s="108">
        <v>21165</v>
      </c>
    </row>
    <row r="237" spans="1:46" ht="13.5" thickBot="1" x14ac:dyDescent="0.25">
      <c r="A237" s="48" t="s">
        <v>332</v>
      </c>
      <c r="B237" s="47" t="s">
        <v>331</v>
      </c>
      <c r="C237" s="48" t="s">
        <v>22</v>
      </c>
      <c r="D237" s="48" t="s">
        <v>1649</v>
      </c>
      <c r="E237" s="48" t="s">
        <v>1649</v>
      </c>
      <c r="F237" s="108">
        <v>75</v>
      </c>
      <c r="G237" s="108">
        <v>1637</v>
      </c>
      <c r="H237" s="108">
        <v>25</v>
      </c>
      <c r="I237" s="108">
        <v>149</v>
      </c>
      <c r="J237" s="108">
        <v>18</v>
      </c>
      <c r="K237" s="108">
        <v>399</v>
      </c>
      <c r="L237" s="108">
        <v>10</v>
      </c>
      <c r="M237" s="108">
        <v>92</v>
      </c>
      <c r="N237" s="108">
        <v>120</v>
      </c>
      <c r="O237" s="108">
        <v>20</v>
      </c>
      <c r="P237" s="108">
        <v>140</v>
      </c>
      <c r="Q237" s="108">
        <v>0</v>
      </c>
      <c r="R237" s="108">
        <v>0</v>
      </c>
      <c r="S237" s="108">
        <v>93</v>
      </c>
      <c r="T237" s="108">
        <v>2036</v>
      </c>
      <c r="U237" s="109" t="s">
        <v>1648</v>
      </c>
      <c r="V237" s="108">
        <v>106</v>
      </c>
      <c r="W237" s="108">
        <v>326</v>
      </c>
      <c r="X237" s="108">
        <v>0</v>
      </c>
      <c r="Y237" s="108">
        <v>0</v>
      </c>
      <c r="Z237" s="108">
        <v>35</v>
      </c>
      <c r="AA237" s="108">
        <v>241</v>
      </c>
      <c r="AB237" s="108">
        <v>0</v>
      </c>
      <c r="AC237" s="108">
        <v>0</v>
      </c>
      <c r="AD237" s="108">
        <v>187</v>
      </c>
      <c r="AE237" s="108">
        <v>2042</v>
      </c>
      <c r="AF237" s="108">
        <v>0</v>
      </c>
      <c r="AG237" s="108">
        <v>0</v>
      </c>
      <c r="AH237" s="108">
        <v>28</v>
      </c>
      <c r="AI237" s="108">
        <v>782</v>
      </c>
      <c r="AJ237" s="108">
        <v>0</v>
      </c>
      <c r="AK237" s="108">
        <v>0</v>
      </c>
      <c r="AL237" s="108">
        <v>343</v>
      </c>
      <c r="AM237" s="108">
        <v>5101</v>
      </c>
      <c r="AN237" s="108">
        <f t="shared" si="13"/>
        <v>343</v>
      </c>
      <c r="AO237" s="108">
        <f t="shared" si="14"/>
        <v>5101</v>
      </c>
      <c r="AP237" s="110">
        <f t="shared" si="16"/>
        <v>14.871720116618075</v>
      </c>
      <c r="AQ237" s="110">
        <f t="shared" si="15"/>
        <v>0.2274896311822682</v>
      </c>
      <c r="AR237" s="108">
        <v>0</v>
      </c>
      <c r="AS237" s="108">
        <v>0</v>
      </c>
      <c r="AT237" s="108">
        <v>22423</v>
      </c>
    </row>
    <row r="238" spans="1:46" ht="13.5" thickBot="1" x14ac:dyDescent="0.25">
      <c r="A238" s="48" t="s">
        <v>338</v>
      </c>
      <c r="B238" s="47" t="s">
        <v>337</v>
      </c>
      <c r="C238" s="48" t="s">
        <v>22</v>
      </c>
      <c r="D238" s="48" t="s">
        <v>1648</v>
      </c>
      <c r="E238" s="48" t="s">
        <v>1648</v>
      </c>
      <c r="F238" s="108">
        <v>97</v>
      </c>
      <c r="G238" s="108">
        <v>1979</v>
      </c>
      <c r="H238" s="108">
        <v>17</v>
      </c>
      <c r="I238" s="108">
        <v>99</v>
      </c>
      <c r="J238" s="108">
        <v>23</v>
      </c>
      <c r="K238" s="108">
        <v>247</v>
      </c>
      <c r="L238" s="108">
        <v>9</v>
      </c>
      <c r="M238" s="108">
        <v>134</v>
      </c>
      <c r="N238" s="108">
        <v>62</v>
      </c>
      <c r="O238" s="108">
        <v>13</v>
      </c>
      <c r="P238" s="108">
        <v>75</v>
      </c>
      <c r="Q238" s="108">
        <v>60</v>
      </c>
      <c r="R238" s="108">
        <v>561</v>
      </c>
      <c r="S238" s="108">
        <v>120</v>
      </c>
      <c r="T238" s="108">
        <v>2226</v>
      </c>
      <c r="U238" s="109" t="s">
        <v>1648</v>
      </c>
      <c r="V238" s="108">
        <v>50</v>
      </c>
      <c r="W238" s="108">
        <v>89</v>
      </c>
      <c r="X238" s="108">
        <v>9</v>
      </c>
      <c r="Y238" s="108">
        <v>134</v>
      </c>
      <c r="Z238" s="108">
        <v>26</v>
      </c>
      <c r="AA238" s="108">
        <v>233</v>
      </c>
      <c r="AB238" s="108">
        <v>2</v>
      </c>
      <c r="AC238" s="108">
        <v>45</v>
      </c>
      <c r="AD238" s="108">
        <v>55</v>
      </c>
      <c r="AE238" s="108">
        <v>690</v>
      </c>
      <c r="AF238" s="108">
        <v>0</v>
      </c>
      <c r="AG238" s="108">
        <v>0</v>
      </c>
      <c r="AH238" s="108">
        <v>10</v>
      </c>
      <c r="AI238" s="108">
        <v>45</v>
      </c>
      <c r="AJ238" s="108">
        <v>71</v>
      </c>
      <c r="AK238" s="108">
        <v>740</v>
      </c>
      <c r="AL238" s="108">
        <v>211</v>
      </c>
      <c r="AM238" s="108">
        <v>3194</v>
      </c>
      <c r="AN238" s="108">
        <f t="shared" si="13"/>
        <v>282</v>
      </c>
      <c r="AO238" s="108">
        <f t="shared" si="14"/>
        <v>3934</v>
      </c>
      <c r="AP238" s="110">
        <f t="shared" si="16"/>
        <v>13.950354609929079</v>
      </c>
      <c r="AQ238" s="110">
        <f t="shared" si="15"/>
        <v>0.3044891640866873</v>
      </c>
      <c r="AR238" s="108">
        <v>71</v>
      </c>
      <c r="AS238" s="108">
        <v>69</v>
      </c>
      <c r="AT238" s="108">
        <v>12920</v>
      </c>
    </row>
    <row r="239" spans="1:46" ht="13.5" thickBot="1" x14ac:dyDescent="0.25">
      <c r="A239" s="48" t="s">
        <v>360</v>
      </c>
      <c r="B239" s="47" t="s">
        <v>359</v>
      </c>
      <c r="C239" s="48" t="s">
        <v>22</v>
      </c>
      <c r="D239" s="48" t="s">
        <v>1648</v>
      </c>
      <c r="E239" s="48" t="s">
        <v>1648</v>
      </c>
      <c r="F239" s="108">
        <v>69</v>
      </c>
      <c r="G239" s="108">
        <v>2098</v>
      </c>
      <c r="H239" s="108">
        <v>17</v>
      </c>
      <c r="I239" s="108">
        <v>92</v>
      </c>
      <c r="J239" s="108">
        <v>14</v>
      </c>
      <c r="K239" s="108">
        <v>737</v>
      </c>
      <c r="L239" s="108">
        <v>1</v>
      </c>
      <c r="M239" s="108">
        <v>1</v>
      </c>
      <c r="N239" s="108">
        <v>228</v>
      </c>
      <c r="O239" s="108">
        <v>18</v>
      </c>
      <c r="P239" s="108">
        <v>246</v>
      </c>
      <c r="Q239" s="108">
        <v>9</v>
      </c>
      <c r="R239" s="108">
        <v>506</v>
      </c>
      <c r="S239" s="108">
        <v>83</v>
      </c>
      <c r="T239" s="108">
        <v>2835</v>
      </c>
      <c r="U239" s="109" t="s">
        <v>1648</v>
      </c>
      <c r="V239" s="108">
        <v>46</v>
      </c>
      <c r="W239" s="108">
        <v>824</v>
      </c>
      <c r="X239" s="108">
        <v>0</v>
      </c>
      <c r="Y239" s="108">
        <v>0</v>
      </c>
      <c r="Z239" s="108">
        <v>18</v>
      </c>
      <c r="AA239" s="108">
        <v>93</v>
      </c>
      <c r="AB239" s="108">
        <v>0</v>
      </c>
      <c r="AC239" s="108">
        <v>0</v>
      </c>
      <c r="AD239" s="108">
        <v>28</v>
      </c>
      <c r="AE239" s="108">
        <v>319</v>
      </c>
      <c r="AF239" s="108">
        <v>0</v>
      </c>
      <c r="AG239" s="108">
        <v>0</v>
      </c>
      <c r="AH239" s="108">
        <v>2</v>
      </c>
      <c r="AI239" s="108">
        <v>12</v>
      </c>
      <c r="AJ239" s="108">
        <v>9</v>
      </c>
      <c r="AK239" s="108">
        <v>506</v>
      </c>
      <c r="AL239" s="108">
        <v>131</v>
      </c>
      <c r="AM239" s="108">
        <v>3259</v>
      </c>
      <c r="AN239" s="108">
        <f t="shared" si="13"/>
        <v>140</v>
      </c>
      <c r="AO239" s="108">
        <f t="shared" si="14"/>
        <v>3765</v>
      </c>
      <c r="AP239" s="110">
        <f t="shared" si="16"/>
        <v>26.892857142857142</v>
      </c>
      <c r="AQ239" s="110">
        <f t="shared" si="15"/>
        <v>0.16307172557172558</v>
      </c>
      <c r="AR239" s="108">
        <v>0</v>
      </c>
      <c r="AS239" s="108">
        <v>0</v>
      </c>
      <c r="AT239" s="108">
        <v>23088</v>
      </c>
    </row>
    <row r="240" spans="1:46" ht="13.5" thickBot="1" x14ac:dyDescent="0.25">
      <c r="A240" s="48" t="s">
        <v>404</v>
      </c>
      <c r="B240" s="47" t="s">
        <v>403</v>
      </c>
      <c r="C240" s="48" t="s">
        <v>22</v>
      </c>
      <c r="D240" s="48" t="s">
        <v>1649</v>
      </c>
      <c r="E240" s="48" t="s">
        <v>1649</v>
      </c>
      <c r="F240" s="108">
        <v>116</v>
      </c>
      <c r="G240" s="108">
        <v>2905</v>
      </c>
      <c r="H240" s="108">
        <v>17</v>
      </c>
      <c r="I240" s="108">
        <v>1111</v>
      </c>
      <c r="J240" s="108">
        <v>8</v>
      </c>
      <c r="K240" s="108">
        <v>741</v>
      </c>
      <c r="L240" s="108">
        <v>0</v>
      </c>
      <c r="M240" s="108">
        <v>0</v>
      </c>
      <c r="N240" s="108">
        <v>0</v>
      </c>
      <c r="O240" s="108">
        <v>0</v>
      </c>
      <c r="P240" s="108">
        <v>0</v>
      </c>
      <c r="Q240" s="108">
        <v>0</v>
      </c>
      <c r="R240" s="108">
        <v>0</v>
      </c>
      <c r="S240" s="108">
        <v>124</v>
      </c>
      <c r="T240" s="108">
        <v>3646</v>
      </c>
      <c r="U240" s="109" t="s">
        <v>1648</v>
      </c>
      <c r="V240" s="108">
        <v>50</v>
      </c>
      <c r="W240" s="108">
        <v>914</v>
      </c>
      <c r="X240" s="108">
        <v>0</v>
      </c>
      <c r="Y240" s="108">
        <v>0</v>
      </c>
      <c r="Z240" s="108">
        <v>17</v>
      </c>
      <c r="AA240" s="108">
        <v>1111</v>
      </c>
      <c r="AB240" s="108">
        <v>0</v>
      </c>
      <c r="AC240" s="108">
        <v>0</v>
      </c>
      <c r="AD240" s="108">
        <v>31</v>
      </c>
      <c r="AE240" s="108">
        <v>574</v>
      </c>
      <c r="AF240" s="108">
        <v>0</v>
      </c>
      <c r="AG240" s="108">
        <v>0</v>
      </c>
      <c r="AH240" s="108">
        <v>97</v>
      </c>
      <c r="AI240" s="108">
        <v>839</v>
      </c>
      <c r="AJ240" s="108">
        <v>0</v>
      </c>
      <c r="AK240" s="108">
        <v>0</v>
      </c>
      <c r="AL240" s="108">
        <v>269</v>
      </c>
      <c r="AM240" s="108">
        <v>6170</v>
      </c>
      <c r="AN240" s="108">
        <f t="shared" si="13"/>
        <v>269</v>
      </c>
      <c r="AO240" s="108">
        <f t="shared" si="14"/>
        <v>6170</v>
      </c>
      <c r="AP240" s="110">
        <f t="shared" si="16"/>
        <v>22.936802973977695</v>
      </c>
      <c r="AQ240" s="110">
        <f t="shared" si="15"/>
        <v>0.35970384189354632</v>
      </c>
      <c r="AR240" s="108">
        <v>0</v>
      </c>
      <c r="AS240" s="108">
        <v>0</v>
      </c>
      <c r="AT240" s="108">
        <v>17153</v>
      </c>
    </row>
    <row r="241" spans="1:46" ht="13.5" thickBot="1" x14ac:dyDescent="0.25">
      <c r="A241" s="48" t="s">
        <v>486</v>
      </c>
      <c r="B241" s="47" t="s">
        <v>485</v>
      </c>
      <c r="C241" s="48" t="s">
        <v>22</v>
      </c>
      <c r="D241" s="48" t="s">
        <v>1649</v>
      </c>
      <c r="E241" s="48" t="s">
        <v>1649</v>
      </c>
      <c r="F241" s="108">
        <v>92</v>
      </c>
      <c r="G241" s="108">
        <v>3311</v>
      </c>
      <c r="H241" s="108">
        <v>11</v>
      </c>
      <c r="I241" s="108">
        <v>214</v>
      </c>
      <c r="J241" s="108">
        <v>9</v>
      </c>
      <c r="K241" s="108">
        <v>202</v>
      </c>
      <c r="L241" s="108">
        <v>0</v>
      </c>
      <c r="M241" s="108">
        <v>0</v>
      </c>
      <c r="N241" s="108">
        <v>262</v>
      </c>
      <c r="O241" s="108">
        <v>185</v>
      </c>
      <c r="P241" s="108">
        <v>447</v>
      </c>
      <c r="Q241" s="108">
        <v>0</v>
      </c>
      <c r="R241" s="108">
        <v>0</v>
      </c>
      <c r="S241" s="108">
        <v>101</v>
      </c>
      <c r="T241" s="108">
        <v>3513</v>
      </c>
      <c r="U241" s="109" t="s">
        <v>1648</v>
      </c>
      <c r="V241" s="108">
        <v>53</v>
      </c>
      <c r="W241" s="108">
        <v>1726</v>
      </c>
      <c r="X241" s="108">
        <v>0</v>
      </c>
      <c r="Y241" s="108">
        <v>0</v>
      </c>
      <c r="Z241" s="108">
        <v>11</v>
      </c>
      <c r="AA241" s="108">
        <v>214</v>
      </c>
      <c r="AB241" s="108">
        <v>0</v>
      </c>
      <c r="AC241" s="108">
        <v>0</v>
      </c>
      <c r="AD241" s="108">
        <v>46</v>
      </c>
      <c r="AE241" s="108">
        <v>1214</v>
      </c>
      <c r="AF241" s="108">
        <v>0</v>
      </c>
      <c r="AG241" s="108">
        <v>0</v>
      </c>
      <c r="AH241" s="108">
        <v>15</v>
      </c>
      <c r="AI241" s="108">
        <v>334</v>
      </c>
      <c r="AJ241" s="108">
        <v>0</v>
      </c>
      <c r="AK241" s="108">
        <v>0</v>
      </c>
      <c r="AL241" s="108">
        <v>173</v>
      </c>
      <c r="AM241" s="108">
        <v>5275</v>
      </c>
      <c r="AN241" s="108">
        <f t="shared" si="13"/>
        <v>173</v>
      </c>
      <c r="AO241" s="108">
        <f t="shared" si="14"/>
        <v>5275</v>
      </c>
      <c r="AP241" s="110">
        <f t="shared" si="16"/>
        <v>30.491329479768787</v>
      </c>
      <c r="AQ241" s="110">
        <f t="shared" si="15"/>
        <v>0.28679388897950309</v>
      </c>
      <c r="AR241" s="108">
        <v>0</v>
      </c>
      <c r="AS241" s="108">
        <v>0</v>
      </c>
      <c r="AT241" s="108">
        <v>18393</v>
      </c>
    </row>
    <row r="242" spans="1:46" ht="13.5" thickBot="1" x14ac:dyDescent="0.25">
      <c r="A242" s="48" t="s">
        <v>496</v>
      </c>
      <c r="B242" s="47" t="s">
        <v>495</v>
      </c>
      <c r="C242" s="48" t="s">
        <v>22</v>
      </c>
      <c r="D242" s="48" t="s">
        <v>1649</v>
      </c>
      <c r="E242" s="48" t="s">
        <v>1649</v>
      </c>
      <c r="F242" s="108">
        <v>171</v>
      </c>
      <c r="G242" s="108">
        <v>3663</v>
      </c>
      <c r="H242" s="108">
        <v>3</v>
      </c>
      <c r="I242" s="108">
        <v>62</v>
      </c>
      <c r="J242" s="108">
        <v>10</v>
      </c>
      <c r="K242" s="108">
        <v>570</v>
      </c>
      <c r="L242" s="108">
        <v>0</v>
      </c>
      <c r="M242" s="108">
        <v>0</v>
      </c>
      <c r="N242" s="108">
        <v>87</v>
      </c>
      <c r="O242" s="108">
        <v>0</v>
      </c>
      <c r="P242" s="108">
        <v>87</v>
      </c>
      <c r="Q242" s="108">
        <v>0</v>
      </c>
      <c r="R242" s="108">
        <v>0</v>
      </c>
      <c r="S242" s="108">
        <v>181</v>
      </c>
      <c r="T242" s="108">
        <v>4233</v>
      </c>
      <c r="U242" s="109" t="s">
        <v>1648</v>
      </c>
      <c r="V242" s="108">
        <v>111</v>
      </c>
      <c r="W242" s="108">
        <v>1564</v>
      </c>
      <c r="X242" s="108">
        <v>0</v>
      </c>
      <c r="Y242" s="108">
        <v>0</v>
      </c>
      <c r="Z242" s="108">
        <v>3</v>
      </c>
      <c r="AA242" s="108">
        <v>62</v>
      </c>
      <c r="AB242" s="108">
        <v>0</v>
      </c>
      <c r="AC242" s="108">
        <v>0</v>
      </c>
      <c r="AD242" s="108">
        <v>51</v>
      </c>
      <c r="AE242" s="108">
        <v>528</v>
      </c>
      <c r="AF242" s="108">
        <v>0</v>
      </c>
      <c r="AG242" s="108">
        <v>0</v>
      </c>
      <c r="AH242" s="108">
        <v>19</v>
      </c>
      <c r="AI242" s="108">
        <v>1740</v>
      </c>
      <c r="AJ242" s="108">
        <v>0</v>
      </c>
      <c r="AK242" s="108">
        <v>0</v>
      </c>
      <c r="AL242" s="108">
        <v>254</v>
      </c>
      <c r="AM242" s="108">
        <v>6563</v>
      </c>
      <c r="AN242" s="108">
        <f t="shared" si="13"/>
        <v>254</v>
      </c>
      <c r="AO242" s="108">
        <f t="shared" si="14"/>
        <v>6563</v>
      </c>
      <c r="AP242" s="110">
        <f t="shared" si="16"/>
        <v>25.838582677165356</v>
      </c>
      <c r="AQ242" s="110">
        <f t="shared" si="15"/>
        <v>0.45627085650723026</v>
      </c>
      <c r="AR242" s="108">
        <v>0</v>
      </c>
      <c r="AS242" s="108">
        <v>0</v>
      </c>
      <c r="AT242" s="108">
        <v>14384</v>
      </c>
    </row>
    <row r="243" spans="1:46" ht="13.5" thickBot="1" x14ac:dyDescent="0.25">
      <c r="A243" s="48" t="s">
        <v>506</v>
      </c>
      <c r="B243" s="47" t="s">
        <v>505</v>
      </c>
      <c r="C243" s="48" t="s">
        <v>22</v>
      </c>
      <c r="D243" s="48" t="s">
        <v>1649</v>
      </c>
      <c r="E243" s="48" t="s">
        <v>1649</v>
      </c>
      <c r="F243" s="108">
        <v>95</v>
      </c>
      <c r="G243" s="108">
        <v>1870</v>
      </c>
      <c r="H243" s="108">
        <v>0</v>
      </c>
      <c r="I243" s="108">
        <v>0</v>
      </c>
      <c r="J243" s="108">
        <v>9</v>
      </c>
      <c r="K243" s="108">
        <v>370</v>
      </c>
      <c r="L243" s="108">
        <v>0</v>
      </c>
      <c r="M243" s="108">
        <v>0</v>
      </c>
      <c r="N243" s="108">
        <v>66</v>
      </c>
      <c r="O243" s="108">
        <v>0</v>
      </c>
      <c r="P243" s="108">
        <v>66</v>
      </c>
      <c r="Q243" s="108">
        <v>6</v>
      </c>
      <c r="R243" s="108">
        <v>110</v>
      </c>
      <c r="S243" s="108">
        <v>104</v>
      </c>
      <c r="T243" s="108">
        <v>2240</v>
      </c>
      <c r="U243" s="109" t="s">
        <v>1648</v>
      </c>
      <c r="V243" s="108">
        <v>60</v>
      </c>
      <c r="W243" s="108">
        <v>1000</v>
      </c>
      <c r="X243" s="108">
        <v>0</v>
      </c>
      <c r="Y243" s="108">
        <v>0</v>
      </c>
      <c r="Z243" s="108">
        <v>0</v>
      </c>
      <c r="AA243" s="108">
        <v>0</v>
      </c>
      <c r="AB243" s="108">
        <v>0</v>
      </c>
      <c r="AC243" s="108">
        <v>0</v>
      </c>
      <c r="AD243" s="108">
        <v>62</v>
      </c>
      <c r="AE243" s="108">
        <v>520</v>
      </c>
      <c r="AF243" s="108">
        <v>0</v>
      </c>
      <c r="AG243" s="108">
        <v>0</v>
      </c>
      <c r="AH243" s="108">
        <v>20</v>
      </c>
      <c r="AI243" s="108">
        <v>350</v>
      </c>
      <c r="AJ243" s="108">
        <v>6</v>
      </c>
      <c r="AK243" s="108">
        <v>110</v>
      </c>
      <c r="AL243" s="108">
        <v>186</v>
      </c>
      <c r="AM243" s="108">
        <v>3110</v>
      </c>
      <c r="AN243" s="108">
        <f t="shared" si="13"/>
        <v>192</v>
      </c>
      <c r="AO243" s="108">
        <f t="shared" si="14"/>
        <v>3220</v>
      </c>
      <c r="AP243" s="110">
        <f t="shared" si="16"/>
        <v>16.770833333333332</v>
      </c>
      <c r="AQ243" s="110">
        <f t="shared" si="15"/>
        <v>0.24585783003741316</v>
      </c>
      <c r="AR243" s="108">
        <v>0</v>
      </c>
      <c r="AS243" s="108">
        <v>0</v>
      </c>
      <c r="AT243" s="108">
        <v>13097</v>
      </c>
    </row>
    <row r="244" spans="1:46" ht="13.5" thickBot="1" x14ac:dyDescent="0.25">
      <c r="A244" s="48" t="s">
        <v>556</v>
      </c>
      <c r="B244" s="47" t="s">
        <v>555</v>
      </c>
      <c r="C244" s="48" t="s">
        <v>22</v>
      </c>
      <c r="D244" s="48" t="s">
        <v>1649</v>
      </c>
      <c r="E244" s="48" t="s">
        <v>1649</v>
      </c>
      <c r="F244" s="108">
        <v>185</v>
      </c>
      <c r="G244" s="108">
        <v>6872</v>
      </c>
      <c r="H244" s="108">
        <v>3</v>
      </c>
      <c r="I244" s="108">
        <v>43</v>
      </c>
      <c r="J244" s="108">
        <v>34</v>
      </c>
      <c r="K244" s="108">
        <v>907</v>
      </c>
      <c r="L244" s="108">
        <v>3</v>
      </c>
      <c r="M244" s="108">
        <v>34</v>
      </c>
      <c r="N244" s="108">
        <v>185</v>
      </c>
      <c r="O244" s="108">
        <v>18</v>
      </c>
      <c r="P244" s="108">
        <v>203</v>
      </c>
      <c r="Q244" s="108">
        <v>0</v>
      </c>
      <c r="R244" s="108">
        <v>0</v>
      </c>
      <c r="S244" s="108">
        <v>219</v>
      </c>
      <c r="T244" s="108">
        <v>7779</v>
      </c>
      <c r="U244" s="109" t="s">
        <v>1648</v>
      </c>
      <c r="V244" s="108">
        <v>144</v>
      </c>
      <c r="W244" s="108">
        <v>3621</v>
      </c>
      <c r="X244" s="108">
        <v>0</v>
      </c>
      <c r="Y244" s="108">
        <v>0</v>
      </c>
      <c r="Z244" s="108">
        <v>6</v>
      </c>
      <c r="AA244" s="108">
        <v>77</v>
      </c>
      <c r="AB244" s="108">
        <v>5</v>
      </c>
      <c r="AC244" s="108">
        <v>12</v>
      </c>
      <c r="AD244" s="108">
        <v>34</v>
      </c>
      <c r="AE244" s="108">
        <v>238</v>
      </c>
      <c r="AF244" s="108">
        <v>0</v>
      </c>
      <c r="AG244" s="108">
        <v>0</v>
      </c>
      <c r="AH244" s="108">
        <v>0</v>
      </c>
      <c r="AI244" s="108">
        <v>0</v>
      </c>
      <c r="AJ244" s="108">
        <v>5</v>
      </c>
      <c r="AK244" s="108">
        <v>12</v>
      </c>
      <c r="AL244" s="108">
        <v>259</v>
      </c>
      <c r="AM244" s="108">
        <v>8094</v>
      </c>
      <c r="AN244" s="108">
        <f t="shared" si="13"/>
        <v>264</v>
      </c>
      <c r="AO244" s="108">
        <f t="shared" si="14"/>
        <v>8106</v>
      </c>
      <c r="AP244" s="110">
        <f t="shared" si="16"/>
        <v>30.704545454545453</v>
      </c>
      <c r="AQ244" s="110">
        <f t="shared" si="15"/>
        <v>0.33545770567786792</v>
      </c>
      <c r="AR244" s="108">
        <v>0</v>
      </c>
      <c r="AS244" s="108">
        <v>0</v>
      </c>
      <c r="AT244" s="108">
        <v>24164</v>
      </c>
    </row>
    <row r="245" spans="1:46" ht="13.5" thickBot="1" x14ac:dyDescent="0.25">
      <c r="A245" s="48" t="s">
        <v>598</v>
      </c>
      <c r="B245" s="47" t="s">
        <v>597</v>
      </c>
      <c r="C245" s="48" t="s">
        <v>22</v>
      </c>
      <c r="D245" s="48" t="s">
        <v>1649</v>
      </c>
      <c r="E245" s="48" t="s">
        <v>1649</v>
      </c>
      <c r="F245" s="108">
        <v>108</v>
      </c>
      <c r="G245" s="108">
        <v>2076</v>
      </c>
      <c r="H245" s="108">
        <v>36</v>
      </c>
      <c r="I245" s="108">
        <v>242</v>
      </c>
      <c r="J245" s="108">
        <v>29</v>
      </c>
      <c r="K245" s="108">
        <v>459</v>
      </c>
      <c r="L245" s="108">
        <v>6</v>
      </c>
      <c r="M245" s="108">
        <v>30</v>
      </c>
      <c r="N245" s="108">
        <v>260</v>
      </c>
      <c r="O245" s="108">
        <v>24</v>
      </c>
      <c r="P245" s="108">
        <v>284</v>
      </c>
      <c r="Q245" s="108">
        <v>0</v>
      </c>
      <c r="R245" s="108">
        <v>0</v>
      </c>
      <c r="S245" s="108">
        <v>137</v>
      </c>
      <c r="T245" s="108">
        <v>2535</v>
      </c>
      <c r="U245" s="109" t="s">
        <v>1648</v>
      </c>
      <c r="V245" s="108">
        <v>106</v>
      </c>
      <c r="W245" s="108">
        <v>1585</v>
      </c>
      <c r="X245" s="108">
        <v>0</v>
      </c>
      <c r="Y245" s="108">
        <v>0</v>
      </c>
      <c r="Z245" s="108">
        <v>42</v>
      </c>
      <c r="AA245" s="108">
        <v>272</v>
      </c>
      <c r="AB245" s="108">
        <v>0</v>
      </c>
      <c r="AC245" s="108">
        <v>0</v>
      </c>
      <c r="AD245" s="108">
        <v>24</v>
      </c>
      <c r="AE245" s="108">
        <v>77</v>
      </c>
      <c r="AF245" s="108">
        <v>0</v>
      </c>
      <c r="AG245" s="108">
        <v>0</v>
      </c>
      <c r="AH245" s="108">
        <v>1</v>
      </c>
      <c r="AI245" s="108">
        <v>250</v>
      </c>
      <c r="AJ245" s="108">
        <v>0</v>
      </c>
      <c r="AK245" s="108">
        <v>0</v>
      </c>
      <c r="AL245" s="108">
        <v>204</v>
      </c>
      <c r="AM245" s="108">
        <v>3134</v>
      </c>
      <c r="AN245" s="108">
        <f t="shared" si="13"/>
        <v>204</v>
      </c>
      <c r="AO245" s="108">
        <f t="shared" si="14"/>
        <v>3134</v>
      </c>
      <c r="AP245" s="110">
        <f t="shared" si="16"/>
        <v>15.362745098039216</v>
      </c>
      <c r="AQ245" s="110">
        <f t="shared" si="15"/>
        <v>0.22527314548591143</v>
      </c>
      <c r="AR245" s="108">
        <v>0</v>
      </c>
      <c r="AS245" s="108">
        <v>0</v>
      </c>
      <c r="AT245" s="108">
        <v>13912</v>
      </c>
    </row>
    <row r="246" spans="1:46" ht="13.5" thickBot="1" x14ac:dyDescent="0.25">
      <c r="A246" s="48" t="s">
        <v>704</v>
      </c>
      <c r="B246" s="47" t="s">
        <v>703</v>
      </c>
      <c r="C246" s="48" t="s">
        <v>22</v>
      </c>
      <c r="D246" s="48" t="s">
        <v>1649</v>
      </c>
      <c r="E246" s="48" t="s">
        <v>1649</v>
      </c>
      <c r="F246" s="108">
        <v>236</v>
      </c>
      <c r="G246" s="108">
        <v>6105</v>
      </c>
      <c r="H246" s="108">
        <v>27</v>
      </c>
      <c r="I246" s="108">
        <v>588</v>
      </c>
      <c r="J246" s="108">
        <v>56</v>
      </c>
      <c r="K246" s="108">
        <v>2416</v>
      </c>
      <c r="L246" s="108">
        <v>8</v>
      </c>
      <c r="M246" s="108">
        <v>104</v>
      </c>
      <c r="N246" s="108">
        <v>637</v>
      </c>
      <c r="O246" s="108">
        <v>249</v>
      </c>
      <c r="P246" s="108">
        <v>886</v>
      </c>
      <c r="Q246" s="108">
        <v>0</v>
      </c>
      <c r="R246" s="108">
        <v>0</v>
      </c>
      <c r="S246" s="108">
        <v>292</v>
      </c>
      <c r="T246" s="108">
        <v>8521</v>
      </c>
      <c r="U246" s="109" t="s">
        <v>1648</v>
      </c>
      <c r="V246" s="108">
        <v>176</v>
      </c>
      <c r="W246" s="108">
        <v>3501</v>
      </c>
      <c r="X246" s="108">
        <v>0</v>
      </c>
      <c r="Y246" s="108">
        <v>0</v>
      </c>
      <c r="Z246" s="108">
        <v>35</v>
      </c>
      <c r="AA246" s="108">
        <v>692</v>
      </c>
      <c r="AB246" s="108">
        <v>0</v>
      </c>
      <c r="AC246" s="108">
        <v>0</v>
      </c>
      <c r="AD246" s="108">
        <v>77</v>
      </c>
      <c r="AE246" s="108">
        <v>2426</v>
      </c>
      <c r="AF246" s="108">
        <v>0</v>
      </c>
      <c r="AG246" s="108">
        <v>0</v>
      </c>
      <c r="AH246" s="108">
        <v>22</v>
      </c>
      <c r="AI246" s="108">
        <v>1874</v>
      </c>
      <c r="AJ246" s="108">
        <v>0</v>
      </c>
      <c r="AK246" s="108">
        <v>0</v>
      </c>
      <c r="AL246" s="108">
        <v>426</v>
      </c>
      <c r="AM246" s="108">
        <v>13513</v>
      </c>
      <c r="AN246" s="108">
        <f t="shared" si="13"/>
        <v>426</v>
      </c>
      <c r="AO246" s="108">
        <f t="shared" si="14"/>
        <v>13513</v>
      </c>
      <c r="AP246" s="110">
        <f t="shared" si="16"/>
        <v>31.720657276995304</v>
      </c>
      <c r="AQ246" s="110">
        <f t="shared" si="15"/>
        <v>0.74003285870755753</v>
      </c>
      <c r="AR246" s="108">
        <v>0</v>
      </c>
      <c r="AS246" s="108">
        <v>0</v>
      </c>
      <c r="AT246" s="108">
        <v>18260</v>
      </c>
    </row>
    <row r="247" spans="1:46" ht="13.5" thickBot="1" x14ac:dyDescent="0.25">
      <c r="A247" s="48" t="s">
        <v>712</v>
      </c>
      <c r="B247" s="47" t="s">
        <v>711</v>
      </c>
      <c r="C247" s="48" t="s">
        <v>22</v>
      </c>
      <c r="D247" s="48" t="s">
        <v>1648</v>
      </c>
      <c r="E247" s="48" t="s">
        <v>1649</v>
      </c>
      <c r="F247" s="108">
        <v>74</v>
      </c>
      <c r="G247" s="108">
        <v>2174</v>
      </c>
      <c r="H247" s="108">
        <v>0</v>
      </c>
      <c r="I247" s="108">
        <v>0</v>
      </c>
      <c r="J247" s="108">
        <v>19</v>
      </c>
      <c r="K247" s="108">
        <v>356</v>
      </c>
      <c r="L247" s="108">
        <v>0</v>
      </c>
      <c r="M247" s="108">
        <v>0</v>
      </c>
      <c r="N247" s="108">
        <v>0</v>
      </c>
      <c r="O247" s="108">
        <v>0</v>
      </c>
      <c r="P247" s="108">
        <v>0</v>
      </c>
      <c r="Q247" s="108">
        <v>41</v>
      </c>
      <c r="R247" s="108">
        <v>1005</v>
      </c>
      <c r="S247" s="108">
        <v>93</v>
      </c>
      <c r="T247" s="108">
        <v>2530</v>
      </c>
      <c r="U247" s="109" t="s">
        <v>1648</v>
      </c>
      <c r="V247" s="108">
        <v>87</v>
      </c>
      <c r="W247" s="108">
        <v>1813</v>
      </c>
      <c r="X247" s="108">
        <v>0</v>
      </c>
      <c r="Y247" s="108">
        <v>0</v>
      </c>
      <c r="Z247" s="108">
        <v>0</v>
      </c>
      <c r="AA247" s="108">
        <v>0</v>
      </c>
      <c r="AB247" s="108">
        <v>0</v>
      </c>
      <c r="AC247" s="108">
        <v>0</v>
      </c>
      <c r="AD247" s="108">
        <v>14</v>
      </c>
      <c r="AE247" s="108">
        <v>913</v>
      </c>
      <c r="AF247" s="108">
        <v>0</v>
      </c>
      <c r="AG247" s="108">
        <v>0</v>
      </c>
      <c r="AH247" s="108">
        <v>0</v>
      </c>
      <c r="AI247" s="108">
        <v>0</v>
      </c>
      <c r="AJ247" s="108">
        <v>41</v>
      </c>
      <c r="AK247" s="108">
        <v>1005</v>
      </c>
      <c r="AL247" s="108">
        <v>107</v>
      </c>
      <c r="AM247" s="108">
        <v>3443</v>
      </c>
      <c r="AN247" s="108">
        <f t="shared" si="13"/>
        <v>148</v>
      </c>
      <c r="AO247" s="108">
        <f t="shared" si="14"/>
        <v>4448</v>
      </c>
      <c r="AP247" s="110">
        <f t="shared" si="16"/>
        <v>30.054054054054053</v>
      </c>
      <c r="AQ247" s="110">
        <f t="shared" si="15"/>
        <v>0.24797903774321237</v>
      </c>
      <c r="AR247" s="108">
        <v>41</v>
      </c>
      <c r="AS247" s="108">
        <v>15170</v>
      </c>
      <c r="AT247" s="108">
        <v>17937</v>
      </c>
    </row>
    <row r="248" spans="1:46" ht="13.5" thickBot="1" x14ac:dyDescent="0.25">
      <c r="A248" s="48" t="s">
        <v>742</v>
      </c>
      <c r="B248" s="47" t="s">
        <v>741</v>
      </c>
      <c r="C248" s="48" t="s">
        <v>22</v>
      </c>
      <c r="D248" s="48" t="s">
        <v>1649</v>
      </c>
      <c r="E248" s="48" t="s">
        <v>1649</v>
      </c>
      <c r="F248" s="108">
        <v>3</v>
      </c>
      <c r="G248" s="108">
        <v>382</v>
      </c>
      <c r="H248" s="108">
        <v>0</v>
      </c>
      <c r="I248" s="108">
        <v>0</v>
      </c>
      <c r="J248" s="108">
        <v>6</v>
      </c>
      <c r="K248" s="108">
        <v>441</v>
      </c>
      <c r="L248" s="108">
        <v>0</v>
      </c>
      <c r="M248" s="108">
        <v>0</v>
      </c>
      <c r="N248" s="108">
        <v>133</v>
      </c>
      <c r="O248" s="108">
        <v>11</v>
      </c>
      <c r="P248" s="108">
        <v>144</v>
      </c>
      <c r="Q248" s="108">
        <v>0</v>
      </c>
      <c r="R248" s="108">
        <v>0</v>
      </c>
      <c r="S248" s="108">
        <v>9</v>
      </c>
      <c r="T248" s="108">
        <v>823</v>
      </c>
      <c r="U248" s="109" t="s">
        <v>1648</v>
      </c>
      <c r="V248" s="108">
        <v>0</v>
      </c>
      <c r="W248" s="108">
        <v>0</v>
      </c>
      <c r="X248" s="108">
        <v>0</v>
      </c>
      <c r="Y248" s="108">
        <v>0</v>
      </c>
      <c r="Z248" s="108">
        <v>0</v>
      </c>
      <c r="AA248" s="108">
        <v>0</v>
      </c>
      <c r="AB248" s="108">
        <v>1</v>
      </c>
      <c r="AC248" s="108">
        <v>5</v>
      </c>
      <c r="AD248" s="108">
        <v>6</v>
      </c>
      <c r="AE248" s="108">
        <v>27</v>
      </c>
      <c r="AF248" s="108">
        <v>0</v>
      </c>
      <c r="AG248" s="108">
        <v>0</v>
      </c>
      <c r="AH248" s="108">
        <v>0</v>
      </c>
      <c r="AI248" s="108">
        <v>0</v>
      </c>
      <c r="AJ248" s="108">
        <v>1</v>
      </c>
      <c r="AK248" s="108">
        <v>5</v>
      </c>
      <c r="AL248" s="108">
        <v>15</v>
      </c>
      <c r="AM248" s="108">
        <v>850</v>
      </c>
      <c r="AN248" s="108">
        <f t="shared" si="13"/>
        <v>16</v>
      </c>
      <c r="AO248" s="108">
        <f t="shared" si="14"/>
        <v>855</v>
      </c>
      <c r="AP248" s="110">
        <f t="shared" si="16"/>
        <v>53.4375</v>
      </c>
      <c r="AQ248" s="110">
        <f t="shared" si="15"/>
        <v>5.5171968768148671E-2</v>
      </c>
      <c r="AR248" s="108">
        <v>0</v>
      </c>
      <c r="AS248" s="108">
        <v>0</v>
      </c>
      <c r="AT248" s="108">
        <v>15497</v>
      </c>
    </row>
    <row r="249" spans="1:46" ht="13.5" thickBot="1" x14ac:dyDescent="0.25">
      <c r="A249" s="48" t="s">
        <v>766</v>
      </c>
      <c r="B249" s="47" t="s">
        <v>765</v>
      </c>
      <c r="C249" s="48" t="s">
        <v>22</v>
      </c>
      <c r="D249" s="48" t="s">
        <v>1648</v>
      </c>
      <c r="E249" s="48" t="s">
        <v>1648</v>
      </c>
      <c r="F249" s="108">
        <v>138</v>
      </c>
      <c r="G249" s="108">
        <v>2443</v>
      </c>
      <c r="H249" s="108">
        <v>14</v>
      </c>
      <c r="I249" s="108">
        <v>159</v>
      </c>
      <c r="J249" s="109">
        <v>0</v>
      </c>
      <c r="K249" s="109">
        <v>0</v>
      </c>
      <c r="L249" s="109">
        <v>0</v>
      </c>
      <c r="M249" s="109">
        <v>0</v>
      </c>
      <c r="N249" s="109">
        <v>0</v>
      </c>
      <c r="O249" s="109">
        <v>0</v>
      </c>
      <c r="P249" s="109">
        <v>0</v>
      </c>
      <c r="Q249" s="108">
        <v>33</v>
      </c>
      <c r="R249" s="108">
        <v>813</v>
      </c>
      <c r="S249" s="108">
        <v>138</v>
      </c>
      <c r="T249" s="108">
        <v>2443</v>
      </c>
      <c r="U249" s="109" t="s">
        <v>1648</v>
      </c>
      <c r="V249" s="108">
        <v>20</v>
      </c>
      <c r="W249" s="108">
        <v>369</v>
      </c>
      <c r="X249" s="108">
        <v>6</v>
      </c>
      <c r="Y249" s="108">
        <v>69</v>
      </c>
      <c r="Z249" s="108">
        <v>14</v>
      </c>
      <c r="AA249" s="108">
        <v>159</v>
      </c>
      <c r="AB249" s="108">
        <v>18</v>
      </c>
      <c r="AC249" s="108">
        <v>462</v>
      </c>
      <c r="AD249" s="108">
        <v>127</v>
      </c>
      <c r="AE249" s="108">
        <v>2347</v>
      </c>
      <c r="AF249" s="108">
        <v>0</v>
      </c>
      <c r="AG249" s="108">
        <v>0</v>
      </c>
      <c r="AH249" s="108">
        <v>0</v>
      </c>
      <c r="AI249" s="108">
        <v>0</v>
      </c>
      <c r="AJ249" s="108">
        <v>57</v>
      </c>
      <c r="AK249" s="108">
        <v>1344</v>
      </c>
      <c r="AL249" s="108">
        <v>279</v>
      </c>
      <c r="AM249" s="108">
        <v>4949</v>
      </c>
      <c r="AN249" s="108">
        <f t="shared" si="13"/>
        <v>336</v>
      </c>
      <c r="AO249" s="108">
        <f t="shared" si="14"/>
        <v>6293</v>
      </c>
      <c r="AP249" s="110">
        <f t="shared" si="16"/>
        <v>18.729166666666668</v>
      </c>
      <c r="AQ249" s="110">
        <f t="shared" si="15"/>
        <v>0.51421800947867302</v>
      </c>
      <c r="AR249" s="108">
        <v>0</v>
      </c>
      <c r="AS249" s="108">
        <v>0</v>
      </c>
      <c r="AT249" s="108">
        <v>12238</v>
      </c>
    </row>
    <row r="250" spans="1:46" ht="13.5" thickBot="1" x14ac:dyDescent="0.25">
      <c r="A250" s="48" t="s">
        <v>88</v>
      </c>
      <c r="B250" s="47" t="s">
        <v>87</v>
      </c>
      <c r="C250" s="48" t="s">
        <v>22</v>
      </c>
      <c r="D250" s="48" t="s">
        <v>1649</v>
      </c>
      <c r="E250" s="48" t="s">
        <v>1649</v>
      </c>
      <c r="F250" s="108">
        <v>120</v>
      </c>
      <c r="G250" s="108">
        <v>1549</v>
      </c>
      <c r="H250" s="108">
        <v>12</v>
      </c>
      <c r="I250" s="108">
        <v>75</v>
      </c>
      <c r="J250" s="108">
        <v>0</v>
      </c>
      <c r="K250" s="108">
        <v>0</v>
      </c>
      <c r="L250" s="108">
        <v>0</v>
      </c>
      <c r="M250" s="108">
        <v>0</v>
      </c>
      <c r="N250" s="109">
        <v>0</v>
      </c>
      <c r="O250" s="109">
        <v>0</v>
      </c>
      <c r="P250" s="109">
        <v>0</v>
      </c>
      <c r="Q250" s="108">
        <v>0</v>
      </c>
      <c r="R250" s="108">
        <v>0</v>
      </c>
      <c r="S250" s="108">
        <v>120</v>
      </c>
      <c r="T250" s="108">
        <v>1549</v>
      </c>
      <c r="U250" s="109" t="s">
        <v>1648</v>
      </c>
      <c r="V250" s="108">
        <v>28</v>
      </c>
      <c r="W250" s="108">
        <v>112</v>
      </c>
      <c r="X250" s="108">
        <v>0</v>
      </c>
      <c r="Y250" s="108">
        <v>0</v>
      </c>
      <c r="Z250" s="108">
        <v>12</v>
      </c>
      <c r="AA250" s="108">
        <v>75</v>
      </c>
      <c r="AB250" s="108">
        <v>0</v>
      </c>
      <c r="AC250" s="108">
        <v>0</v>
      </c>
      <c r="AD250" s="108">
        <v>8</v>
      </c>
      <c r="AE250" s="108">
        <v>396</v>
      </c>
      <c r="AF250" s="108">
        <v>0</v>
      </c>
      <c r="AG250" s="108">
        <v>0</v>
      </c>
      <c r="AH250" s="108">
        <v>3</v>
      </c>
      <c r="AI250" s="108">
        <v>127</v>
      </c>
      <c r="AJ250" s="108">
        <v>0</v>
      </c>
      <c r="AK250" s="108">
        <v>0</v>
      </c>
      <c r="AL250" s="108">
        <v>143</v>
      </c>
      <c r="AM250" s="108">
        <v>2147</v>
      </c>
      <c r="AN250" s="108">
        <f t="shared" si="13"/>
        <v>143</v>
      </c>
      <c r="AO250" s="108">
        <f t="shared" si="14"/>
        <v>2147</v>
      </c>
      <c r="AP250" s="110">
        <f t="shared" si="16"/>
        <v>15.013986013986013</v>
      </c>
      <c r="AQ250" s="110">
        <f t="shared" si="15"/>
        <v>8.6617985234195338E-2</v>
      </c>
      <c r="AR250" s="108">
        <v>1</v>
      </c>
      <c r="AS250" s="108">
        <v>105</v>
      </c>
      <c r="AT250" s="108">
        <v>24787</v>
      </c>
    </row>
    <row r="251" spans="1:46" ht="13.5" thickBot="1" x14ac:dyDescent="0.25">
      <c r="A251" s="48" t="s">
        <v>274</v>
      </c>
      <c r="B251" s="47" t="s">
        <v>273</v>
      </c>
      <c r="C251" s="48" t="s">
        <v>22</v>
      </c>
      <c r="D251" s="48" t="s">
        <v>1648</v>
      </c>
      <c r="E251" s="48" t="s">
        <v>1648</v>
      </c>
      <c r="F251" s="108">
        <v>90</v>
      </c>
      <c r="G251" s="108">
        <v>1863</v>
      </c>
      <c r="H251" s="108">
        <v>25</v>
      </c>
      <c r="I251" s="108">
        <v>434</v>
      </c>
      <c r="J251" s="108">
        <v>19</v>
      </c>
      <c r="K251" s="108">
        <v>194</v>
      </c>
      <c r="L251" s="108">
        <v>8</v>
      </c>
      <c r="M251" s="108">
        <v>121</v>
      </c>
      <c r="N251" s="108">
        <v>146</v>
      </c>
      <c r="O251" s="108">
        <v>88</v>
      </c>
      <c r="P251" s="108">
        <v>234</v>
      </c>
      <c r="Q251" s="108">
        <v>19</v>
      </c>
      <c r="R251" s="108">
        <v>194</v>
      </c>
      <c r="S251" s="108">
        <v>109</v>
      </c>
      <c r="T251" s="108">
        <v>2057</v>
      </c>
      <c r="U251" s="109" t="s">
        <v>1648</v>
      </c>
      <c r="V251" s="108">
        <v>85</v>
      </c>
      <c r="W251" s="108">
        <v>1971</v>
      </c>
      <c r="X251" s="108">
        <v>8</v>
      </c>
      <c r="Y251" s="108">
        <v>121</v>
      </c>
      <c r="Z251" s="108">
        <v>33</v>
      </c>
      <c r="AA251" s="108">
        <v>555</v>
      </c>
      <c r="AB251" s="108">
        <v>4</v>
      </c>
      <c r="AC251" s="108">
        <v>86</v>
      </c>
      <c r="AD251" s="108">
        <v>41</v>
      </c>
      <c r="AE251" s="108">
        <v>353</v>
      </c>
      <c r="AF251" s="108">
        <v>0</v>
      </c>
      <c r="AG251" s="108">
        <v>0</v>
      </c>
      <c r="AH251" s="108">
        <v>14</v>
      </c>
      <c r="AI251" s="108">
        <v>1542</v>
      </c>
      <c r="AJ251" s="108">
        <v>31</v>
      </c>
      <c r="AK251" s="108">
        <v>401</v>
      </c>
      <c r="AL251" s="108">
        <v>197</v>
      </c>
      <c r="AM251" s="108">
        <v>4507</v>
      </c>
      <c r="AN251" s="108">
        <f t="shared" si="13"/>
        <v>228</v>
      </c>
      <c r="AO251" s="108">
        <f t="shared" si="14"/>
        <v>4908</v>
      </c>
      <c r="AP251" s="110">
        <f t="shared" si="16"/>
        <v>21.526315789473685</v>
      </c>
      <c r="AQ251" s="110">
        <f t="shared" si="15"/>
        <v>0.27845228639509817</v>
      </c>
      <c r="AR251" s="108">
        <v>2</v>
      </c>
      <c r="AS251" s="108">
        <v>124</v>
      </c>
      <c r="AT251" s="108">
        <v>17626</v>
      </c>
    </row>
    <row r="252" spans="1:46" ht="13.5" thickBot="1" x14ac:dyDescent="0.25">
      <c r="A252" s="48" t="s">
        <v>346</v>
      </c>
      <c r="B252" s="47" t="s">
        <v>345</v>
      </c>
      <c r="C252" s="48" t="s">
        <v>22</v>
      </c>
      <c r="D252" s="48" t="s">
        <v>1648</v>
      </c>
      <c r="E252" s="48" t="s">
        <v>1648</v>
      </c>
      <c r="F252" s="108">
        <v>92</v>
      </c>
      <c r="G252" s="108">
        <v>2894</v>
      </c>
      <c r="H252" s="108">
        <v>21</v>
      </c>
      <c r="I252" s="108">
        <v>233</v>
      </c>
      <c r="J252" s="108">
        <v>2</v>
      </c>
      <c r="K252" s="108">
        <v>50</v>
      </c>
      <c r="L252" s="108">
        <v>0</v>
      </c>
      <c r="M252" s="108">
        <v>0</v>
      </c>
      <c r="N252" s="108">
        <v>224</v>
      </c>
      <c r="O252" s="108">
        <v>44</v>
      </c>
      <c r="P252" s="108">
        <v>268</v>
      </c>
      <c r="Q252" s="108">
        <v>10</v>
      </c>
      <c r="R252" s="108">
        <v>5000</v>
      </c>
      <c r="S252" s="108">
        <v>94</v>
      </c>
      <c r="T252" s="108">
        <v>2944</v>
      </c>
      <c r="U252" s="109" t="s">
        <v>1648</v>
      </c>
      <c r="V252" s="108">
        <v>70</v>
      </c>
      <c r="W252" s="108">
        <v>1873</v>
      </c>
      <c r="X252" s="108">
        <v>0</v>
      </c>
      <c r="Y252" s="108">
        <v>0</v>
      </c>
      <c r="Z252" s="108">
        <v>21</v>
      </c>
      <c r="AA252" s="108">
        <v>233</v>
      </c>
      <c r="AB252" s="108">
        <v>2</v>
      </c>
      <c r="AC252" s="108">
        <v>9</v>
      </c>
      <c r="AD252" s="108">
        <v>278</v>
      </c>
      <c r="AE252" s="108">
        <v>3288</v>
      </c>
      <c r="AF252" s="108">
        <v>0</v>
      </c>
      <c r="AG252" s="108">
        <v>0</v>
      </c>
      <c r="AH252" s="108">
        <v>58</v>
      </c>
      <c r="AI252" s="108">
        <v>1253</v>
      </c>
      <c r="AJ252" s="108">
        <v>12</v>
      </c>
      <c r="AK252" s="108">
        <v>5009</v>
      </c>
      <c r="AL252" s="108">
        <v>451</v>
      </c>
      <c r="AM252" s="108">
        <v>7718</v>
      </c>
      <c r="AN252" s="108">
        <f t="shared" si="13"/>
        <v>463</v>
      </c>
      <c r="AO252" s="108">
        <f t="shared" si="14"/>
        <v>12727</v>
      </c>
      <c r="AP252" s="110">
        <f t="shared" si="16"/>
        <v>27.488120950323975</v>
      </c>
      <c r="AQ252" s="110">
        <f t="shared" si="15"/>
        <v>0.96176226101413131</v>
      </c>
      <c r="AR252" s="108">
        <v>2</v>
      </c>
      <c r="AS252" s="108">
        <v>672</v>
      </c>
      <c r="AT252" s="108">
        <v>13233</v>
      </c>
    </row>
    <row r="253" spans="1:46" ht="13.5" thickBot="1" x14ac:dyDescent="0.25">
      <c r="A253" s="48" t="s">
        <v>636</v>
      </c>
      <c r="B253" s="47" t="s">
        <v>635</v>
      </c>
      <c r="C253" s="48" t="s">
        <v>22</v>
      </c>
      <c r="D253" s="48" t="s">
        <v>1648</v>
      </c>
      <c r="E253" s="48" t="s">
        <v>1648</v>
      </c>
      <c r="F253" s="108">
        <v>67</v>
      </c>
      <c r="G253" s="108">
        <v>2106</v>
      </c>
      <c r="H253" s="108">
        <v>0</v>
      </c>
      <c r="I253" s="108">
        <v>0</v>
      </c>
      <c r="J253" s="108">
        <v>25</v>
      </c>
      <c r="K253" s="108">
        <v>731</v>
      </c>
      <c r="L253" s="108">
        <v>0</v>
      </c>
      <c r="M253" s="108">
        <v>0</v>
      </c>
      <c r="N253" s="108">
        <v>130</v>
      </c>
      <c r="O253" s="108">
        <v>0</v>
      </c>
      <c r="P253" s="108">
        <v>130</v>
      </c>
      <c r="Q253" s="108">
        <v>0</v>
      </c>
      <c r="R253" s="108">
        <v>0</v>
      </c>
      <c r="S253" s="108">
        <v>92</v>
      </c>
      <c r="T253" s="108">
        <v>2837</v>
      </c>
      <c r="U253" s="109" t="s">
        <v>1648</v>
      </c>
      <c r="V253" s="108">
        <v>52</v>
      </c>
      <c r="W253" s="108">
        <v>711</v>
      </c>
      <c r="X253" s="108">
        <v>0</v>
      </c>
      <c r="Y253" s="108">
        <v>0</v>
      </c>
      <c r="Z253" s="108">
        <v>0</v>
      </c>
      <c r="AA253" s="108">
        <v>0</v>
      </c>
      <c r="AB253" s="108">
        <v>0</v>
      </c>
      <c r="AC253" s="108">
        <v>0</v>
      </c>
      <c r="AD253" s="108">
        <v>45</v>
      </c>
      <c r="AE253" s="108">
        <v>638</v>
      </c>
      <c r="AF253" s="108">
        <v>0</v>
      </c>
      <c r="AG253" s="108">
        <v>0</v>
      </c>
      <c r="AH253" s="109">
        <v>0</v>
      </c>
      <c r="AI253" s="109">
        <v>0</v>
      </c>
      <c r="AJ253" s="108">
        <v>0</v>
      </c>
      <c r="AK253" s="108">
        <v>0</v>
      </c>
      <c r="AL253" s="108">
        <v>137</v>
      </c>
      <c r="AM253" s="108">
        <v>3475</v>
      </c>
      <c r="AN253" s="108">
        <f t="shared" si="13"/>
        <v>137</v>
      </c>
      <c r="AO253" s="108">
        <f t="shared" si="14"/>
        <v>3475</v>
      </c>
      <c r="AP253" s="110">
        <f t="shared" si="16"/>
        <v>25.364963503649633</v>
      </c>
      <c r="AQ253" s="110">
        <f t="shared" si="15"/>
        <v>0.27831170911420794</v>
      </c>
      <c r="AR253" s="108">
        <v>2</v>
      </c>
      <c r="AS253" s="108">
        <v>10</v>
      </c>
      <c r="AT253" s="108">
        <v>12486</v>
      </c>
    </row>
    <row r="254" spans="1:46" ht="13.5" thickBot="1" x14ac:dyDescent="0.25">
      <c r="A254" s="48" t="s">
        <v>730</v>
      </c>
      <c r="B254" s="47" t="s">
        <v>729</v>
      </c>
      <c r="C254" s="48" t="s">
        <v>22</v>
      </c>
      <c r="D254" s="48" t="s">
        <v>1648</v>
      </c>
      <c r="E254" s="48" t="s">
        <v>1648</v>
      </c>
      <c r="F254" s="108">
        <v>48</v>
      </c>
      <c r="G254" s="108">
        <v>631</v>
      </c>
      <c r="H254" s="108">
        <v>22</v>
      </c>
      <c r="I254" s="108">
        <v>230</v>
      </c>
      <c r="J254" s="108">
        <v>0</v>
      </c>
      <c r="K254" s="108">
        <v>0</v>
      </c>
      <c r="L254" s="108">
        <v>3</v>
      </c>
      <c r="M254" s="108">
        <v>23</v>
      </c>
      <c r="N254" s="108">
        <v>90</v>
      </c>
      <c r="O254" s="108">
        <v>15</v>
      </c>
      <c r="P254" s="108">
        <v>105</v>
      </c>
      <c r="Q254" s="108">
        <v>4</v>
      </c>
      <c r="R254" s="108">
        <v>621</v>
      </c>
      <c r="S254" s="108">
        <v>48</v>
      </c>
      <c r="T254" s="108">
        <v>631</v>
      </c>
      <c r="U254" s="109" t="s">
        <v>1649</v>
      </c>
      <c r="V254" s="108">
        <v>0</v>
      </c>
      <c r="W254" s="108">
        <v>0</v>
      </c>
      <c r="X254" s="108">
        <v>2</v>
      </c>
      <c r="Y254" s="108">
        <v>6</v>
      </c>
      <c r="Z254" s="108">
        <v>25</v>
      </c>
      <c r="AA254" s="108">
        <v>253</v>
      </c>
      <c r="AB254" s="108">
        <v>26</v>
      </c>
      <c r="AC254" s="108">
        <v>1920</v>
      </c>
      <c r="AD254" s="108">
        <v>97</v>
      </c>
      <c r="AE254" s="108">
        <v>4058</v>
      </c>
      <c r="AF254" s="108">
        <v>0</v>
      </c>
      <c r="AG254" s="108">
        <v>0</v>
      </c>
      <c r="AH254" s="108">
        <v>0</v>
      </c>
      <c r="AI254" s="108">
        <v>0</v>
      </c>
      <c r="AJ254" s="108">
        <v>32</v>
      </c>
      <c r="AK254" s="108">
        <v>2547</v>
      </c>
      <c r="AL254" s="108">
        <v>170</v>
      </c>
      <c r="AM254" s="108">
        <v>4942</v>
      </c>
      <c r="AN254" s="108">
        <f t="shared" si="13"/>
        <v>202</v>
      </c>
      <c r="AO254" s="108">
        <f t="shared" si="14"/>
        <v>7489</v>
      </c>
      <c r="AP254" s="110">
        <f t="shared" si="16"/>
        <v>37.074257425742573</v>
      </c>
      <c r="AQ254" s="110">
        <f t="shared" si="15"/>
        <v>0.41298114039925005</v>
      </c>
      <c r="AR254" s="108">
        <v>2</v>
      </c>
      <c r="AS254" s="108">
        <v>153</v>
      </c>
      <c r="AT254" s="108">
        <v>18134</v>
      </c>
    </row>
    <row r="255" spans="1:46" ht="13.5" thickBot="1" x14ac:dyDescent="0.25">
      <c r="A255" s="48" t="s">
        <v>166</v>
      </c>
      <c r="B255" s="47" t="s">
        <v>165</v>
      </c>
      <c r="C255" s="48" t="s">
        <v>22</v>
      </c>
      <c r="D255" s="48" t="s">
        <v>1649</v>
      </c>
      <c r="E255" s="48" t="s">
        <v>1648</v>
      </c>
      <c r="F255" s="108">
        <v>140</v>
      </c>
      <c r="G255" s="108">
        <v>4765</v>
      </c>
      <c r="H255" s="108">
        <v>0</v>
      </c>
      <c r="I255" s="108">
        <v>0</v>
      </c>
      <c r="J255" s="108">
        <v>4</v>
      </c>
      <c r="K255" s="108">
        <v>106</v>
      </c>
      <c r="L255" s="108">
        <v>2</v>
      </c>
      <c r="M255" s="108">
        <v>0</v>
      </c>
      <c r="N255" s="108">
        <v>0</v>
      </c>
      <c r="O255" s="109">
        <v>0</v>
      </c>
      <c r="P255" s="108">
        <v>0</v>
      </c>
      <c r="Q255" s="108">
        <v>0</v>
      </c>
      <c r="R255" s="108">
        <v>0</v>
      </c>
      <c r="S255" s="108">
        <v>144</v>
      </c>
      <c r="T255" s="108">
        <v>4871</v>
      </c>
      <c r="U255" s="109" t="s">
        <v>1649</v>
      </c>
      <c r="V255" s="108">
        <v>0</v>
      </c>
      <c r="W255" s="108">
        <v>0</v>
      </c>
      <c r="X255" s="108">
        <v>0</v>
      </c>
      <c r="Y255" s="108">
        <v>0</v>
      </c>
      <c r="Z255" s="108">
        <v>2</v>
      </c>
      <c r="AA255" s="108">
        <v>0</v>
      </c>
      <c r="AB255" s="108">
        <v>0</v>
      </c>
      <c r="AC255" s="108">
        <v>0</v>
      </c>
      <c r="AD255" s="108">
        <v>786</v>
      </c>
      <c r="AE255" s="108">
        <v>6598</v>
      </c>
      <c r="AF255" s="108">
        <v>0</v>
      </c>
      <c r="AG255" s="108">
        <v>0</v>
      </c>
      <c r="AH255" s="108">
        <v>0</v>
      </c>
      <c r="AI255" s="108">
        <v>0</v>
      </c>
      <c r="AJ255" s="108">
        <v>0</v>
      </c>
      <c r="AK255" s="108">
        <v>0</v>
      </c>
      <c r="AL255" s="108">
        <v>932</v>
      </c>
      <c r="AM255" s="108">
        <v>11469</v>
      </c>
      <c r="AN255" s="108">
        <f t="shared" si="13"/>
        <v>932</v>
      </c>
      <c r="AO255" s="108">
        <f t="shared" si="14"/>
        <v>11469</v>
      </c>
      <c r="AP255" s="110">
        <f t="shared" si="16"/>
        <v>12.305793991416309</v>
      </c>
      <c r="AQ255" s="110">
        <f t="shared" si="15"/>
        <v>0.8254642291636678</v>
      </c>
      <c r="AR255" s="108">
        <v>3</v>
      </c>
      <c r="AS255" s="108">
        <v>1</v>
      </c>
      <c r="AT255" s="108">
        <v>13894</v>
      </c>
    </row>
    <row r="256" spans="1:46" ht="13.5" thickBot="1" x14ac:dyDescent="0.25">
      <c r="A256" s="48" t="s">
        <v>192</v>
      </c>
      <c r="B256" s="47" t="s">
        <v>191</v>
      </c>
      <c r="C256" s="48" t="s">
        <v>22</v>
      </c>
      <c r="D256" s="48" t="s">
        <v>1648</v>
      </c>
      <c r="E256" s="48" t="s">
        <v>1648</v>
      </c>
      <c r="F256" s="108">
        <v>313</v>
      </c>
      <c r="G256" s="108">
        <v>7196</v>
      </c>
      <c r="H256" s="108">
        <v>50</v>
      </c>
      <c r="I256" s="108">
        <v>549</v>
      </c>
      <c r="J256" s="108">
        <v>80</v>
      </c>
      <c r="K256" s="108">
        <v>1529</v>
      </c>
      <c r="L256" s="108">
        <v>23</v>
      </c>
      <c r="M256" s="108">
        <v>356</v>
      </c>
      <c r="N256" s="108">
        <v>387</v>
      </c>
      <c r="O256" s="108">
        <v>252</v>
      </c>
      <c r="P256" s="108">
        <v>639</v>
      </c>
      <c r="Q256" s="108">
        <v>19</v>
      </c>
      <c r="R256" s="108">
        <v>3371</v>
      </c>
      <c r="S256" s="108">
        <v>393</v>
      </c>
      <c r="T256" s="108">
        <v>8725</v>
      </c>
      <c r="U256" s="109" t="s">
        <v>1648</v>
      </c>
      <c r="V256" s="108">
        <v>92</v>
      </c>
      <c r="W256" s="108">
        <v>1251</v>
      </c>
      <c r="X256" s="108">
        <v>0</v>
      </c>
      <c r="Y256" s="108">
        <v>0</v>
      </c>
      <c r="Z256" s="108">
        <v>73</v>
      </c>
      <c r="AA256" s="108">
        <v>905</v>
      </c>
      <c r="AB256" s="108">
        <v>5</v>
      </c>
      <c r="AC256" s="108">
        <v>75</v>
      </c>
      <c r="AD256" s="108">
        <v>75</v>
      </c>
      <c r="AE256" s="108">
        <v>1094</v>
      </c>
      <c r="AF256" s="108">
        <v>0</v>
      </c>
      <c r="AG256" s="108">
        <v>0</v>
      </c>
      <c r="AH256" s="108">
        <v>1</v>
      </c>
      <c r="AI256" s="108">
        <v>423</v>
      </c>
      <c r="AJ256" s="108">
        <v>24</v>
      </c>
      <c r="AK256" s="108">
        <v>3446</v>
      </c>
      <c r="AL256" s="108">
        <v>542</v>
      </c>
      <c r="AM256" s="108">
        <v>11147</v>
      </c>
      <c r="AN256" s="108">
        <f t="shared" si="13"/>
        <v>566</v>
      </c>
      <c r="AO256" s="108">
        <f t="shared" si="14"/>
        <v>14593</v>
      </c>
      <c r="AP256" s="110">
        <f t="shared" si="16"/>
        <v>25.78268551236749</v>
      </c>
      <c r="AQ256" s="110">
        <f t="shared" si="15"/>
        <v>0.98242897536017237</v>
      </c>
      <c r="AR256" s="108">
        <v>3</v>
      </c>
      <c r="AS256" s="108">
        <v>39535</v>
      </c>
      <c r="AT256" s="108">
        <v>14854</v>
      </c>
    </row>
    <row r="257" spans="1:46" ht="13.5" thickBot="1" x14ac:dyDescent="0.25">
      <c r="A257" s="48" t="s">
        <v>546</v>
      </c>
      <c r="B257" s="47" t="s">
        <v>545</v>
      </c>
      <c r="C257" s="48" t="s">
        <v>22</v>
      </c>
      <c r="D257" s="48" t="s">
        <v>1649</v>
      </c>
      <c r="E257" s="48" t="s">
        <v>1648</v>
      </c>
      <c r="F257" s="108">
        <v>15</v>
      </c>
      <c r="G257" s="108">
        <v>533</v>
      </c>
      <c r="H257" s="108">
        <v>1</v>
      </c>
      <c r="I257" s="108">
        <v>15</v>
      </c>
      <c r="J257" s="108">
        <v>0</v>
      </c>
      <c r="K257" s="108">
        <v>0</v>
      </c>
      <c r="L257" s="108">
        <v>0</v>
      </c>
      <c r="M257" s="108">
        <v>0</v>
      </c>
      <c r="N257" s="108">
        <v>0</v>
      </c>
      <c r="O257" s="108">
        <v>0</v>
      </c>
      <c r="P257" s="108">
        <v>0</v>
      </c>
      <c r="Q257" s="108">
        <v>0</v>
      </c>
      <c r="R257" s="108">
        <v>0</v>
      </c>
      <c r="S257" s="108">
        <v>15</v>
      </c>
      <c r="T257" s="108">
        <v>533</v>
      </c>
      <c r="U257" s="109" t="s">
        <v>1649</v>
      </c>
      <c r="V257" s="108">
        <v>0</v>
      </c>
      <c r="W257" s="108">
        <v>0</v>
      </c>
      <c r="X257" s="108">
        <v>0</v>
      </c>
      <c r="Y257" s="108">
        <v>0</v>
      </c>
      <c r="Z257" s="108">
        <v>1</v>
      </c>
      <c r="AA257" s="108">
        <v>15</v>
      </c>
      <c r="AB257" s="108">
        <v>0</v>
      </c>
      <c r="AC257" s="108">
        <v>0</v>
      </c>
      <c r="AD257" s="108">
        <v>44</v>
      </c>
      <c r="AE257" s="108">
        <v>1560</v>
      </c>
      <c r="AF257" s="108">
        <v>0</v>
      </c>
      <c r="AG257" s="108">
        <v>0</v>
      </c>
      <c r="AH257" s="108">
        <v>0</v>
      </c>
      <c r="AI257" s="108">
        <v>0</v>
      </c>
      <c r="AJ257" s="108">
        <v>0</v>
      </c>
      <c r="AK257" s="108">
        <v>0</v>
      </c>
      <c r="AL257" s="108">
        <v>60</v>
      </c>
      <c r="AM257" s="108">
        <v>2108</v>
      </c>
      <c r="AN257" s="108">
        <f t="shared" si="13"/>
        <v>60</v>
      </c>
      <c r="AO257" s="108">
        <f t="shared" si="14"/>
        <v>2108</v>
      </c>
      <c r="AP257" s="110">
        <f t="shared" si="16"/>
        <v>35.133333333333333</v>
      </c>
      <c r="AQ257" s="110">
        <f t="shared" si="15"/>
        <v>0.16782103335721679</v>
      </c>
      <c r="AR257" s="108">
        <v>3</v>
      </c>
      <c r="AS257" s="108">
        <v>25</v>
      </c>
      <c r="AT257" s="108">
        <v>12561</v>
      </c>
    </row>
    <row r="258" spans="1:46" ht="13.5" thickBot="1" x14ac:dyDescent="0.25">
      <c r="A258" s="48" t="s">
        <v>423</v>
      </c>
      <c r="B258" s="47" t="s">
        <v>422</v>
      </c>
      <c r="C258" s="48" t="s">
        <v>22</v>
      </c>
      <c r="D258" s="48" t="s">
        <v>1648</v>
      </c>
      <c r="E258" s="48" t="s">
        <v>1648</v>
      </c>
      <c r="F258" s="108">
        <v>27</v>
      </c>
      <c r="G258" s="108">
        <v>271</v>
      </c>
      <c r="H258" s="108">
        <v>14</v>
      </c>
      <c r="I258" s="108">
        <v>103</v>
      </c>
      <c r="J258" s="108">
        <v>26</v>
      </c>
      <c r="K258" s="108">
        <v>244</v>
      </c>
      <c r="L258" s="108">
        <v>13</v>
      </c>
      <c r="M258" s="108">
        <v>94</v>
      </c>
      <c r="N258" s="108">
        <v>36</v>
      </c>
      <c r="O258" s="108">
        <v>8</v>
      </c>
      <c r="P258" s="108">
        <v>44</v>
      </c>
      <c r="Q258" s="108">
        <v>2</v>
      </c>
      <c r="R258" s="108">
        <v>25</v>
      </c>
      <c r="S258" s="108">
        <v>53</v>
      </c>
      <c r="T258" s="108">
        <v>515</v>
      </c>
      <c r="U258" s="109" t="s">
        <v>1648</v>
      </c>
      <c r="V258" s="108">
        <v>6</v>
      </c>
      <c r="W258" s="108">
        <v>78</v>
      </c>
      <c r="X258" s="108">
        <v>0</v>
      </c>
      <c r="Y258" s="108">
        <v>0</v>
      </c>
      <c r="Z258" s="108">
        <v>27</v>
      </c>
      <c r="AA258" s="108">
        <v>197</v>
      </c>
      <c r="AB258" s="108">
        <v>2</v>
      </c>
      <c r="AC258" s="108">
        <v>6</v>
      </c>
      <c r="AD258" s="108">
        <v>17</v>
      </c>
      <c r="AE258" s="108">
        <v>252</v>
      </c>
      <c r="AF258" s="108">
        <v>0</v>
      </c>
      <c r="AG258" s="108">
        <v>0</v>
      </c>
      <c r="AH258" s="108">
        <v>2</v>
      </c>
      <c r="AI258" s="108">
        <v>75</v>
      </c>
      <c r="AJ258" s="108">
        <v>4</v>
      </c>
      <c r="AK258" s="108">
        <v>31</v>
      </c>
      <c r="AL258" s="108">
        <v>99</v>
      </c>
      <c r="AM258" s="108">
        <v>1039</v>
      </c>
      <c r="AN258" s="108">
        <f t="shared" si="13"/>
        <v>103</v>
      </c>
      <c r="AO258" s="108">
        <f t="shared" si="14"/>
        <v>1070</v>
      </c>
      <c r="AP258" s="110">
        <f t="shared" si="16"/>
        <v>10.388349514563107</v>
      </c>
      <c r="AQ258" s="110">
        <f t="shared" si="15"/>
        <v>4.2177460680357916E-2</v>
      </c>
      <c r="AR258" s="108">
        <v>4</v>
      </c>
      <c r="AS258" s="108">
        <v>112</v>
      </c>
      <c r="AT258" s="108">
        <v>25369</v>
      </c>
    </row>
    <row r="259" spans="1:46" ht="13.5" thickBot="1" x14ac:dyDescent="0.25">
      <c r="A259" s="48" t="s">
        <v>336</v>
      </c>
      <c r="B259" s="47" t="s">
        <v>335</v>
      </c>
      <c r="C259" s="48" t="s">
        <v>22</v>
      </c>
      <c r="D259" s="48" t="s">
        <v>1648</v>
      </c>
      <c r="E259" s="48" t="s">
        <v>1648</v>
      </c>
      <c r="F259" s="108">
        <v>79</v>
      </c>
      <c r="G259" s="108">
        <v>354</v>
      </c>
      <c r="H259" s="108">
        <v>10</v>
      </c>
      <c r="I259" s="108">
        <v>43</v>
      </c>
      <c r="J259" s="108">
        <v>25</v>
      </c>
      <c r="K259" s="108">
        <v>345</v>
      </c>
      <c r="L259" s="108">
        <v>9</v>
      </c>
      <c r="M259" s="108">
        <v>72</v>
      </c>
      <c r="N259" s="108">
        <v>96</v>
      </c>
      <c r="O259" s="108">
        <v>15</v>
      </c>
      <c r="P259" s="108">
        <v>111</v>
      </c>
      <c r="Q259" s="108">
        <v>2</v>
      </c>
      <c r="R259" s="108">
        <v>8</v>
      </c>
      <c r="S259" s="108">
        <v>104</v>
      </c>
      <c r="T259" s="108">
        <v>699</v>
      </c>
      <c r="U259" s="109" t="s">
        <v>1648</v>
      </c>
      <c r="V259" s="108">
        <v>15</v>
      </c>
      <c r="W259" s="108">
        <v>83</v>
      </c>
      <c r="X259" s="108">
        <v>0</v>
      </c>
      <c r="Y259" s="108">
        <v>0</v>
      </c>
      <c r="Z259" s="108">
        <v>19</v>
      </c>
      <c r="AA259" s="108">
        <v>115</v>
      </c>
      <c r="AB259" s="108">
        <v>0</v>
      </c>
      <c r="AC259" s="108">
        <v>0</v>
      </c>
      <c r="AD259" s="108">
        <v>41</v>
      </c>
      <c r="AE259" s="108">
        <v>398</v>
      </c>
      <c r="AF259" s="108">
        <v>0</v>
      </c>
      <c r="AG259" s="108">
        <v>0</v>
      </c>
      <c r="AH259" s="108">
        <v>6</v>
      </c>
      <c r="AI259" s="108">
        <v>185</v>
      </c>
      <c r="AJ259" s="108">
        <v>2</v>
      </c>
      <c r="AK259" s="108">
        <v>8</v>
      </c>
      <c r="AL259" s="108">
        <v>170</v>
      </c>
      <c r="AM259" s="108">
        <v>1397</v>
      </c>
      <c r="AN259" s="108">
        <f t="shared" si="13"/>
        <v>172</v>
      </c>
      <c r="AO259" s="108">
        <f t="shared" si="14"/>
        <v>1405</v>
      </c>
      <c r="AP259" s="110">
        <f t="shared" si="16"/>
        <v>8.1686046511627914</v>
      </c>
      <c r="AQ259" s="110">
        <f t="shared" si="15"/>
        <v>9.8693453217195845E-2</v>
      </c>
      <c r="AR259" s="108">
        <v>5</v>
      </c>
      <c r="AS259" s="108">
        <v>12</v>
      </c>
      <c r="AT259" s="108">
        <v>14236</v>
      </c>
    </row>
    <row r="260" spans="1:46" ht="13.5" thickBot="1" x14ac:dyDescent="0.25">
      <c r="A260" s="48" t="s">
        <v>502</v>
      </c>
      <c r="B260" s="47" t="s">
        <v>501</v>
      </c>
      <c r="C260" s="48" t="s">
        <v>22</v>
      </c>
      <c r="D260" s="48" t="s">
        <v>1648</v>
      </c>
      <c r="E260" s="48" t="s">
        <v>1648</v>
      </c>
      <c r="F260" s="108">
        <v>131</v>
      </c>
      <c r="G260" s="108">
        <v>3837</v>
      </c>
      <c r="H260" s="108">
        <v>31</v>
      </c>
      <c r="I260" s="108">
        <v>1092</v>
      </c>
      <c r="J260" s="108">
        <v>45</v>
      </c>
      <c r="K260" s="108">
        <v>1650</v>
      </c>
      <c r="L260" s="108">
        <v>23</v>
      </c>
      <c r="M260" s="108">
        <v>383</v>
      </c>
      <c r="N260" s="108">
        <v>262</v>
      </c>
      <c r="O260" s="108">
        <v>35</v>
      </c>
      <c r="P260" s="108">
        <v>297</v>
      </c>
      <c r="Q260" s="108">
        <v>11</v>
      </c>
      <c r="R260" s="108">
        <v>213</v>
      </c>
      <c r="S260" s="108">
        <v>176</v>
      </c>
      <c r="T260" s="108">
        <v>5487</v>
      </c>
      <c r="U260" s="109" t="s">
        <v>1648</v>
      </c>
      <c r="V260" s="108">
        <v>97</v>
      </c>
      <c r="W260" s="108">
        <v>2557</v>
      </c>
      <c r="X260" s="108">
        <v>71</v>
      </c>
      <c r="Y260" s="108">
        <v>13</v>
      </c>
      <c r="Z260" s="108">
        <v>54</v>
      </c>
      <c r="AA260" s="108">
        <v>1475</v>
      </c>
      <c r="AB260" s="108">
        <v>2</v>
      </c>
      <c r="AC260" s="108">
        <v>31</v>
      </c>
      <c r="AD260" s="108">
        <v>71</v>
      </c>
      <c r="AE260" s="108">
        <v>1106</v>
      </c>
      <c r="AF260" s="108">
        <v>0</v>
      </c>
      <c r="AG260" s="108">
        <v>0</v>
      </c>
      <c r="AH260" s="108">
        <v>8</v>
      </c>
      <c r="AI260" s="108">
        <v>1216</v>
      </c>
      <c r="AJ260" s="108">
        <v>84</v>
      </c>
      <c r="AK260" s="108">
        <v>257</v>
      </c>
      <c r="AL260" s="108">
        <v>309</v>
      </c>
      <c r="AM260" s="108">
        <v>9284</v>
      </c>
      <c r="AN260" s="108">
        <f t="shared" ref="AN260:AN323" si="17">AL260+AJ260</f>
        <v>393</v>
      </c>
      <c r="AO260" s="108">
        <f t="shared" ref="AO260:AO323" si="18">AM260+AK260</f>
        <v>9541</v>
      </c>
      <c r="AP260" s="110">
        <f t="shared" si="16"/>
        <v>24.27735368956743</v>
      </c>
      <c r="AQ260" s="110">
        <f t="shared" ref="AQ260:AQ323" si="19">AO260/AT260</f>
        <v>0.60631672597864772</v>
      </c>
      <c r="AR260" s="108">
        <v>8</v>
      </c>
      <c r="AS260" s="108">
        <v>3708</v>
      </c>
      <c r="AT260" s="108">
        <v>15736</v>
      </c>
    </row>
    <row r="261" spans="1:46" ht="13.5" thickBot="1" x14ac:dyDescent="0.25">
      <c r="A261" s="48" t="s">
        <v>282</v>
      </c>
      <c r="B261" s="47" t="s">
        <v>281</v>
      </c>
      <c r="C261" s="48" t="s">
        <v>22</v>
      </c>
      <c r="D261" s="48" t="s">
        <v>1648</v>
      </c>
      <c r="E261" s="48" t="s">
        <v>1648</v>
      </c>
      <c r="F261" s="108">
        <v>40</v>
      </c>
      <c r="G261" s="108">
        <v>454</v>
      </c>
      <c r="H261" s="108">
        <v>52</v>
      </c>
      <c r="I261" s="108">
        <v>2282</v>
      </c>
      <c r="J261" s="108">
        <v>25</v>
      </c>
      <c r="K261" s="108">
        <v>275</v>
      </c>
      <c r="L261" s="108">
        <v>9</v>
      </c>
      <c r="M261" s="108">
        <v>54</v>
      </c>
      <c r="N261" s="108">
        <v>61</v>
      </c>
      <c r="O261" s="108">
        <v>33</v>
      </c>
      <c r="P261" s="108">
        <v>94</v>
      </c>
      <c r="Q261" s="108">
        <v>22</v>
      </c>
      <c r="R261" s="108">
        <v>221</v>
      </c>
      <c r="S261" s="108">
        <v>65</v>
      </c>
      <c r="T261" s="108">
        <v>729</v>
      </c>
      <c r="U261" s="109" t="s">
        <v>1648</v>
      </c>
      <c r="V261" s="108">
        <v>80</v>
      </c>
      <c r="W261" s="108">
        <v>1142</v>
      </c>
      <c r="X261" s="108">
        <v>8</v>
      </c>
      <c r="Y261" s="108">
        <v>0</v>
      </c>
      <c r="Z261" s="108">
        <v>61</v>
      </c>
      <c r="AA261" s="108">
        <v>2336</v>
      </c>
      <c r="AB261" s="108">
        <v>27</v>
      </c>
      <c r="AC261" s="108">
        <v>103</v>
      </c>
      <c r="AD261" s="108">
        <v>150</v>
      </c>
      <c r="AE261" s="108">
        <v>1103</v>
      </c>
      <c r="AF261" s="108">
        <v>1</v>
      </c>
      <c r="AG261" s="108">
        <v>0</v>
      </c>
      <c r="AH261" s="108">
        <v>19</v>
      </c>
      <c r="AI261" s="108">
        <v>2761</v>
      </c>
      <c r="AJ261" s="108">
        <v>58</v>
      </c>
      <c r="AK261" s="108">
        <v>324</v>
      </c>
      <c r="AL261" s="108">
        <v>295</v>
      </c>
      <c r="AM261" s="108">
        <v>6929</v>
      </c>
      <c r="AN261" s="108">
        <f t="shared" si="17"/>
        <v>353</v>
      </c>
      <c r="AO261" s="108">
        <f t="shared" si="18"/>
        <v>7253</v>
      </c>
      <c r="AP261" s="110">
        <f t="shared" si="16"/>
        <v>20.546742209631727</v>
      </c>
      <c r="AQ261" s="110">
        <f t="shared" si="19"/>
        <v>0.42494726974455121</v>
      </c>
      <c r="AR261" s="108">
        <v>9</v>
      </c>
      <c r="AS261" s="108">
        <v>288</v>
      </c>
      <c r="AT261" s="108">
        <v>17068</v>
      </c>
    </row>
    <row r="262" spans="1:46" ht="13.5" thickBot="1" x14ac:dyDescent="0.25">
      <c r="A262" s="48" t="s">
        <v>746</v>
      </c>
      <c r="B262" s="47" t="s">
        <v>745</v>
      </c>
      <c r="C262" s="48" t="s">
        <v>22</v>
      </c>
      <c r="D262" s="48" t="s">
        <v>1648</v>
      </c>
      <c r="E262" s="48" t="s">
        <v>1648</v>
      </c>
      <c r="F262" s="108">
        <v>128</v>
      </c>
      <c r="G262" s="108">
        <v>2942</v>
      </c>
      <c r="H262" s="108">
        <v>73</v>
      </c>
      <c r="I262" s="108">
        <v>690</v>
      </c>
      <c r="J262" s="108">
        <v>37</v>
      </c>
      <c r="K262" s="108">
        <v>193</v>
      </c>
      <c r="L262" s="108">
        <v>7</v>
      </c>
      <c r="M262" s="108">
        <v>26</v>
      </c>
      <c r="N262" s="108">
        <v>99</v>
      </c>
      <c r="O262" s="108">
        <v>31</v>
      </c>
      <c r="P262" s="108">
        <v>130</v>
      </c>
      <c r="Q262" s="108">
        <v>6</v>
      </c>
      <c r="R262" s="108">
        <v>25</v>
      </c>
      <c r="S262" s="108">
        <v>165</v>
      </c>
      <c r="T262" s="108">
        <v>3135</v>
      </c>
      <c r="U262" s="109" t="s">
        <v>1648</v>
      </c>
      <c r="V262" s="108">
        <v>30</v>
      </c>
      <c r="W262" s="108">
        <v>493</v>
      </c>
      <c r="X262" s="108">
        <v>2</v>
      </c>
      <c r="Y262" s="108">
        <v>10</v>
      </c>
      <c r="Z262" s="108">
        <v>80</v>
      </c>
      <c r="AA262" s="108">
        <v>716</v>
      </c>
      <c r="AB262" s="108">
        <v>1</v>
      </c>
      <c r="AC262" s="108">
        <v>40</v>
      </c>
      <c r="AD262" s="108">
        <v>129</v>
      </c>
      <c r="AE262" s="108">
        <v>883</v>
      </c>
      <c r="AF262" s="108">
        <v>2</v>
      </c>
      <c r="AG262" s="108">
        <v>10</v>
      </c>
      <c r="AH262" s="108">
        <v>22</v>
      </c>
      <c r="AI262" s="108">
        <v>398</v>
      </c>
      <c r="AJ262" s="108">
        <v>11</v>
      </c>
      <c r="AK262" s="108">
        <v>85</v>
      </c>
      <c r="AL262" s="108">
        <v>396</v>
      </c>
      <c r="AM262" s="108">
        <v>5132</v>
      </c>
      <c r="AN262" s="108">
        <f t="shared" si="17"/>
        <v>407</v>
      </c>
      <c r="AO262" s="108">
        <f t="shared" si="18"/>
        <v>5217</v>
      </c>
      <c r="AP262" s="110">
        <f t="shared" si="16"/>
        <v>12.818181818181818</v>
      </c>
      <c r="AQ262" s="110">
        <f t="shared" si="19"/>
        <v>0.36602820458850766</v>
      </c>
      <c r="AR262" s="108">
        <v>9</v>
      </c>
      <c r="AS262" s="108">
        <v>52</v>
      </c>
      <c r="AT262" s="108">
        <v>14253</v>
      </c>
    </row>
    <row r="263" spans="1:46" ht="13.5" thickBot="1" x14ac:dyDescent="0.25">
      <c r="A263" s="48" t="s">
        <v>500</v>
      </c>
      <c r="B263" s="47" t="s">
        <v>499</v>
      </c>
      <c r="C263" s="48" t="s">
        <v>22</v>
      </c>
      <c r="D263" s="48" t="s">
        <v>1648</v>
      </c>
      <c r="E263" s="48" t="s">
        <v>1648</v>
      </c>
      <c r="F263" s="108">
        <v>134</v>
      </c>
      <c r="G263" s="108">
        <v>5457</v>
      </c>
      <c r="H263" s="108">
        <v>18</v>
      </c>
      <c r="I263" s="108">
        <v>173</v>
      </c>
      <c r="J263" s="108">
        <v>30</v>
      </c>
      <c r="K263" s="108">
        <v>1160</v>
      </c>
      <c r="L263" s="108">
        <v>4</v>
      </c>
      <c r="M263" s="108">
        <v>13</v>
      </c>
      <c r="N263" s="108">
        <v>139</v>
      </c>
      <c r="O263" s="108">
        <v>51</v>
      </c>
      <c r="P263" s="108">
        <v>190</v>
      </c>
      <c r="Q263" s="108">
        <v>36</v>
      </c>
      <c r="R263" s="108">
        <v>997</v>
      </c>
      <c r="S263" s="108">
        <v>164</v>
      </c>
      <c r="T263" s="108">
        <v>6617</v>
      </c>
      <c r="U263" s="109" t="s">
        <v>1648</v>
      </c>
      <c r="V263" s="108">
        <v>64</v>
      </c>
      <c r="W263" s="108">
        <v>820</v>
      </c>
      <c r="X263" s="108">
        <v>4</v>
      </c>
      <c r="Y263" s="108">
        <v>13</v>
      </c>
      <c r="Z263" s="108">
        <v>22</v>
      </c>
      <c r="AA263" s="108">
        <v>186</v>
      </c>
      <c r="AB263" s="108">
        <v>12</v>
      </c>
      <c r="AC263" s="108">
        <v>478</v>
      </c>
      <c r="AD263" s="108">
        <v>34</v>
      </c>
      <c r="AE263" s="108">
        <v>265</v>
      </c>
      <c r="AF263" s="108">
        <v>0</v>
      </c>
      <c r="AG263" s="108">
        <v>0</v>
      </c>
      <c r="AH263" s="108">
        <v>0</v>
      </c>
      <c r="AI263" s="108">
        <v>0</v>
      </c>
      <c r="AJ263" s="108">
        <v>52</v>
      </c>
      <c r="AK263" s="108">
        <v>1488</v>
      </c>
      <c r="AL263" s="108">
        <v>220</v>
      </c>
      <c r="AM263" s="108">
        <v>7068</v>
      </c>
      <c r="AN263" s="108">
        <f t="shared" si="17"/>
        <v>272</v>
      </c>
      <c r="AO263" s="108">
        <f t="shared" si="18"/>
        <v>8556</v>
      </c>
      <c r="AP263" s="110">
        <f t="shared" si="16"/>
        <v>31.455882352941178</v>
      </c>
      <c r="AQ263" s="110">
        <f t="shared" si="19"/>
        <v>0.48860716121295183</v>
      </c>
      <c r="AR263" s="108">
        <v>10</v>
      </c>
      <c r="AS263" s="108">
        <v>121</v>
      </c>
      <c r="AT263" s="108">
        <v>17511</v>
      </c>
    </row>
    <row r="264" spans="1:46" ht="13.5" thickBot="1" x14ac:dyDescent="0.25">
      <c r="A264" s="48" t="s">
        <v>356</v>
      </c>
      <c r="B264" s="47" t="s">
        <v>355</v>
      </c>
      <c r="C264" s="48" t="s">
        <v>22</v>
      </c>
      <c r="D264" s="48" t="s">
        <v>1648</v>
      </c>
      <c r="E264" s="48" t="s">
        <v>1648</v>
      </c>
      <c r="F264" s="108">
        <v>180</v>
      </c>
      <c r="G264" s="108">
        <v>1774</v>
      </c>
      <c r="H264" s="108">
        <v>30</v>
      </c>
      <c r="I264" s="108">
        <v>320</v>
      </c>
      <c r="J264" s="108">
        <v>76</v>
      </c>
      <c r="K264" s="108">
        <v>1109</v>
      </c>
      <c r="L264" s="108">
        <v>20</v>
      </c>
      <c r="M264" s="108">
        <v>251</v>
      </c>
      <c r="N264" s="108">
        <v>378</v>
      </c>
      <c r="O264" s="108">
        <v>20</v>
      </c>
      <c r="P264" s="108">
        <v>398</v>
      </c>
      <c r="Q264" s="108">
        <v>12</v>
      </c>
      <c r="R264" s="108">
        <v>220</v>
      </c>
      <c r="S264" s="108">
        <v>256</v>
      </c>
      <c r="T264" s="108">
        <v>2883</v>
      </c>
      <c r="U264" s="109" t="s">
        <v>1648</v>
      </c>
      <c r="V264" s="108">
        <v>8</v>
      </c>
      <c r="W264" s="108">
        <v>117</v>
      </c>
      <c r="X264" s="108">
        <v>40</v>
      </c>
      <c r="Y264" s="108">
        <v>132</v>
      </c>
      <c r="Z264" s="108">
        <v>50</v>
      </c>
      <c r="AA264" s="108">
        <v>571</v>
      </c>
      <c r="AB264" s="108">
        <v>29</v>
      </c>
      <c r="AC264" s="108">
        <v>292</v>
      </c>
      <c r="AD264" s="108">
        <v>105</v>
      </c>
      <c r="AE264" s="108">
        <v>1027</v>
      </c>
      <c r="AF264" s="108">
        <v>0</v>
      </c>
      <c r="AG264" s="108">
        <v>0</v>
      </c>
      <c r="AH264" s="108">
        <v>44</v>
      </c>
      <c r="AI264" s="108">
        <v>2098</v>
      </c>
      <c r="AJ264" s="108">
        <v>81</v>
      </c>
      <c r="AK264" s="108">
        <v>644</v>
      </c>
      <c r="AL264" s="108">
        <v>455</v>
      </c>
      <c r="AM264" s="108">
        <v>6579</v>
      </c>
      <c r="AN264" s="108">
        <f t="shared" si="17"/>
        <v>536</v>
      </c>
      <c r="AO264" s="108">
        <f t="shared" si="18"/>
        <v>7223</v>
      </c>
      <c r="AP264" s="110">
        <f t="shared" si="16"/>
        <v>13.475746268656716</v>
      </c>
      <c r="AQ264" s="110">
        <f t="shared" si="19"/>
        <v>0.37615873346526402</v>
      </c>
      <c r="AR264" s="108">
        <v>12</v>
      </c>
      <c r="AS264" s="108">
        <v>459</v>
      </c>
      <c r="AT264" s="108">
        <v>19202</v>
      </c>
    </row>
    <row r="265" spans="1:46" ht="13.5" thickBot="1" x14ac:dyDescent="0.25">
      <c r="A265" s="48" t="s">
        <v>390</v>
      </c>
      <c r="B265" s="47" t="s">
        <v>389</v>
      </c>
      <c r="C265" s="48" t="s">
        <v>22</v>
      </c>
      <c r="D265" s="48" t="s">
        <v>1648</v>
      </c>
      <c r="E265" s="48" t="s">
        <v>1648</v>
      </c>
      <c r="F265" s="108">
        <v>118</v>
      </c>
      <c r="G265" s="108">
        <v>3986</v>
      </c>
      <c r="H265" s="108">
        <v>19</v>
      </c>
      <c r="I265" s="108">
        <v>195</v>
      </c>
      <c r="J265" s="108">
        <v>27</v>
      </c>
      <c r="K265" s="108">
        <v>1031</v>
      </c>
      <c r="L265" s="108">
        <v>7</v>
      </c>
      <c r="M265" s="108">
        <v>115</v>
      </c>
      <c r="N265" s="108">
        <v>189</v>
      </c>
      <c r="O265" s="108">
        <v>50</v>
      </c>
      <c r="P265" s="108">
        <v>239</v>
      </c>
      <c r="Q265" s="108">
        <v>17</v>
      </c>
      <c r="R265" s="108">
        <v>191</v>
      </c>
      <c r="S265" s="108">
        <v>145</v>
      </c>
      <c r="T265" s="108">
        <v>5017</v>
      </c>
      <c r="U265" s="109" t="s">
        <v>1648</v>
      </c>
      <c r="V265" s="108">
        <v>79</v>
      </c>
      <c r="W265" s="108">
        <v>2591</v>
      </c>
      <c r="X265" s="108">
        <v>0</v>
      </c>
      <c r="Y265" s="108">
        <v>0</v>
      </c>
      <c r="Z265" s="108">
        <v>26</v>
      </c>
      <c r="AA265" s="108">
        <v>310</v>
      </c>
      <c r="AB265" s="108">
        <v>0</v>
      </c>
      <c r="AC265" s="108">
        <v>0</v>
      </c>
      <c r="AD265" s="108">
        <v>14</v>
      </c>
      <c r="AE265" s="108">
        <v>61</v>
      </c>
      <c r="AF265" s="108">
        <v>0</v>
      </c>
      <c r="AG265" s="108">
        <v>0</v>
      </c>
      <c r="AH265" s="108">
        <v>1</v>
      </c>
      <c r="AI265" s="108">
        <v>41</v>
      </c>
      <c r="AJ265" s="108">
        <v>17</v>
      </c>
      <c r="AK265" s="108">
        <v>191</v>
      </c>
      <c r="AL265" s="108">
        <v>186</v>
      </c>
      <c r="AM265" s="108">
        <v>5429</v>
      </c>
      <c r="AN265" s="108">
        <f t="shared" si="17"/>
        <v>203</v>
      </c>
      <c r="AO265" s="108">
        <f t="shared" si="18"/>
        <v>5620</v>
      </c>
      <c r="AP265" s="110">
        <f t="shared" si="16"/>
        <v>27.684729064039409</v>
      </c>
      <c r="AQ265" s="110">
        <f t="shared" si="19"/>
        <v>0.41323529411764703</v>
      </c>
      <c r="AR265" s="108">
        <v>13</v>
      </c>
      <c r="AS265" s="108">
        <v>5451</v>
      </c>
      <c r="AT265" s="108">
        <v>13600</v>
      </c>
    </row>
    <row r="266" spans="1:46" ht="13.5" thickBot="1" x14ac:dyDescent="0.25">
      <c r="A266" s="48" t="s">
        <v>260</v>
      </c>
      <c r="B266" s="47" t="s">
        <v>259</v>
      </c>
      <c r="C266" s="48" t="s">
        <v>22</v>
      </c>
      <c r="D266" s="48" t="s">
        <v>1648</v>
      </c>
      <c r="E266" s="48" t="s">
        <v>1648</v>
      </c>
      <c r="F266" s="108">
        <v>50</v>
      </c>
      <c r="G266" s="108">
        <v>1229</v>
      </c>
      <c r="H266" s="108">
        <v>2</v>
      </c>
      <c r="I266" s="108">
        <v>26</v>
      </c>
      <c r="J266" s="108">
        <v>0</v>
      </c>
      <c r="K266" s="108">
        <v>0</v>
      </c>
      <c r="L266" s="108">
        <v>0</v>
      </c>
      <c r="M266" s="108">
        <v>0</v>
      </c>
      <c r="N266" s="108">
        <v>25</v>
      </c>
      <c r="O266" s="108">
        <v>3</v>
      </c>
      <c r="P266" s="108">
        <v>28</v>
      </c>
      <c r="Q266" s="108">
        <v>0</v>
      </c>
      <c r="R266" s="108">
        <v>0</v>
      </c>
      <c r="S266" s="108">
        <v>50</v>
      </c>
      <c r="T266" s="108">
        <v>1229</v>
      </c>
      <c r="U266" s="109" t="s">
        <v>1648</v>
      </c>
      <c r="V266" s="108">
        <v>3</v>
      </c>
      <c r="W266" s="108">
        <v>115</v>
      </c>
      <c r="X266" s="108">
        <v>0</v>
      </c>
      <c r="Y266" s="108">
        <v>0</v>
      </c>
      <c r="Z266" s="108">
        <v>2</v>
      </c>
      <c r="AA266" s="108">
        <v>26</v>
      </c>
      <c r="AB266" s="108">
        <v>1</v>
      </c>
      <c r="AC266" s="108">
        <v>28</v>
      </c>
      <c r="AD266" s="108">
        <v>57</v>
      </c>
      <c r="AE266" s="108">
        <v>588</v>
      </c>
      <c r="AF266" s="108">
        <v>0</v>
      </c>
      <c r="AG266" s="108">
        <v>0</v>
      </c>
      <c r="AH266" s="108">
        <v>0</v>
      </c>
      <c r="AI266" s="108">
        <v>0</v>
      </c>
      <c r="AJ266" s="108">
        <v>1</v>
      </c>
      <c r="AK266" s="108">
        <v>28</v>
      </c>
      <c r="AL266" s="108">
        <v>109</v>
      </c>
      <c r="AM266" s="108">
        <v>1843</v>
      </c>
      <c r="AN266" s="108">
        <f t="shared" si="17"/>
        <v>110</v>
      </c>
      <c r="AO266" s="108">
        <f t="shared" si="18"/>
        <v>1871</v>
      </c>
      <c r="AP266" s="110">
        <f t="shared" si="16"/>
        <v>17.009090909090908</v>
      </c>
      <c r="AQ266" s="110">
        <f t="shared" si="19"/>
        <v>7.2435152922957796E-2</v>
      </c>
      <c r="AR266" s="108">
        <v>14</v>
      </c>
      <c r="AS266" s="108">
        <v>6308</v>
      </c>
      <c r="AT266" s="108">
        <v>25830</v>
      </c>
    </row>
    <row r="267" spans="1:46" ht="13.5" thickBot="1" x14ac:dyDescent="0.25">
      <c r="A267" s="48" t="s">
        <v>370</v>
      </c>
      <c r="B267" s="47" t="s">
        <v>369</v>
      </c>
      <c r="C267" s="48" t="s">
        <v>22</v>
      </c>
      <c r="D267" s="48" t="s">
        <v>1648</v>
      </c>
      <c r="E267" s="48" t="s">
        <v>1648</v>
      </c>
      <c r="F267" s="108">
        <v>78</v>
      </c>
      <c r="G267" s="108">
        <v>2995</v>
      </c>
      <c r="H267" s="108">
        <v>13</v>
      </c>
      <c r="I267" s="108">
        <v>468</v>
      </c>
      <c r="J267" s="108">
        <v>40</v>
      </c>
      <c r="K267" s="108">
        <v>1517</v>
      </c>
      <c r="L267" s="108">
        <v>10</v>
      </c>
      <c r="M267" s="108">
        <v>517</v>
      </c>
      <c r="N267" s="108">
        <v>308</v>
      </c>
      <c r="O267" s="108">
        <v>98</v>
      </c>
      <c r="P267" s="108">
        <v>406</v>
      </c>
      <c r="Q267" s="108">
        <v>1</v>
      </c>
      <c r="R267" s="108">
        <v>25</v>
      </c>
      <c r="S267" s="108">
        <v>118</v>
      </c>
      <c r="T267" s="108">
        <v>4512</v>
      </c>
      <c r="U267" s="109" t="s">
        <v>1648</v>
      </c>
      <c r="V267" s="108">
        <v>98</v>
      </c>
      <c r="W267" s="108">
        <v>2995</v>
      </c>
      <c r="X267" s="108">
        <v>0</v>
      </c>
      <c r="Y267" s="108">
        <v>0</v>
      </c>
      <c r="Z267" s="108">
        <v>23</v>
      </c>
      <c r="AA267" s="108">
        <v>985</v>
      </c>
      <c r="AB267" s="108">
        <v>5</v>
      </c>
      <c r="AC267" s="108">
        <v>200</v>
      </c>
      <c r="AD267" s="108">
        <v>92</v>
      </c>
      <c r="AE267" s="108">
        <v>760</v>
      </c>
      <c r="AF267" s="108">
        <v>0</v>
      </c>
      <c r="AG267" s="108">
        <v>0</v>
      </c>
      <c r="AH267" s="108">
        <v>24</v>
      </c>
      <c r="AI267" s="108">
        <v>2306</v>
      </c>
      <c r="AJ267" s="108">
        <v>6</v>
      </c>
      <c r="AK267" s="108">
        <v>225</v>
      </c>
      <c r="AL267" s="108">
        <v>257</v>
      </c>
      <c r="AM267" s="108">
        <v>8563</v>
      </c>
      <c r="AN267" s="108">
        <f t="shared" si="17"/>
        <v>263</v>
      </c>
      <c r="AO267" s="108">
        <f t="shared" si="18"/>
        <v>8788</v>
      </c>
      <c r="AP267" s="110">
        <f t="shared" si="16"/>
        <v>33.414448669201519</v>
      </c>
      <c r="AQ267" s="110">
        <f t="shared" si="19"/>
        <v>0.39737734569296856</v>
      </c>
      <c r="AR267" s="108">
        <v>15</v>
      </c>
      <c r="AS267" s="108">
        <v>228</v>
      </c>
      <c r="AT267" s="108">
        <v>22115</v>
      </c>
    </row>
    <row r="268" spans="1:46" ht="13.5" thickBot="1" x14ac:dyDescent="0.25">
      <c r="A268" s="48" t="s">
        <v>516</v>
      </c>
      <c r="B268" s="47" t="s">
        <v>515</v>
      </c>
      <c r="C268" s="48" t="s">
        <v>22</v>
      </c>
      <c r="D268" s="48" t="s">
        <v>1648</v>
      </c>
      <c r="E268" s="48" t="s">
        <v>1648</v>
      </c>
      <c r="F268" s="108">
        <v>88</v>
      </c>
      <c r="G268" s="108">
        <v>973</v>
      </c>
      <c r="H268" s="108">
        <v>26</v>
      </c>
      <c r="I268" s="108">
        <v>100</v>
      </c>
      <c r="J268" s="108">
        <v>0</v>
      </c>
      <c r="K268" s="108">
        <v>0</v>
      </c>
      <c r="L268" s="108">
        <v>0</v>
      </c>
      <c r="M268" s="108">
        <v>0</v>
      </c>
      <c r="N268" s="108">
        <v>0</v>
      </c>
      <c r="O268" s="108">
        <v>0</v>
      </c>
      <c r="P268" s="108">
        <v>0</v>
      </c>
      <c r="Q268" s="108">
        <v>0</v>
      </c>
      <c r="R268" s="108">
        <v>0</v>
      </c>
      <c r="S268" s="108">
        <v>88</v>
      </c>
      <c r="T268" s="108">
        <v>973</v>
      </c>
      <c r="U268" s="109" t="s">
        <v>1649</v>
      </c>
      <c r="V268" s="108">
        <v>0</v>
      </c>
      <c r="W268" s="108">
        <v>0</v>
      </c>
      <c r="X268" s="108">
        <v>0</v>
      </c>
      <c r="Y268" s="108">
        <v>0</v>
      </c>
      <c r="Z268" s="108">
        <v>26</v>
      </c>
      <c r="AA268" s="108">
        <v>100</v>
      </c>
      <c r="AB268" s="108">
        <v>29</v>
      </c>
      <c r="AC268" s="108">
        <v>487</v>
      </c>
      <c r="AD268" s="108">
        <v>100</v>
      </c>
      <c r="AE268" s="108">
        <v>2233</v>
      </c>
      <c r="AF268" s="108">
        <v>0</v>
      </c>
      <c r="AG268" s="108">
        <v>0</v>
      </c>
      <c r="AH268" s="108">
        <v>0</v>
      </c>
      <c r="AI268" s="108">
        <v>0</v>
      </c>
      <c r="AJ268" s="108">
        <v>29</v>
      </c>
      <c r="AK268" s="108">
        <v>487</v>
      </c>
      <c r="AL268" s="108">
        <v>214</v>
      </c>
      <c r="AM268" s="108">
        <v>3306</v>
      </c>
      <c r="AN268" s="108">
        <f t="shared" si="17"/>
        <v>243</v>
      </c>
      <c r="AO268" s="108">
        <f t="shared" si="18"/>
        <v>3793</v>
      </c>
      <c r="AP268" s="110">
        <f t="shared" si="16"/>
        <v>15.609053497942387</v>
      </c>
      <c r="AQ268" s="110">
        <f t="shared" si="19"/>
        <v>0.16594478715491973</v>
      </c>
      <c r="AR268" s="108">
        <v>15</v>
      </c>
      <c r="AS268" s="108">
        <v>2000</v>
      </c>
      <c r="AT268" s="108">
        <v>22857</v>
      </c>
    </row>
    <row r="269" spans="1:46" ht="13.5" thickBot="1" x14ac:dyDescent="0.25">
      <c r="A269" s="48" t="s">
        <v>226</v>
      </c>
      <c r="B269" s="47" t="s">
        <v>225</v>
      </c>
      <c r="C269" s="48" t="s">
        <v>22</v>
      </c>
      <c r="D269" s="48" t="s">
        <v>1648</v>
      </c>
      <c r="E269" s="48" t="s">
        <v>1648</v>
      </c>
      <c r="F269" s="108">
        <v>127</v>
      </c>
      <c r="G269" s="108">
        <v>10983</v>
      </c>
      <c r="H269" s="108">
        <v>37</v>
      </c>
      <c r="I269" s="108">
        <v>673</v>
      </c>
      <c r="J269" s="108">
        <v>26</v>
      </c>
      <c r="K269" s="108">
        <v>290</v>
      </c>
      <c r="L269" s="108">
        <v>9</v>
      </c>
      <c r="M269" s="108">
        <v>240</v>
      </c>
      <c r="N269" s="108">
        <v>343</v>
      </c>
      <c r="O269" s="108">
        <v>128</v>
      </c>
      <c r="P269" s="108">
        <v>471</v>
      </c>
      <c r="Q269" s="108">
        <v>31</v>
      </c>
      <c r="R269" s="108">
        <v>958</v>
      </c>
      <c r="S269" s="108">
        <v>153</v>
      </c>
      <c r="T269" s="108">
        <v>11273</v>
      </c>
      <c r="U269" s="109" t="s">
        <v>1648</v>
      </c>
      <c r="V269" s="108">
        <v>91</v>
      </c>
      <c r="W269" s="108">
        <v>3967</v>
      </c>
      <c r="X269" s="108">
        <v>11</v>
      </c>
      <c r="Y269" s="108">
        <v>369</v>
      </c>
      <c r="Z269" s="108">
        <v>46</v>
      </c>
      <c r="AA269" s="108">
        <v>913</v>
      </c>
      <c r="AB269" s="108">
        <v>16</v>
      </c>
      <c r="AC269" s="108">
        <v>206</v>
      </c>
      <c r="AD269" s="108">
        <v>109</v>
      </c>
      <c r="AE269" s="108">
        <v>1540</v>
      </c>
      <c r="AF269" s="108">
        <v>8</v>
      </c>
      <c r="AG269" s="108">
        <v>177</v>
      </c>
      <c r="AH269" s="108">
        <v>58</v>
      </c>
      <c r="AI269" s="108">
        <v>4569</v>
      </c>
      <c r="AJ269" s="108">
        <v>66</v>
      </c>
      <c r="AK269" s="108">
        <v>1710</v>
      </c>
      <c r="AL269" s="108">
        <v>366</v>
      </c>
      <c r="AM269" s="108">
        <v>18295</v>
      </c>
      <c r="AN269" s="108">
        <f t="shared" si="17"/>
        <v>432</v>
      </c>
      <c r="AO269" s="108">
        <f t="shared" si="18"/>
        <v>20005</v>
      </c>
      <c r="AP269" s="110">
        <f t="shared" si="16"/>
        <v>46.307870370370374</v>
      </c>
      <c r="AQ269" s="110">
        <f t="shared" si="19"/>
        <v>1.0211321525190138</v>
      </c>
      <c r="AR269" s="108">
        <v>17</v>
      </c>
      <c r="AS269" s="108">
        <v>369</v>
      </c>
      <c r="AT269" s="108">
        <v>19591</v>
      </c>
    </row>
    <row r="270" spans="1:46" ht="13.5" thickBot="1" x14ac:dyDescent="0.25">
      <c r="A270" s="48" t="s">
        <v>439</v>
      </c>
      <c r="B270" s="47" t="s">
        <v>438</v>
      </c>
      <c r="C270" s="48" t="s">
        <v>22</v>
      </c>
      <c r="D270" s="48" t="s">
        <v>1648</v>
      </c>
      <c r="E270" s="48" t="s">
        <v>1648</v>
      </c>
      <c r="F270" s="108">
        <v>218</v>
      </c>
      <c r="G270" s="108">
        <v>12583</v>
      </c>
      <c r="H270" s="108">
        <v>47</v>
      </c>
      <c r="I270" s="108">
        <v>442</v>
      </c>
      <c r="J270" s="108">
        <v>15</v>
      </c>
      <c r="K270" s="108">
        <v>839</v>
      </c>
      <c r="L270" s="108">
        <v>8</v>
      </c>
      <c r="M270" s="108">
        <v>161</v>
      </c>
      <c r="N270" s="108">
        <v>677</v>
      </c>
      <c r="O270" s="108">
        <v>217</v>
      </c>
      <c r="P270" s="108">
        <v>894</v>
      </c>
      <c r="Q270" s="108">
        <v>12</v>
      </c>
      <c r="R270" s="108">
        <v>249</v>
      </c>
      <c r="S270" s="108">
        <v>233</v>
      </c>
      <c r="T270" s="108">
        <v>13422</v>
      </c>
      <c r="U270" s="109" t="s">
        <v>1648</v>
      </c>
      <c r="V270" s="108">
        <v>158</v>
      </c>
      <c r="W270" s="108">
        <v>7532</v>
      </c>
      <c r="X270" s="108">
        <v>12</v>
      </c>
      <c r="Y270" s="108">
        <v>258</v>
      </c>
      <c r="Z270" s="108">
        <v>55</v>
      </c>
      <c r="AA270" s="108">
        <v>603</v>
      </c>
      <c r="AB270" s="108">
        <v>30</v>
      </c>
      <c r="AC270" s="108">
        <v>2219</v>
      </c>
      <c r="AD270" s="108">
        <v>173</v>
      </c>
      <c r="AE270" s="108">
        <v>1085</v>
      </c>
      <c r="AF270" s="108">
        <v>0</v>
      </c>
      <c r="AG270" s="108">
        <v>0</v>
      </c>
      <c r="AH270" s="108">
        <v>5</v>
      </c>
      <c r="AI270" s="108">
        <v>613</v>
      </c>
      <c r="AJ270" s="108">
        <v>54</v>
      </c>
      <c r="AK270" s="108">
        <v>2726</v>
      </c>
      <c r="AL270" s="108">
        <v>466</v>
      </c>
      <c r="AM270" s="108">
        <v>15723</v>
      </c>
      <c r="AN270" s="108">
        <f t="shared" si="17"/>
        <v>520</v>
      </c>
      <c r="AO270" s="108">
        <f t="shared" si="18"/>
        <v>18449</v>
      </c>
      <c r="AP270" s="110">
        <f t="shared" si="16"/>
        <v>35.478846153846156</v>
      </c>
      <c r="AQ270" s="110">
        <f t="shared" si="19"/>
        <v>0.82887051846527093</v>
      </c>
      <c r="AR270" s="108">
        <v>17</v>
      </c>
      <c r="AS270" s="108">
        <v>2066</v>
      </c>
      <c r="AT270" s="108">
        <v>22258</v>
      </c>
    </row>
    <row r="271" spans="1:46" ht="13.5" thickBot="1" x14ac:dyDescent="0.25">
      <c r="A271" s="48" t="s">
        <v>36</v>
      </c>
      <c r="B271" s="47" t="s">
        <v>35</v>
      </c>
      <c r="C271" s="48" t="s">
        <v>22</v>
      </c>
      <c r="D271" s="48" t="s">
        <v>1648</v>
      </c>
      <c r="E271" s="48" t="s">
        <v>1648</v>
      </c>
      <c r="F271" s="108">
        <v>78</v>
      </c>
      <c r="G271" s="108">
        <v>1578</v>
      </c>
      <c r="H271" s="108">
        <v>20</v>
      </c>
      <c r="I271" s="108">
        <v>890</v>
      </c>
      <c r="J271" s="108">
        <v>10</v>
      </c>
      <c r="K271" s="108">
        <v>403</v>
      </c>
      <c r="L271" s="108">
        <v>1</v>
      </c>
      <c r="M271" s="108">
        <v>8</v>
      </c>
      <c r="N271" s="108">
        <v>34</v>
      </c>
      <c r="O271" s="108">
        <v>8</v>
      </c>
      <c r="P271" s="108">
        <v>42</v>
      </c>
      <c r="Q271" s="108">
        <v>20</v>
      </c>
      <c r="R271" s="108">
        <v>962</v>
      </c>
      <c r="S271" s="108">
        <v>88</v>
      </c>
      <c r="T271" s="108">
        <v>1981</v>
      </c>
      <c r="U271" s="109" t="s">
        <v>1648</v>
      </c>
      <c r="V271" s="108">
        <v>10</v>
      </c>
      <c r="W271" s="108">
        <v>403</v>
      </c>
      <c r="X271" s="108">
        <v>0</v>
      </c>
      <c r="Y271" s="108">
        <v>0</v>
      </c>
      <c r="Z271" s="108">
        <v>21</v>
      </c>
      <c r="AA271" s="108">
        <v>898</v>
      </c>
      <c r="AB271" s="108">
        <v>0</v>
      </c>
      <c r="AC271" s="108">
        <v>0</v>
      </c>
      <c r="AD271" s="108">
        <v>43</v>
      </c>
      <c r="AE271" s="108">
        <v>875</v>
      </c>
      <c r="AF271" s="108">
        <v>0</v>
      </c>
      <c r="AG271" s="108">
        <v>0</v>
      </c>
      <c r="AH271" s="108">
        <v>5</v>
      </c>
      <c r="AI271" s="108">
        <v>1148</v>
      </c>
      <c r="AJ271" s="108">
        <v>20</v>
      </c>
      <c r="AK271" s="108">
        <v>962</v>
      </c>
      <c r="AL271" s="108">
        <v>157</v>
      </c>
      <c r="AM271" s="108">
        <v>4902</v>
      </c>
      <c r="AN271" s="108">
        <f t="shared" si="17"/>
        <v>177</v>
      </c>
      <c r="AO271" s="108">
        <f t="shared" si="18"/>
        <v>5864</v>
      </c>
      <c r="AP271" s="110">
        <f t="shared" si="16"/>
        <v>33.129943502824858</v>
      </c>
      <c r="AQ271" s="110">
        <f t="shared" si="19"/>
        <v>0.33699212688925922</v>
      </c>
      <c r="AR271" s="108">
        <v>20</v>
      </c>
      <c r="AS271" s="108">
        <v>3245</v>
      </c>
      <c r="AT271" s="108">
        <v>17401</v>
      </c>
    </row>
    <row r="272" spans="1:46" ht="13.5" thickBot="1" x14ac:dyDescent="0.25">
      <c r="A272" s="48" t="s">
        <v>812</v>
      </c>
      <c r="B272" s="47" t="s">
        <v>811</v>
      </c>
      <c r="C272" s="48" t="s">
        <v>22</v>
      </c>
      <c r="D272" s="48" t="s">
        <v>1648</v>
      </c>
      <c r="E272" s="48" t="s">
        <v>1648</v>
      </c>
      <c r="F272" s="108">
        <v>108</v>
      </c>
      <c r="G272" s="108">
        <v>3083</v>
      </c>
      <c r="H272" s="108">
        <v>24</v>
      </c>
      <c r="I272" s="108">
        <v>140</v>
      </c>
      <c r="J272" s="108">
        <v>25</v>
      </c>
      <c r="K272" s="108">
        <v>531</v>
      </c>
      <c r="L272" s="108">
        <v>1</v>
      </c>
      <c r="M272" s="108">
        <v>9</v>
      </c>
      <c r="N272" s="108">
        <v>125</v>
      </c>
      <c r="O272" s="108">
        <v>15</v>
      </c>
      <c r="P272" s="108">
        <v>140</v>
      </c>
      <c r="Q272" s="108">
        <v>38</v>
      </c>
      <c r="R272" s="108">
        <v>847</v>
      </c>
      <c r="S272" s="108">
        <v>133</v>
      </c>
      <c r="T272" s="108">
        <v>3614</v>
      </c>
      <c r="U272" s="109" t="s">
        <v>1648</v>
      </c>
      <c r="V272" s="108">
        <v>49</v>
      </c>
      <c r="W272" s="108">
        <v>1369</v>
      </c>
      <c r="X272" s="108">
        <v>2</v>
      </c>
      <c r="Y272" s="108">
        <v>8</v>
      </c>
      <c r="Z272" s="108">
        <v>25</v>
      </c>
      <c r="AA272" s="108">
        <v>149</v>
      </c>
      <c r="AB272" s="108">
        <v>13</v>
      </c>
      <c r="AC272" s="108">
        <v>87</v>
      </c>
      <c r="AD272" s="108">
        <v>85</v>
      </c>
      <c r="AE272" s="108">
        <v>906</v>
      </c>
      <c r="AF272" s="108">
        <v>0</v>
      </c>
      <c r="AG272" s="108">
        <v>0</v>
      </c>
      <c r="AH272" s="108">
        <v>0</v>
      </c>
      <c r="AI272" s="108">
        <v>0</v>
      </c>
      <c r="AJ272" s="108">
        <v>53</v>
      </c>
      <c r="AK272" s="108">
        <v>942</v>
      </c>
      <c r="AL272" s="108">
        <v>243</v>
      </c>
      <c r="AM272" s="108">
        <v>4669</v>
      </c>
      <c r="AN272" s="108">
        <f t="shared" si="17"/>
        <v>296</v>
      </c>
      <c r="AO272" s="108">
        <f t="shared" si="18"/>
        <v>5611</v>
      </c>
      <c r="AP272" s="110">
        <f t="shared" si="16"/>
        <v>18.956081081081081</v>
      </c>
      <c r="AQ272" s="110">
        <f t="shared" si="19"/>
        <v>0.41569121351311306</v>
      </c>
      <c r="AR272" s="108">
        <v>21</v>
      </c>
      <c r="AS272" s="108">
        <v>456</v>
      </c>
      <c r="AT272" s="108">
        <v>13498</v>
      </c>
    </row>
    <row r="273" spans="1:46" ht="13.5" thickBot="1" x14ac:dyDescent="0.25">
      <c r="A273" s="48" t="s">
        <v>482</v>
      </c>
      <c r="B273" s="47" t="s">
        <v>481</v>
      </c>
      <c r="C273" s="48" t="s">
        <v>22</v>
      </c>
      <c r="D273" s="48" t="s">
        <v>1648</v>
      </c>
      <c r="E273" s="48" t="s">
        <v>1649</v>
      </c>
      <c r="F273" s="108">
        <v>240</v>
      </c>
      <c r="G273" s="108">
        <v>2444</v>
      </c>
      <c r="H273" s="108">
        <v>108</v>
      </c>
      <c r="I273" s="108">
        <v>1045</v>
      </c>
      <c r="J273" s="108">
        <v>42</v>
      </c>
      <c r="K273" s="108">
        <v>192</v>
      </c>
      <c r="L273" s="108">
        <v>3</v>
      </c>
      <c r="M273" s="108">
        <v>22</v>
      </c>
      <c r="N273" s="108">
        <v>1012</v>
      </c>
      <c r="O273" s="108">
        <v>491</v>
      </c>
      <c r="P273" s="108">
        <v>1503</v>
      </c>
      <c r="Q273" s="108">
        <v>14</v>
      </c>
      <c r="R273" s="108">
        <v>109</v>
      </c>
      <c r="S273" s="108">
        <v>282</v>
      </c>
      <c r="T273" s="108">
        <v>2636</v>
      </c>
      <c r="U273" s="109" t="s">
        <v>1648</v>
      </c>
      <c r="V273" s="108">
        <v>117</v>
      </c>
      <c r="W273" s="108">
        <v>1400</v>
      </c>
      <c r="X273" s="108">
        <v>6</v>
      </c>
      <c r="Y273" s="108">
        <v>57</v>
      </c>
      <c r="Z273" s="108">
        <v>111</v>
      </c>
      <c r="AA273" s="108">
        <v>1067</v>
      </c>
      <c r="AB273" s="108">
        <v>15</v>
      </c>
      <c r="AC273" s="108">
        <v>109</v>
      </c>
      <c r="AD273" s="108">
        <v>210</v>
      </c>
      <c r="AE273" s="108">
        <v>2183</v>
      </c>
      <c r="AF273" s="108">
        <v>0</v>
      </c>
      <c r="AG273" s="108">
        <v>0</v>
      </c>
      <c r="AH273" s="108">
        <v>0</v>
      </c>
      <c r="AI273" s="108">
        <v>0</v>
      </c>
      <c r="AJ273" s="108">
        <v>35</v>
      </c>
      <c r="AK273" s="108">
        <v>275</v>
      </c>
      <c r="AL273" s="108">
        <v>603</v>
      </c>
      <c r="AM273" s="108">
        <v>5886</v>
      </c>
      <c r="AN273" s="108">
        <f t="shared" si="17"/>
        <v>638</v>
      </c>
      <c r="AO273" s="108">
        <f t="shared" si="18"/>
        <v>6161</v>
      </c>
      <c r="AP273" s="110">
        <f t="shared" si="16"/>
        <v>9.6567398119122263</v>
      </c>
      <c r="AQ273" s="110">
        <f t="shared" si="19"/>
        <v>0.41216216216216217</v>
      </c>
      <c r="AR273" s="108">
        <v>22</v>
      </c>
      <c r="AS273" s="108">
        <v>3012</v>
      </c>
      <c r="AT273" s="108">
        <v>14948</v>
      </c>
    </row>
    <row r="274" spans="1:46" ht="13.5" thickBot="1" x14ac:dyDescent="0.25">
      <c r="A274" s="48" t="s">
        <v>580</v>
      </c>
      <c r="B274" s="47" t="s">
        <v>579</v>
      </c>
      <c r="C274" s="48" t="s">
        <v>22</v>
      </c>
      <c r="D274" s="48" t="s">
        <v>1648</v>
      </c>
      <c r="E274" s="48" t="s">
        <v>1649</v>
      </c>
      <c r="F274" s="108">
        <v>245</v>
      </c>
      <c r="G274" s="108">
        <v>3125</v>
      </c>
      <c r="H274" s="108">
        <v>42</v>
      </c>
      <c r="I274" s="108">
        <v>703</v>
      </c>
      <c r="J274" s="108">
        <v>79</v>
      </c>
      <c r="K274" s="108">
        <v>806</v>
      </c>
      <c r="L274" s="108">
        <v>27</v>
      </c>
      <c r="M274" s="108">
        <v>208</v>
      </c>
      <c r="N274" s="108">
        <v>472</v>
      </c>
      <c r="O274" s="108">
        <v>158</v>
      </c>
      <c r="P274" s="108">
        <v>630</v>
      </c>
      <c r="Q274" s="108">
        <v>2</v>
      </c>
      <c r="R274" s="108">
        <v>22</v>
      </c>
      <c r="S274" s="108">
        <v>324</v>
      </c>
      <c r="T274" s="108">
        <v>3931</v>
      </c>
      <c r="U274" s="109" t="s">
        <v>1648</v>
      </c>
      <c r="V274" s="108">
        <v>171</v>
      </c>
      <c r="W274" s="108">
        <v>1974</v>
      </c>
      <c r="X274" s="108">
        <v>25</v>
      </c>
      <c r="Y274" s="108">
        <v>178</v>
      </c>
      <c r="Z274" s="108">
        <v>69</v>
      </c>
      <c r="AA274" s="108">
        <v>911</v>
      </c>
      <c r="AB274" s="108">
        <v>6</v>
      </c>
      <c r="AC274" s="108">
        <v>34</v>
      </c>
      <c r="AD274" s="108">
        <v>271</v>
      </c>
      <c r="AE274" s="108">
        <v>5799</v>
      </c>
      <c r="AF274" s="108">
        <v>4</v>
      </c>
      <c r="AG274" s="108">
        <v>32</v>
      </c>
      <c r="AH274" s="108">
        <v>17</v>
      </c>
      <c r="AI274" s="108">
        <v>1637</v>
      </c>
      <c r="AJ274" s="108">
        <v>37</v>
      </c>
      <c r="AK274" s="108">
        <v>266</v>
      </c>
      <c r="AL274" s="108">
        <v>681</v>
      </c>
      <c r="AM274" s="108">
        <v>12278</v>
      </c>
      <c r="AN274" s="108">
        <f t="shared" si="17"/>
        <v>718</v>
      </c>
      <c r="AO274" s="108">
        <f t="shared" si="18"/>
        <v>12544</v>
      </c>
      <c r="AP274" s="110">
        <f t="shared" si="16"/>
        <v>17.470752089136489</v>
      </c>
      <c r="AQ274" s="110">
        <f t="shared" si="19"/>
        <v>0.75073313782991202</v>
      </c>
      <c r="AR274" s="108">
        <v>25</v>
      </c>
      <c r="AS274" s="108">
        <v>1535</v>
      </c>
      <c r="AT274" s="108">
        <v>16709</v>
      </c>
    </row>
    <row r="275" spans="1:46" ht="13.5" thickBot="1" x14ac:dyDescent="0.25">
      <c r="A275" s="48" t="s">
        <v>706</v>
      </c>
      <c r="B275" s="47" t="s">
        <v>705</v>
      </c>
      <c r="C275" s="48" t="s">
        <v>22</v>
      </c>
      <c r="D275" s="48" t="s">
        <v>1648</v>
      </c>
      <c r="E275" s="48" t="s">
        <v>1648</v>
      </c>
      <c r="F275" s="108">
        <v>60</v>
      </c>
      <c r="G275" s="108">
        <v>594</v>
      </c>
      <c r="H275" s="108">
        <v>1</v>
      </c>
      <c r="I275" s="108">
        <v>6</v>
      </c>
      <c r="J275" s="108">
        <v>19</v>
      </c>
      <c r="K275" s="108">
        <v>184</v>
      </c>
      <c r="L275" s="108">
        <v>8</v>
      </c>
      <c r="M275" s="108">
        <v>25</v>
      </c>
      <c r="N275" s="108">
        <v>29</v>
      </c>
      <c r="O275" s="108">
        <v>11</v>
      </c>
      <c r="P275" s="108">
        <v>40</v>
      </c>
      <c r="Q275" s="108">
        <v>1</v>
      </c>
      <c r="R275" s="108">
        <v>61</v>
      </c>
      <c r="S275" s="108">
        <v>79</v>
      </c>
      <c r="T275" s="108">
        <v>778</v>
      </c>
      <c r="U275" s="109" t="s">
        <v>1648</v>
      </c>
      <c r="V275" s="108">
        <v>47</v>
      </c>
      <c r="W275" s="108">
        <v>233</v>
      </c>
      <c r="X275" s="108">
        <v>11</v>
      </c>
      <c r="Y275" s="108">
        <v>39</v>
      </c>
      <c r="Z275" s="108">
        <v>9</v>
      </c>
      <c r="AA275" s="108">
        <v>31</v>
      </c>
      <c r="AB275" s="108">
        <v>1</v>
      </c>
      <c r="AC275" s="108">
        <v>17</v>
      </c>
      <c r="AD275" s="108">
        <v>10</v>
      </c>
      <c r="AE275" s="108">
        <v>73</v>
      </c>
      <c r="AF275" s="108">
        <v>0</v>
      </c>
      <c r="AG275" s="108">
        <v>0</v>
      </c>
      <c r="AH275" s="108">
        <v>0</v>
      </c>
      <c r="AI275" s="108">
        <v>0</v>
      </c>
      <c r="AJ275" s="108">
        <v>13</v>
      </c>
      <c r="AK275" s="108">
        <v>117</v>
      </c>
      <c r="AL275" s="108">
        <v>98</v>
      </c>
      <c r="AM275" s="108">
        <v>882</v>
      </c>
      <c r="AN275" s="108">
        <f t="shared" si="17"/>
        <v>111</v>
      </c>
      <c r="AO275" s="108">
        <f t="shared" si="18"/>
        <v>999</v>
      </c>
      <c r="AP275" s="110">
        <f t="shared" si="16"/>
        <v>9</v>
      </c>
      <c r="AQ275" s="110">
        <f t="shared" si="19"/>
        <v>7.166427546628408E-2</v>
      </c>
      <c r="AR275" s="108">
        <v>26</v>
      </c>
      <c r="AS275" s="108">
        <v>1850</v>
      </c>
      <c r="AT275" s="108">
        <v>13940</v>
      </c>
    </row>
    <row r="276" spans="1:46" ht="13.5" thickBot="1" x14ac:dyDescent="0.25">
      <c r="A276" s="48" t="s">
        <v>368</v>
      </c>
      <c r="B276" s="47" t="s">
        <v>367</v>
      </c>
      <c r="C276" s="48" t="s">
        <v>22</v>
      </c>
      <c r="D276" s="48" t="s">
        <v>1648</v>
      </c>
      <c r="E276" s="48" t="s">
        <v>1648</v>
      </c>
      <c r="F276" s="108">
        <v>121</v>
      </c>
      <c r="G276" s="108">
        <v>2988</v>
      </c>
      <c r="H276" s="108">
        <v>0</v>
      </c>
      <c r="I276" s="108">
        <v>0</v>
      </c>
      <c r="J276" s="108">
        <v>11</v>
      </c>
      <c r="K276" s="108">
        <v>411</v>
      </c>
      <c r="L276" s="108">
        <v>0</v>
      </c>
      <c r="M276" s="108">
        <v>0</v>
      </c>
      <c r="N276" s="108">
        <v>170</v>
      </c>
      <c r="O276" s="108">
        <v>0</v>
      </c>
      <c r="P276" s="108">
        <v>170</v>
      </c>
      <c r="Q276" s="108">
        <v>1</v>
      </c>
      <c r="R276" s="108">
        <v>3</v>
      </c>
      <c r="S276" s="108">
        <v>132</v>
      </c>
      <c r="T276" s="108">
        <v>3399</v>
      </c>
      <c r="U276" s="109" t="s">
        <v>1648</v>
      </c>
      <c r="V276" s="108">
        <v>29</v>
      </c>
      <c r="W276" s="108">
        <v>233</v>
      </c>
      <c r="X276" s="108">
        <v>0</v>
      </c>
      <c r="Y276" s="108">
        <v>0</v>
      </c>
      <c r="Z276" s="108">
        <v>0</v>
      </c>
      <c r="AA276" s="108">
        <v>0</v>
      </c>
      <c r="AB276" s="108">
        <v>3</v>
      </c>
      <c r="AC276" s="108">
        <v>25</v>
      </c>
      <c r="AD276" s="108">
        <v>98</v>
      </c>
      <c r="AE276" s="108">
        <v>1036</v>
      </c>
      <c r="AF276" s="108">
        <v>0</v>
      </c>
      <c r="AG276" s="108">
        <v>0</v>
      </c>
      <c r="AH276" s="109">
        <v>0</v>
      </c>
      <c r="AI276" s="109">
        <v>0</v>
      </c>
      <c r="AJ276" s="108">
        <v>4</v>
      </c>
      <c r="AK276" s="108">
        <v>28</v>
      </c>
      <c r="AL276" s="108">
        <v>230</v>
      </c>
      <c r="AM276" s="108">
        <v>4435</v>
      </c>
      <c r="AN276" s="108">
        <f t="shared" si="17"/>
        <v>234</v>
      </c>
      <c r="AO276" s="108">
        <f t="shared" si="18"/>
        <v>4463</v>
      </c>
      <c r="AP276" s="110">
        <f t="shared" si="16"/>
        <v>19.072649572649574</v>
      </c>
      <c r="AQ276" s="110">
        <f t="shared" si="19"/>
        <v>0.29128051168254798</v>
      </c>
      <c r="AR276" s="108">
        <v>29</v>
      </c>
      <c r="AS276" s="108">
        <v>8541</v>
      </c>
      <c r="AT276" s="108">
        <v>15322</v>
      </c>
    </row>
    <row r="277" spans="1:46" ht="13.5" thickBot="1" x14ac:dyDescent="0.25">
      <c r="A277" s="48" t="s">
        <v>786</v>
      </c>
      <c r="B277" s="47" t="s">
        <v>785</v>
      </c>
      <c r="C277" s="48" t="s">
        <v>22</v>
      </c>
      <c r="D277" s="48" t="s">
        <v>1648</v>
      </c>
      <c r="E277" s="48" t="s">
        <v>1648</v>
      </c>
      <c r="F277" s="108">
        <v>49</v>
      </c>
      <c r="G277" s="108">
        <v>410</v>
      </c>
      <c r="H277" s="108">
        <v>7</v>
      </c>
      <c r="I277" s="108">
        <v>11</v>
      </c>
      <c r="J277" s="108">
        <v>5</v>
      </c>
      <c r="K277" s="108">
        <v>112</v>
      </c>
      <c r="L277" s="108">
        <v>5</v>
      </c>
      <c r="M277" s="108">
        <v>15</v>
      </c>
      <c r="N277" s="108">
        <v>30</v>
      </c>
      <c r="O277" s="108">
        <v>14</v>
      </c>
      <c r="P277" s="108">
        <v>44</v>
      </c>
      <c r="Q277" s="108">
        <v>3</v>
      </c>
      <c r="R277" s="108">
        <v>12</v>
      </c>
      <c r="S277" s="108">
        <v>54</v>
      </c>
      <c r="T277" s="108">
        <v>522</v>
      </c>
      <c r="U277" s="109" t="s">
        <v>1649</v>
      </c>
      <c r="V277" s="108">
        <v>0</v>
      </c>
      <c r="W277" s="108">
        <v>0</v>
      </c>
      <c r="X277" s="108">
        <v>4</v>
      </c>
      <c r="Y277" s="108">
        <v>0</v>
      </c>
      <c r="Z277" s="108">
        <v>12</v>
      </c>
      <c r="AA277" s="108">
        <v>26</v>
      </c>
      <c r="AB277" s="108">
        <v>11</v>
      </c>
      <c r="AC277" s="108">
        <v>94</v>
      </c>
      <c r="AD277" s="108">
        <v>33</v>
      </c>
      <c r="AE277" s="108">
        <v>278</v>
      </c>
      <c r="AF277" s="108">
        <v>0</v>
      </c>
      <c r="AG277" s="108">
        <v>0</v>
      </c>
      <c r="AH277" s="108">
        <v>0</v>
      </c>
      <c r="AI277" s="108">
        <v>0</v>
      </c>
      <c r="AJ277" s="108">
        <v>18</v>
      </c>
      <c r="AK277" s="108">
        <v>106</v>
      </c>
      <c r="AL277" s="108">
        <v>99</v>
      </c>
      <c r="AM277" s="108">
        <v>826</v>
      </c>
      <c r="AN277" s="108">
        <f t="shared" si="17"/>
        <v>117</v>
      </c>
      <c r="AO277" s="108">
        <f t="shared" si="18"/>
        <v>932</v>
      </c>
      <c r="AP277" s="110">
        <f t="shared" si="16"/>
        <v>7.9658119658119659</v>
      </c>
      <c r="AQ277" s="110">
        <f t="shared" si="19"/>
        <v>5.2975615301540387E-2</v>
      </c>
      <c r="AR277" s="108">
        <v>34</v>
      </c>
      <c r="AS277" s="108">
        <v>312</v>
      </c>
      <c r="AT277" s="108">
        <v>17593</v>
      </c>
    </row>
    <row r="278" spans="1:46" ht="13.5" thickBot="1" x14ac:dyDescent="0.25">
      <c r="A278" s="48" t="s">
        <v>312</v>
      </c>
      <c r="B278" s="47" t="s">
        <v>311</v>
      </c>
      <c r="C278" s="48" t="s">
        <v>22</v>
      </c>
      <c r="D278" s="48" t="s">
        <v>1649</v>
      </c>
      <c r="E278" s="48" t="s">
        <v>1648</v>
      </c>
      <c r="F278" s="108">
        <v>217</v>
      </c>
      <c r="G278" s="108">
        <v>4717</v>
      </c>
      <c r="H278" s="108">
        <v>3</v>
      </c>
      <c r="I278" s="108">
        <v>161</v>
      </c>
      <c r="J278" s="108">
        <v>7</v>
      </c>
      <c r="K278" s="108">
        <v>613</v>
      </c>
      <c r="L278" s="108">
        <v>1</v>
      </c>
      <c r="M278" s="108">
        <v>25</v>
      </c>
      <c r="N278" s="108">
        <v>647</v>
      </c>
      <c r="O278" s="108">
        <v>0</v>
      </c>
      <c r="P278" s="108">
        <v>647</v>
      </c>
      <c r="Q278" s="108">
        <v>0</v>
      </c>
      <c r="R278" s="108">
        <v>0</v>
      </c>
      <c r="S278" s="108">
        <v>224</v>
      </c>
      <c r="T278" s="108">
        <v>5330</v>
      </c>
      <c r="U278" s="109" t="s">
        <v>1648</v>
      </c>
      <c r="V278" s="108">
        <v>0</v>
      </c>
      <c r="W278" s="108">
        <v>0</v>
      </c>
      <c r="X278" s="108">
        <v>0</v>
      </c>
      <c r="Y278" s="108">
        <v>0</v>
      </c>
      <c r="Z278" s="108">
        <v>4</v>
      </c>
      <c r="AA278" s="108">
        <v>186</v>
      </c>
      <c r="AB278" s="108">
        <v>0</v>
      </c>
      <c r="AC278" s="108">
        <v>0</v>
      </c>
      <c r="AD278" s="108">
        <v>39</v>
      </c>
      <c r="AE278" s="108">
        <v>578</v>
      </c>
      <c r="AF278" s="108">
        <v>0</v>
      </c>
      <c r="AG278" s="108">
        <v>0</v>
      </c>
      <c r="AH278" s="108">
        <v>0</v>
      </c>
      <c r="AI278" s="108">
        <v>0</v>
      </c>
      <c r="AJ278" s="108">
        <v>0</v>
      </c>
      <c r="AK278" s="108">
        <v>0</v>
      </c>
      <c r="AL278" s="108">
        <v>267</v>
      </c>
      <c r="AM278" s="108">
        <v>6094</v>
      </c>
      <c r="AN278" s="108">
        <f t="shared" si="17"/>
        <v>267</v>
      </c>
      <c r="AO278" s="108">
        <f t="shared" si="18"/>
        <v>6094</v>
      </c>
      <c r="AP278" s="110">
        <f t="shared" si="16"/>
        <v>22.823970037453183</v>
      </c>
      <c r="AQ278" s="110">
        <f t="shared" si="19"/>
        <v>0.23719445741865172</v>
      </c>
      <c r="AR278" s="108">
        <v>38</v>
      </c>
      <c r="AS278" s="108">
        <v>19409</v>
      </c>
      <c r="AT278" s="108">
        <v>25692</v>
      </c>
    </row>
    <row r="279" spans="1:46" ht="13.5" thickBot="1" x14ac:dyDescent="0.25">
      <c r="A279" s="48" t="s">
        <v>244</v>
      </c>
      <c r="B279" s="47" t="s">
        <v>243</v>
      </c>
      <c r="C279" s="48" t="s">
        <v>22</v>
      </c>
      <c r="D279" s="48" t="s">
        <v>1648</v>
      </c>
      <c r="E279" s="48" t="s">
        <v>1648</v>
      </c>
      <c r="F279" s="108">
        <v>30</v>
      </c>
      <c r="G279" s="108">
        <v>678</v>
      </c>
      <c r="H279" s="108">
        <v>19</v>
      </c>
      <c r="I279" s="108">
        <v>101</v>
      </c>
      <c r="J279" s="108">
        <v>22</v>
      </c>
      <c r="K279" s="108">
        <v>757</v>
      </c>
      <c r="L279" s="108">
        <v>4</v>
      </c>
      <c r="M279" s="108">
        <v>28</v>
      </c>
      <c r="N279" s="108">
        <v>240</v>
      </c>
      <c r="O279" s="108">
        <v>79</v>
      </c>
      <c r="P279" s="108">
        <v>319</v>
      </c>
      <c r="Q279" s="108">
        <v>14</v>
      </c>
      <c r="R279" s="108">
        <v>49</v>
      </c>
      <c r="S279" s="108">
        <v>52</v>
      </c>
      <c r="T279" s="108">
        <v>1435</v>
      </c>
      <c r="U279" s="109" t="s">
        <v>1648</v>
      </c>
      <c r="V279" s="108">
        <v>30</v>
      </c>
      <c r="W279" s="108">
        <v>678</v>
      </c>
      <c r="X279" s="108">
        <v>1</v>
      </c>
      <c r="Y279" s="108">
        <v>2</v>
      </c>
      <c r="Z279" s="108">
        <v>23</v>
      </c>
      <c r="AA279" s="108">
        <v>129</v>
      </c>
      <c r="AB279" s="108">
        <v>26</v>
      </c>
      <c r="AC279" s="108">
        <v>29</v>
      </c>
      <c r="AD279" s="108">
        <v>107</v>
      </c>
      <c r="AE279" s="108">
        <v>1017</v>
      </c>
      <c r="AF279" s="108">
        <v>6</v>
      </c>
      <c r="AG279" s="108">
        <v>11</v>
      </c>
      <c r="AH279" s="108">
        <v>24</v>
      </c>
      <c r="AI279" s="108">
        <v>1816</v>
      </c>
      <c r="AJ279" s="108">
        <v>47</v>
      </c>
      <c r="AK279" s="108">
        <v>91</v>
      </c>
      <c r="AL279" s="108">
        <v>206</v>
      </c>
      <c r="AM279" s="108">
        <v>4397</v>
      </c>
      <c r="AN279" s="108">
        <f t="shared" si="17"/>
        <v>253</v>
      </c>
      <c r="AO279" s="108">
        <f t="shared" si="18"/>
        <v>4488</v>
      </c>
      <c r="AP279" s="110">
        <f t="shared" si="16"/>
        <v>17.739130434782609</v>
      </c>
      <c r="AQ279" s="110">
        <f t="shared" si="19"/>
        <v>0.35422257300710341</v>
      </c>
      <c r="AR279" s="108">
        <v>41</v>
      </c>
      <c r="AS279" s="108">
        <v>687</v>
      </c>
      <c r="AT279" s="108">
        <v>12670</v>
      </c>
    </row>
    <row r="280" spans="1:46" ht="13.5" thickBot="1" x14ac:dyDescent="0.25">
      <c r="A280" s="48" t="s">
        <v>162</v>
      </c>
      <c r="B280" s="47" t="s">
        <v>161</v>
      </c>
      <c r="C280" s="48" t="s">
        <v>22</v>
      </c>
      <c r="D280" s="48" t="s">
        <v>1648</v>
      </c>
      <c r="E280" s="48" t="s">
        <v>1648</v>
      </c>
      <c r="F280" s="108">
        <v>80</v>
      </c>
      <c r="G280" s="108">
        <v>1267</v>
      </c>
      <c r="H280" s="108">
        <v>33</v>
      </c>
      <c r="I280" s="108">
        <v>176</v>
      </c>
      <c r="J280" s="108">
        <v>28</v>
      </c>
      <c r="K280" s="108">
        <v>819</v>
      </c>
      <c r="L280" s="108">
        <v>6</v>
      </c>
      <c r="M280" s="108">
        <v>30</v>
      </c>
      <c r="N280" s="108">
        <v>341</v>
      </c>
      <c r="O280" s="108">
        <v>92</v>
      </c>
      <c r="P280" s="108">
        <v>433</v>
      </c>
      <c r="Q280" s="108">
        <v>29</v>
      </c>
      <c r="R280" s="108">
        <v>190</v>
      </c>
      <c r="S280" s="108">
        <v>108</v>
      </c>
      <c r="T280" s="108">
        <v>2086</v>
      </c>
      <c r="U280" s="109" t="s">
        <v>1648</v>
      </c>
      <c r="V280" s="108">
        <v>108</v>
      </c>
      <c r="W280" s="108">
        <v>2086</v>
      </c>
      <c r="X280" s="108">
        <v>7</v>
      </c>
      <c r="Y280" s="108">
        <v>29</v>
      </c>
      <c r="Z280" s="108">
        <v>39</v>
      </c>
      <c r="AA280" s="108">
        <v>206</v>
      </c>
      <c r="AB280" s="108">
        <v>0</v>
      </c>
      <c r="AC280" s="108">
        <v>0</v>
      </c>
      <c r="AD280" s="108">
        <v>29</v>
      </c>
      <c r="AE280" s="108">
        <v>280</v>
      </c>
      <c r="AF280" s="108">
        <v>13</v>
      </c>
      <c r="AG280" s="108">
        <v>169</v>
      </c>
      <c r="AH280" s="108">
        <v>13</v>
      </c>
      <c r="AI280" s="108">
        <v>169</v>
      </c>
      <c r="AJ280" s="108">
        <v>49</v>
      </c>
      <c r="AK280" s="108">
        <v>388</v>
      </c>
      <c r="AL280" s="108">
        <v>189</v>
      </c>
      <c r="AM280" s="108">
        <v>2741</v>
      </c>
      <c r="AN280" s="108">
        <f t="shared" si="17"/>
        <v>238</v>
      </c>
      <c r="AO280" s="108">
        <f t="shared" si="18"/>
        <v>3129</v>
      </c>
      <c r="AP280" s="110">
        <f t="shared" si="16"/>
        <v>13.147058823529411</v>
      </c>
      <c r="AQ280" s="110">
        <f t="shared" si="19"/>
        <v>0.12839556832170701</v>
      </c>
      <c r="AR280" s="108">
        <v>43</v>
      </c>
      <c r="AS280" s="108">
        <v>2150</v>
      </c>
      <c r="AT280" s="108">
        <v>24370</v>
      </c>
    </row>
    <row r="281" spans="1:46" ht="13.5" thickBot="1" x14ac:dyDescent="0.25">
      <c r="A281" s="48" t="s">
        <v>348</v>
      </c>
      <c r="B281" s="47" t="s">
        <v>347</v>
      </c>
      <c r="C281" s="48" t="s">
        <v>22</v>
      </c>
      <c r="D281" s="48" t="s">
        <v>1648</v>
      </c>
      <c r="E281" s="48" t="s">
        <v>1648</v>
      </c>
      <c r="F281" s="108">
        <v>77</v>
      </c>
      <c r="G281" s="108">
        <v>1297</v>
      </c>
      <c r="H281" s="108">
        <v>39</v>
      </c>
      <c r="I281" s="108">
        <v>641</v>
      </c>
      <c r="J281" s="108">
        <v>7</v>
      </c>
      <c r="K281" s="108">
        <v>446</v>
      </c>
      <c r="L281" s="108">
        <v>4</v>
      </c>
      <c r="M281" s="108">
        <v>54</v>
      </c>
      <c r="N281" s="108">
        <v>76</v>
      </c>
      <c r="O281" s="108">
        <v>47</v>
      </c>
      <c r="P281" s="108">
        <v>123</v>
      </c>
      <c r="Q281" s="108">
        <v>35</v>
      </c>
      <c r="R281" s="108">
        <v>346</v>
      </c>
      <c r="S281" s="108">
        <v>84</v>
      </c>
      <c r="T281" s="108">
        <v>1743</v>
      </c>
      <c r="U281" s="109" t="s">
        <v>1648</v>
      </c>
      <c r="V281" s="108">
        <v>63</v>
      </c>
      <c r="W281" s="108">
        <v>955</v>
      </c>
      <c r="X281" s="108">
        <v>0</v>
      </c>
      <c r="Y281" s="108">
        <v>0</v>
      </c>
      <c r="Z281" s="108">
        <v>43</v>
      </c>
      <c r="AA281" s="108">
        <v>695</v>
      </c>
      <c r="AB281" s="108">
        <v>5</v>
      </c>
      <c r="AC281" s="108">
        <v>35</v>
      </c>
      <c r="AD281" s="108">
        <v>84</v>
      </c>
      <c r="AE281" s="108">
        <v>1665</v>
      </c>
      <c r="AF281" s="108">
        <v>3</v>
      </c>
      <c r="AG281" s="108">
        <v>56</v>
      </c>
      <c r="AH281" s="108">
        <v>25</v>
      </c>
      <c r="AI281" s="108">
        <v>984</v>
      </c>
      <c r="AJ281" s="108">
        <v>43</v>
      </c>
      <c r="AK281" s="108">
        <v>437</v>
      </c>
      <c r="AL281" s="108">
        <v>236</v>
      </c>
      <c r="AM281" s="108">
        <v>5087</v>
      </c>
      <c r="AN281" s="108">
        <f t="shared" si="17"/>
        <v>279</v>
      </c>
      <c r="AO281" s="108">
        <f t="shared" si="18"/>
        <v>5524</v>
      </c>
      <c r="AP281" s="110">
        <f t="shared" si="16"/>
        <v>19.799283154121863</v>
      </c>
      <c r="AQ281" s="110">
        <f t="shared" si="19"/>
        <v>0.3363780294726586</v>
      </c>
      <c r="AR281" s="108">
        <v>43</v>
      </c>
      <c r="AS281" s="108">
        <v>437</v>
      </c>
      <c r="AT281" s="108">
        <v>16422</v>
      </c>
    </row>
    <row r="282" spans="1:46" ht="13.5" thickBot="1" x14ac:dyDescent="0.25">
      <c r="A282" s="48" t="s">
        <v>234</v>
      </c>
      <c r="B282" s="47" t="s">
        <v>233</v>
      </c>
      <c r="C282" s="48" t="s">
        <v>22</v>
      </c>
      <c r="D282" s="48" t="s">
        <v>1648</v>
      </c>
      <c r="E282" s="48" t="s">
        <v>1648</v>
      </c>
      <c r="F282" s="108">
        <v>53</v>
      </c>
      <c r="G282" s="108">
        <v>596</v>
      </c>
      <c r="H282" s="108">
        <v>19</v>
      </c>
      <c r="I282" s="108">
        <v>94</v>
      </c>
      <c r="J282" s="108">
        <v>0</v>
      </c>
      <c r="K282" s="108">
        <v>0</v>
      </c>
      <c r="L282" s="108">
        <v>0</v>
      </c>
      <c r="M282" s="108">
        <v>0</v>
      </c>
      <c r="N282" s="108">
        <v>6</v>
      </c>
      <c r="O282" s="108">
        <v>2</v>
      </c>
      <c r="P282" s="108">
        <v>8</v>
      </c>
      <c r="Q282" s="108">
        <v>25</v>
      </c>
      <c r="R282" s="108">
        <v>229</v>
      </c>
      <c r="S282" s="108">
        <v>53</v>
      </c>
      <c r="T282" s="108">
        <v>596</v>
      </c>
      <c r="U282" s="109" t="s">
        <v>1648</v>
      </c>
      <c r="V282" s="108">
        <v>50</v>
      </c>
      <c r="W282" s="108">
        <v>557</v>
      </c>
      <c r="X282" s="108">
        <v>0</v>
      </c>
      <c r="Y282" s="108">
        <v>0</v>
      </c>
      <c r="Z282" s="108">
        <v>19</v>
      </c>
      <c r="AA282" s="108">
        <v>94</v>
      </c>
      <c r="AB282" s="108">
        <v>5</v>
      </c>
      <c r="AC282" s="108">
        <v>13</v>
      </c>
      <c r="AD282" s="108">
        <v>14</v>
      </c>
      <c r="AE282" s="108">
        <v>45</v>
      </c>
      <c r="AF282" s="108">
        <v>0</v>
      </c>
      <c r="AG282" s="108">
        <v>0</v>
      </c>
      <c r="AH282" s="108">
        <v>6</v>
      </c>
      <c r="AI282" s="108">
        <v>203</v>
      </c>
      <c r="AJ282" s="108">
        <v>30</v>
      </c>
      <c r="AK282" s="108">
        <v>242</v>
      </c>
      <c r="AL282" s="108">
        <v>92</v>
      </c>
      <c r="AM282" s="108">
        <v>938</v>
      </c>
      <c r="AN282" s="108">
        <f t="shared" si="17"/>
        <v>122</v>
      </c>
      <c r="AO282" s="108">
        <f t="shared" si="18"/>
        <v>1180</v>
      </c>
      <c r="AP282" s="110">
        <f t="shared" si="16"/>
        <v>9.6721311475409841</v>
      </c>
      <c r="AQ282" s="110">
        <f t="shared" si="19"/>
        <v>8.8681797685254776E-2</v>
      </c>
      <c r="AR282" s="108">
        <v>52</v>
      </c>
      <c r="AS282" s="108">
        <v>2259</v>
      </c>
      <c r="AT282" s="108">
        <v>13306</v>
      </c>
    </row>
    <row r="283" spans="1:46" ht="13.5" thickBot="1" x14ac:dyDescent="0.25">
      <c r="A283" s="48" t="s">
        <v>458</v>
      </c>
      <c r="B283" s="47" t="s">
        <v>457</v>
      </c>
      <c r="C283" s="48" t="s">
        <v>22</v>
      </c>
      <c r="D283" s="48" t="s">
        <v>1648</v>
      </c>
      <c r="E283" s="48" t="s">
        <v>1648</v>
      </c>
      <c r="F283" s="108">
        <v>179</v>
      </c>
      <c r="G283" s="108">
        <v>3933</v>
      </c>
      <c r="H283" s="108">
        <v>7</v>
      </c>
      <c r="I283" s="108">
        <v>50</v>
      </c>
      <c r="J283" s="108">
        <v>53</v>
      </c>
      <c r="K283" s="108">
        <v>2845</v>
      </c>
      <c r="L283" s="108">
        <v>0</v>
      </c>
      <c r="M283" s="108">
        <v>0</v>
      </c>
      <c r="N283" s="108">
        <v>101</v>
      </c>
      <c r="O283" s="108">
        <v>30</v>
      </c>
      <c r="P283" s="108">
        <v>131</v>
      </c>
      <c r="Q283" s="108">
        <v>38</v>
      </c>
      <c r="R283" s="108">
        <v>461</v>
      </c>
      <c r="S283" s="108">
        <v>232</v>
      </c>
      <c r="T283" s="108">
        <v>6778</v>
      </c>
      <c r="U283" s="109" t="s">
        <v>1648</v>
      </c>
      <c r="V283" s="108">
        <v>98</v>
      </c>
      <c r="W283" s="108">
        <v>1263</v>
      </c>
      <c r="X283" s="108">
        <v>0</v>
      </c>
      <c r="Y283" s="108">
        <v>0</v>
      </c>
      <c r="Z283" s="108">
        <v>7</v>
      </c>
      <c r="AA283" s="108">
        <v>50</v>
      </c>
      <c r="AB283" s="108">
        <v>5</v>
      </c>
      <c r="AC283" s="108">
        <v>29</v>
      </c>
      <c r="AD283" s="108">
        <v>43</v>
      </c>
      <c r="AE283" s="108">
        <v>344</v>
      </c>
      <c r="AF283" s="108">
        <v>0</v>
      </c>
      <c r="AG283" s="108">
        <v>0</v>
      </c>
      <c r="AH283" s="108">
        <v>12</v>
      </c>
      <c r="AI283" s="108">
        <v>613</v>
      </c>
      <c r="AJ283" s="108">
        <v>43</v>
      </c>
      <c r="AK283" s="108">
        <v>490</v>
      </c>
      <c r="AL283" s="108">
        <v>294</v>
      </c>
      <c r="AM283" s="108">
        <v>7785</v>
      </c>
      <c r="AN283" s="108">
        <f t="shared" si="17"/>
        <v>337</v>
      </c>
      <c r="AO283" s="108">
        <f t="shared" si="18"/>
        <v>8275</v>
      </c>
      <c r="AP283" s="110">
        <f t="shared" si="16"/>
        <v>24.554896142433236</v>
      </c>
      <c r="AQ283" s="110">
        <f t="shared" si="19"/>
        <v>0.6151501635444544</v>
      </c>
      <c r="AR283" s="108">
        <v>53</v>
      </c>
      <c r="AS283" s="108">
        <v>4976</v>
      </c>
      <c r="AT283" s="108">
        <v>13452</v>
      </c>
    </row>
    <row r="284" spans="1:46" ht="13.5" thickBot="1" x14ac:dyDescent="0.25">
      <c r="A284" s="48" t="s">
        <v>558</v>
      </c>
      <c r="B284" s="47" t="s">
        <v>557</v>
      </c>
      <c r="C284" s="48" t="s">
        <v>22</v>
      </c>
      <c r="D284" s="48" t="s">
        <v>1648</v>
      </c>
      <c r="E284" s="48" t="s">
        <v>1648</v>
      </c>
      <c r="F284" s="108">
        <v>188</v>
      </c>
      <c r="G284" s="108">
        <v>7575</v>
      </c>
      <c r="H284" s="108">
        <v>78</v>
      </c>
      <c r="I284" s="108">
        <v>816</v>
      </c>
      <c r="J284" s="108">
        <v>46</v>
      </c>
      <c r="K284" s="108">
        <v>1848</v>
      </c>
      <c r="L284" s="108">
        <v>12</v>
      </c>
      <c r="M284" s="108">
        <v>149</v>
      </c>
      <c r="N284" s="108">
        <v>656</v>
      </c>
      <c r="O284" s="108">
        <v>157</v>
      </c>
      <c r="P284" s="108">
        <v>813</v>
      </c>
      <c r="Q284" s="108">
        <v>0</v>
      </c>
      <c r="R284" s="108">
        <v>0</v>
      </c>
      <c r="S284" s="108">
        <v>234</v>
      </c>
      <c r="T284" s="108">
        <v>9423</v>
      </c>
      <c r="U284" s="109" t="s">
        <v>1648</v>
      </c>
      <c r="V284" s="108">
        <v>71</v>
      </c>
      <c r="W284" s="108">
        <v>2611</v>
      </c>
      <c r="X284" s="108">
        <v>7</v>
      </c>
      <c r="Y284" s="108">
        <v>20</v>
      </c>
      <c r="Z284" s="108">
        <v>90</v>
      </c>
      <c r="AA284" s="108">
        <v>965</v>
      </c>
      <c r="AB284" s="108">
        <v>0</v>
      </c>
      <c r="AC284" s="108">
        <v>0</v>
      </c>
      <c r="AD284" s="108">
        <v>98</v>
      </c>
      <c r="AE284" s="108">
        <v>1621</v>
      </c>
      <c r="AF284" s="108">
        <v>0</v>
      </c>
      <c r="AG284" s="108">
        <v>0</v>
      </c>
      <c r="AH284" s="108">
        <v>12</v>
      </c>
      <c r="AI284" s="108">
        <v>4530</v>
      </c>
      <c r="AJ284" s="108">
        <v>7</v>
      </c>
      <c r="AK284" s="108">
        <v>20</v>
      </c>
      <c r="AL284" s="108">
        <v>434</v>
      </c>
      <c r="AM284" s="108">
        <v>16539</v>
      </c>
      <c r="AN284" s="108">
        <f t="shared" si="17"/>
        <v>441</v>
      </c>
      <c r="AO284" s="108">
        <f t="shared" si="18"/>
        <v>16559</v>
      </c>
      <c r="AP284" s="110">
        <f t="shared" si="16"/>
        <v>37.548752834467123</v>
      </c>
      <c r="AQ284" s="110">
        <f t="shared" si="19"/>
        <v>1.1636683063949402</v>
      </c>
      <c r="AR284" s="108">
        <v>54</v>
      </c>
      <c r="AS284" s="108">
        <v>43216</v>
      </c>
      <c r="AT284" s="108">
        <v>14230</v>
      </c>
    </row>
    <row r="285" spans="1:46" ht="13.5" thickBot="1" x14ac:dyDescent="0.25">
      <c r="A285" s="48" t="s">
        <v>270</v>
      </c>
      <c r="B285" s="47" t="s">
        <v>269</v>
      </c>
      <c r="C285" s="48" t="s">
        <v>22</v>
      </c>
      <c r="D285" s="48" t="s">
        <v>1648</v>
      </c>
      <c r="E285" s="48" t="s">
        <v>1648</v>
      </c>
      <c r="F285" s="108">
        <v>285</v>
      </c>
      <c r="G285" s="108">
        <v>9956</v>
      </c>
      <c r="H285" s="108">
        <v>69</v>
      </c>
      <c r="I285" s="108">
        <v>543</v>
      </c>
      <c r="J285" s="108">
        <v>4</v>
      </c>
      <c r="K285" s="108">
        <v>203</v>
      </c>
      <c r="L285" s="108">
        <v>1</v>
      </c>
      <c r="M285" s="108">
        <v>10</v>
      </c>
      <c r="N285" s="108">
        <v>72</v>
      </c>
      <c r="O285" s="108">
        <v>11</v>
      </c>
      <c r="P285" s="108">
        <v>83</v>
      </c>
      <c r="Q285" s="108">
        <v>47</v>
      </c>
      <c r="R285" s="108">
        <v>458</v>
      </c>
      <c r="S285" s="108">
        <v>289</v>
      </c>
      <c r="T285" s="108">
        <v>10159</v>
      </c>
      <c r="U285" s="109" t="s">
        <v>1648</v>
      </c>
      <c r="V285" s="108">
        <v>177</v>
      </c>
      <c r="W285" s="108">
        <v>7325</v>
      </c>
      <c r="X285" s="108">
        <v>2</v>
      </c>
      <c r="Y285" s="108">
        <v>19</v>
      </c>
      <c r="Z285" s="108">
        <v>70</v>
      </c>
      <c r="AA285" s="108">
        <v>553</v>
      </c>
      <c r="AB285" s="108">
        <v>8</v>
      </c>
      <c r="AC285" s="108">
        <v>158</v>
      </c>
      <c r="AD285" s="108">
        <v>96</v>
      </c>
      <c r="AE285" s="108">
        <v>1557</v>
      </c>
      <c r="AF285" s="108">
        <v>0</v>
      </c>
      <c r="AG285" s="108">
        <v>0</v>
      </c>
      <c r="AH285" s="108">
        <v>8</v>
      </c>
      <c r="AI285" s="108">
        <v>398</v>
      </c>
      <c r="AJ285" s="108">
        <v>57</v>
      </c>
      <c r="AK285" s="108">
        <v>635</v>
      </c>
      <c r="AL285" s="108">
        <v>463</v>
      </c>
      <c r="AM285" s="108">
        <v>12667</v>
      </c>
      <c r="AN285" s="108">
        <f t="shared" si="17"/>
        <v>520</v>
      </c>
      <c r="AO285" s="108">
        <f t="shared" si="18"/>
        <v>13302</v>
      </c>
      <c r="AP285" s="110">
        <f t="shared" si="16"/>
        <v>25.580769230769231</v>
      </c>
      <c r="AQ285" s="110">
        <f t="shared" si="19"/>
        <v>0.66844221105527635</v>
      </c>
      <c r="AR285" s="108">
        <v>55</v>
      </c>
      <c r="AS285" s="108">
        <v>6248</v>
      </c>
      <c r="AT285" s="108">
        <v>19900</v>
      </c>
    </row>
    <row r="286" spans="1:46" ht="13.5" thickBot="1" x14ac:dyDescent="0.25">
      <c r="A286" s="48" t="s">
        <v>384</v>
      </c>
      <c r="B286" s="47" t="s">
        <v>383</v>
      </c>
      <c r="C286" s="48" t="s">
        <v>22</v>
      </c>
      <c r="D286" s="48" t="s">
        <v>1648</v>
      </c>
      <c r="E286" s="48" t="s">
        <v>1648</v>
      </c>
      <c r="F286" s="108">
        <v>233</v>
      </c>
      <c r="G286" s="108">
        <v>4427</v>
      </c>
      <c r="H286" s="108">
        <v>121</v>
      </c>
      <c r="I286" s="108">
        <v>960</v>
      </c>
      <c r="J286" s="108">
        <v>4</v>
      </c>
      <c r="K286" s="108">
        <v>59</v>
      </c>
      <c r="L286" s="108">
        <v>8</v>
      </c>
      <c r="M286" s="108">
        <v>71</v>
      </c>
      <c r="N286" s="108">
        <v>106</v>
      </c>
      <c r="O286" s="108">
        <v>47</v>
      </c>
      <c r="P286" s="108">
        <v>153</v>
      </c>
      <c r="Q286" s="108">
        <v>55</v>
      </c>
      <c r="R286" s="108">
        <v>9509</v>
      </c>
      <c r="S286" s="108">
        <v>237</v>
      </c>
      <c r="T286" s="108">
        <v>4486</v>
      </c>
      <c r="U286" s="109" t="s">
        <v>1649</v>
      </c>
      <c r="V286" s="108">
        <v>0</v>
      </c>
      <c r="W286" s="108">
        <v>0</v>
      </c>
      <c r="X286" s="108">
        <v>8</v>
      </c>
      <c r="Y286" s="108">
        <v>71</v>
      </c>
      <c r="Z286" s="108">
        <v>129</v>
      </c>
      <c r="AA286" s="108">
        <v>1031</v>
      </c>
      <c r="AB286" s="108">
        <v>5</v>
      </c>
      <c r="AC286" s="108">
        <v>24</v>
      </c>
      <c r="AD286" s="108">
        <v>65</v>
      </c>
      <c r="AE286" s="108">
        <v>501</v>
      </c>
      <c r="AF286" s="108">
        <v>2</v>
      </c>
      <c r="AG286" s="108">
        <v>289</v>
      </c>
      <c r="AH286" s="108">
        <v>10</v>
      </c>
      <c r="AI286" s="108">
        <v>2398</v>
      </c>
      <c r="AJ286" s="108">
        <v>70</v>
      </c>
      <c r="AK286" s="108">
        <v>9893</v>
      </c>
      <c r="AL286" s="108">
        <v>441</v>
      </c>
      <c r="AM286" s="108">
        <v>8416</v>
      </c>
      <c r="AN286" s="108">
        <f t="shared" si="17"/>
        <v>511</v>
      </c>
      <c r="AO286" s="108">
        <f t="shared" si="18"/>
        <v>18309</v>
      </c>
      <c r="AP286" s="110">
        <f t="shared" si="16"/>
        <v>35.829745596868882</v>
      </c>
      <c r="AQ286" s="110">
        <f t="shared" si="19"/>
        <v>0.84615029115445051</v>
      </c>
      <c r="AR286" s="108">
        <v>55</v>
      </c>
      <c r="AS286" s="108">
        <v>9509</v>
      </c>
      <c r="AT286" s="108">
        <v>21638</v>
      </c>
    </row>
    <row r="287" spans="1:46" ht="13.5" thickBot="1" x14ac:dyDescent="0.25">
      <c r="A287" s="48" t="s">
        <v>340</v>
      </c>
      <c r="B287" s="47" t="s">
        <v>339</v>
      </c>
      <c r="C287" s="48" t="s">
        <v>22</v>
      </c>
      <c r="D287" s="48" t="s">
        <v>1648</v>
      </c>
      <c r="E287" s="48" t="s">
        <v>1648</v>
      </c>
      <c r="F287" s="108">
        <v>163</v>
      </c>
      <c r="G287" s="108">
        <v>3075</v>
      </c>
      <c r="H287" s="108">
        <v>3</v>
      </c>
      <c r="I287" s="108">
        <v>16</v>
      </c>
      <c r="J287" s="108">
        <v>0</v>
      </c>
      <c r="K287" s="108">
        <v>0</v>
      </c>
      <c r="L287" s="108">
        <v>0</v>
      </c>
      <c r="M287" s="108">
        <v>0</v>
      </c>
      <c r="N287" s="108">
        <v>105</v>
      </c>
      <c r="O287" s="108">
        <v>5</v>
      </c>
      <c r="P287" s="108">
        <v>110</v>
      </c>
      <c r="Q287" s="108">
        <v>1</v>
      </c>
      <c r="R287" s="108">
        <v>9</v>
      </c>
      <c r="S287" s="108">
        <v>163</v>
      </c>
      <c r="T287" s="108">
        <v>3075</v>
      </c>
      <c r="U287" s="109" t="s">
        <v>1648</v>
      </c>
      <c r="V287" s="108">
        <v>103</v>
      </c>
      <c r="W287" s="108">
        <v>1544</v>
      </c>
      <c r="X287" s="108">
        <v>0</v>
      </c>
      <c r="Y287" s="108">
        <v>0</v>
      </c>
      <c r="Z287" s="108">
        <v>3</v>
      </c>
      <c r="AA287" s="108">
        <v>16</v>
      </c>
      <c r="AB287" s="108">
        <v>24</v>
      </c>
      <c r="AC287" s="108">
        <v>104</v>
      </c>
      <c r="AD287" s="108">
        <v>112</v>
      </c>
      <c r="AE287" s="108">
        <v>1925</v>
      </c>
      <c r="AF287" s="108">
        <v>0</v>
      </c>
      <c r="AG287" s="108">
        <v>0</v>
      </c>
      <c r="AH287" s="108">
        <v>0</v>
      </c>
      <c r="AI287" s="108">
        <v>0</v>
      </c>
      <c r="AJ287" s="108">
        <v>25</v>
      </c>
      <c r="AK287" s="108">
        <v>113</v>
      </c>
      <c r="AL287" s="108">
        <v>278</v>
      </c>
      <c r="AM287" s="108">
        <v>5016</v>
      </c>
      <c r="AN287" s="108">
        <f t="shared" si="17"/>
        <v>303</v>
      </c>
      <c r="AO287" s="108">
        <f t="shared" si="18"/>
        <v>5129</v>
      </c>
      <c r="AP287" s="110">
        <f t="shared" si="16"/>
        <v>16.927392739273927</v>
      </c>
      <c r="AQ287" s="110">
        <f t="shared" si="19"/>
        <v>0.20860617399438727</v>
      </c>
      <c r="AR287" s="108">
        <v>56</v>
      </c>
      <c r="AS287" s="108">
        <v>4019</v>
      </c>
      <c r="AT287" s="108">
        <v>24587</v>
      </c>
    </row>
    <row r="288" spans="1:46" ht="13.5" thickBot="1" x14ac:dyDescent="0.25">
      <c r="A288" s="48" t="s">
        <v>562</v>
      </c>
      <c r="B288" s="47" t="s">
        <v>561</v>
      </c>
      <c r="C288" s="48" t="s">
        <v>22</v>
      </c>
      <c r="D288" s="48" t="s">
        <v>1648</v>
      </c>
      <c r="E288" s="48" t="s">
        <v>1648</v>
      </c>
      <c r="F288" s="108">
        <v>443</v>
      </c>
      <c r="G288" s="108">
        <v>5095</v>
      </c>
      <c r="H288" s="108">
        <v>38</v>
      </c>
      <c r="I288" s="108">
        <v>472</v>
      </c>
      <c r="J288" s="108">
        <v>241</v>
      </c>
      <c r="K288" s="108">
        <v>2532</v>
      </c>
      <c r="L288" s="108">
        <v>12</v>
      </c>
      <c r="M288" s="108">
        <v>337</v>
      </c>
      <c r="N288" s="108">
        <v>238</v>
      </c>
      <c r="O288" s="108">
        <v>45</v>
      </c>
      <c r="P288" s="108">
        <v>283</v>
      </c>
      <c r="Q288" s="108">
        <v>7</v>
      </c>
      <c r="R288" s="108">
        <v>1061</v>
      </c>
      <c r="S288" s="108">
        <v>684</v>
      </c>
      <c r="T288" s="108">
        <v>7627</v>
      </c>
      <c r="U288" s="109" t="s">
        <v>1648</v>
      </c>
      <c r="V288" s="108">
        <v>265</v>
      </c>
      <c r="W288" s="108">
        <v>3239</v>
      </c>
      <c r="X288" s="108">
        <v>1</v>
      </c>
      <c r="Y288" s="108">
        <v>34</v>
      </c>
      <c r="Z288" s="108">
        <v>50</v>
      </c>
      <c r="AA288" s="108">
        <v>809</v>
      </c>
      <c r="AB288" s="108">
        <v>5</v>
      </c>
      <c r="AC288" s="108">
        <v>129</v>
      </c>
      <c r="AD288" s="108">
        <v>36</v>
      </c>
      <c r="AE288" s="108">
        <v>900</v>
      </c>
      <c r="AF288" s="108">
        <v>8</v>
      </c>
      <c r="AG288" s="108">
        <v>70</v>
      </c>
      <c r="AH288" s="108">
        <v>12</v>
      </c>
      <c r="AI288" s="108">
        <v>5959</v>
      </c>
      <c r="AJ288" s="108">
        <v>21</v>
      </c>
      <c r="AK288" s="108">
        <v>1294</v>
      </c>
      <c r="AL288" s="108">
        <v>782</v>
      </c>
      <c r="AM288" s="108">
        <v>15295</v>
      </c>
      <c r="AN288" s="108">
        <f t="shared" si="17"/>
        <v>803</v>
      </c>
      <c r="AO288" s="108">
        <f t="shared" si="18"/>
        <v>16589</v>
      </c>
      <c r="AP288" s="110">
        <f t="shared" si="16"/>
        <v>20.658779576587797</v>
      </c>
      <c r="AQ288" s="110">
        <f t="shared" si="19"/>
        <v>0.80819448504335967</v>
      </c>
      <c r="AR288" s="108">
        <v>56</v>
      </c>
      <c r="AS288" s="108">
        <v>1703</v>
      </c>
      <c r="AT288" s="108">
        <v>20526</v>
      </c>
    </row>
    <row r="289" spans="1:46" ht="13.5" thickBot="1" x14ac:dyDescent="0.25">
      <c r="A289" s="48" t="s">
        <v>116</v>
      </c>
      <c r="B289" s="47" t="s">
        <v>115</v>
      </c>
      <c r="C289" s="48" t="s">
        <v>22</v>
      </c>
      <c r="D289" s="48" t="s">
        <v>1648</v>
      </c>
      <c r="E289" s="48" t="s">
        <v>1648</v>
      </c>
      <c r="F289" s="108">
        <v>201</v>
      </c>
      <c r="G289" s="108">
        <v>4229</v>
      </c>
      <c r="H289" s="108">
        <v>60</v>
      </c>
      <c r="I289" s="108">
        <v>658</v>
      </c>
      <c r="J289" s="108">
        <v>17</v>
      </c>
      <c r="K289" s="108">
        <v>672</v>
      </c>
      <c r="L289" s="108">
        <v>3</v>
      </c>
      <c r="M289" s="108">
        <v>92</v>
      </c>
      <c r="N289" s="108">
        <v>177</v>
      </c>
      <c r="O289" s="108">
        <v>61</v>
      </c>
      <c r="P289" s="108">
        <v>238</v>
      </c>
      <c r="Q289" s="108">
        <v>114</v>
      </c>
      <c r="R289" s="108">
        <v>3598</v>
      </c>
      <c r="S289" s="108">
        <v>218</v>
      </c>
      <c r="T289" s="108">
        <v>4901</v>
      </c>
      <c r="U289" s="109" t="s">
        <v>1648</v>
      </c>
      <c r="V289" s="108">
        <v>226</v>
      </c>
      <c r="W289" s="108">
        <v>3562</v>
      </c>
      <c r="X289" s="108">
        <v>11</v>
      </c>
      <c r="Y289" s="108">
        <v>49</v>
      </c>
      <c r="Z289" s="108">
        <v>63</v>
      </c>
      <c r="AA289" s="108">
        <v>750</v>
      </c>
      <c r="AB289" s="108">
        <v>13</v>
      </c>
      <c r="AC289" s="108">
        <v>295</v>
      </c>
      <c r="AD289" s="108">
        <v>146</v>
      </c>
      <c r="AE289" s="108">
        <v>2821</v>
      </c>
      <c r="AF289" s="108">
        <v>4</v>
      </c>
      <c r="AG289" s="108">
        <v>47</v>
      </c>
      <c r="AH289" s="108">
        <v>11</v>
      </c>
      <c r="AI289" s="108">
        <v>1129</v>
      </c>
      <c r="AJ289" s="108">
        <v>142</v>
      </c>
      <c r="AK289" s="108">
        <v>3989</v>
      </c>
      <c r="AL289" s="108">
        <v>438</v>
      </c>
      <c r="AM289" s="108">
        <v>9601</v>
      </c>
      <c r="AN289" s="108">
        <f t="shared" si="17"/>
        <v>580</v>
      </c>
      <c r="AO289" s="108">
        <f t="shared" si="18"/>
        <v>13590</v>
      </c>
      <c r="AP289" s="110">
        <f t="shared" si="16"/>
        <v>23.431034482758619</v>
      </c>
      <c r="AQ289" s="110">
        <f t="shared" si="19"/>
        <v>0.89555189456342665</v>
      </c>
      <c r="AR289" s="108">
        <v>59</v>
      </c>
      <c r="AS289" s="108">
        <v>41502</v>
      </c>
      <c r="AT289" s="108">
        <v>15175</v>
      </c>
    </row>
    <row r="290" spans="1:46" ht="13.5" thickBot="1" x14ac:dyDescent="0.25">
      <c r="A290" s="48" t="s">
        <v>224</v>
      </c>
      <c r="B290" s="47" t="s">
        <v>223</v>
      </c>
      <c r="C290" s="48" t="s">
        <v>22</v>
      </c>
      <c r="D290" s="48" t="s">
        <v>1648</v>
      </c>
      <c r="E290" s="48" t="s">
        <v>1648</v>
      </c>
      <c r="F290" s="108">
        <v>60</v>
      </c>
      <c r="G290" s="108">
        <v>2525</v>
      </c>
      <c r="H290" s="108">
        <v>82</v>
      </c>
      <c r="I290" s="108">
        <v>647</v>
      </c>
      <c r="J290" s="108">
        <v>0</v>
      </c>
      <c r="K290" s="108">
        <v>0</v>
      </c>
      <c r="L290" s="108">
        <v>0</v>
      </c>
      <c r="M290" s="108">
        <v>0</v>
      </c>
      <c r="N290" s="108">
        <v>98</v>
      </c>
      <c r="O290" s="108">
        <v>31</v>
      </c>
      <c r="P290" s="108">
        <v>129</v>
      </c>
      <c r="Q290" s="108">
        <v>6</v>
      </c>
      <c r="R290" s="108">
        <v>140</v>
      </c>
      <c r="S290" s="108">
        <v>60</v>
      </c>
      <c r="T290" s="108">
        <v>2525</v>
      </c>
      <c r="U290" s="109" t="s">
        <v>1648</v>
      </c>
      <c r="V290" s="108">
        <v>98</v>
      </c>
      <c r="W290" s="108">
        <v>1821</v>
      </c>
      <c r="X290" s="108">
        <v>8</v>
      </c>
      <c r="Y290" s="108">
        <v>11</v>
      </c>
      <c r="Z290" s="108">
        <v>82</v>
      </c>
      <c r="AA290" s="108">
        <v>647</v>
      </c>
      <c r="AB290" s="108">
        <v>8</v>
      </c>
      <c r="AC290" s="108">
        <v>32</v>
      </c>
      <c r="AD290" s="108">
        <v>91</v>
      </c>
      <c r="AE290" s="108">
        <v>1492</v>
      </c>
      <c r="AF290" s="108">
        <v>0</v>
      </c>
      <c r="AG290" s="108">
        <v>0</v>
      </c>
      <c r="AH290" s="108">
        <v>0</v>
      </c>
      <c r="AI290" s="108">
        <v>0</v>
      </c>
      <c r="AJ290" s="108">
        <v>22</v>
      </c>
      <c r="AK290" s="108">
        <v>183</v>
      </c>
      <c r="AL290" s="108">
        <v>233</v>
      </c>
      <c r="AM290" s="108">
        <v>4664</v>
      </c>
      <c r="AN290" s="108">
        <f t="shared" si="17"/>
        <v>255</v>
      </c>
      <c r="AO290" s="108">
        <f t="shared" si="18"/>
        <v>4847</v>
      </c>
      <c r="AP290" s="110">
        <f t="shared" si="16"/>
        <v>19.007843137254902</v>
      </c>
      <c r="AQ290" s="110">
        <f t="shared" si="19"/>
        <v>0.23595560315451269</v>
      </c>
      <c r="AR290" s="108">
        <v>59</v>
      </c>
      <c r="AS290" s="108">
        <v>15027</v>
      </c>
      <c r="AT290" s="108">
        <v>20542</v>
      </c>
    </row>
    <row r="291" spans="1:46" ht="13.5" thickBot="1" x14ac:dyDescent="0.25">
      <c r="A291" s="48" t="s">
        <v>570</v>
      </c>
      <c r="B291" s="47" t="s">
        <v>569</v>
      </c>
      <c r="C291" s="48" t="s">
        <v>22</v>
      </c>
      <c r="D291" s="48" t="s">
        <v>1648</v>
      </c>
      <c r="E291" s="48" t="s">
        <v>1648</v>
      </c>
      <c r="F291" s="108">
        <v>177</v>
      </c>
      <c r="G291" s="108">
        <v>4533</v>
      </c>
      <c r="H291" s="108">
        <v>50</v>
      </c>
      <c r="I291" s="108">
        <v>610</v>
      </c>
      <c r="J291" s="108">
        <v>6</v>
      </c>
      <c r="K291" s="108">
        <v>227</v>
      </c>
      <c r="L291" s="108">
        <v>2</v>
      </c>
      <c r="M291" s="108">
        <v>15</v>
      </c>
      <c r="N291" s="108">
        <v>320</v>
      </c>
      <c r="O291" s="108">
        <v>36</v>
      </c>
      <c r="P291" s="108">
        <v>356</v>
      </c>
      <c r="Q291" s="108">
        <v>49</v>
      </c>
      <c r="R291" s="108">
        <v>783</v>
      </c>
      <c r="S291" s="108">
        <v>183</v>
      </c>
      <c r="T291" s="108">
        <v>4760</v>
      </c>
      <c r="U291" s="109" t="s">
        <v>1648</v>
      </c>
      <c r="V291" s="108">
        <v>152</v>
      </c>
      <c r="W291" s="108">
        <v>3623</v>
      </c>
      <c r="X291" s="108">
        <v>8</v>
      </c>
      <c r="Y291" s="108">
        <v>32</v>
      </c>
      <c r="Z291" s="108">
        <v>52</v>
      </c>
      <c r="AA291" s="108">
        <v>625</v>
      </c>
      <c r="AB291" s="108">
        <v>29</v>
      </c>
      <c r="AC291" s="108">
        <v>79</v>
      </c>
      <c r="AD291" s="108">
        <v>146</v>
      </c>
      <c r="AE291" s="108">
        <v>1556</v>
      </c>
      <c r="AF291" s="108">
        <v>8</v>
      </c>
      <c r="AG291" s="108">
        <v>68</v>
      </c>
      <c r="AH291" s="108">
        <v>47</v>
      </c>
      <c r="AI291" s="108">
        <v>1349</v>
      </c>
      <c r="AJ291" s="108">
        <v>94</v>
      </c>
      <c r="AK291" s="108">
        <v>962</v>
      </c>
      <c r="AL291" s="108">
        <v>428</v>
      </c>
      <c r="AM291" s="108">
        <v>8290</v>
      </c>
      <c r="AN291" s="108">
        <f t="shared" si="17"/>
        <v>522</v>
      </c>
      <c r="AO291" s="108">
        <f t="shared" si="18"/>
        <v>9252</v>
      </c>
      <c r="AP291" s="110">
        <f t="shared" si="16"/>
        <v>17.724137931034484</v>
      </c>
      <c r="AQ291" s="110">
        <f t="shared" si="19"/>
        <v>0.68134619633257232</v>
      </c>
      <c r="AR291" s="108">
        <v>62</v>
      </c>
      <c r="AS291" s="108">
        <v>1008</v>
      </c>
      <c r="AT291" s="108">
        <v>13579</v>
      </c>
    </row>
    <row r="292" spans="1:46" ht="13.5" thickBot="1" x14ac:dyDescent="0.25">
      <c r="A292" s="48" t="s">
        <v>288</v>
      </c>
      <c r="B292" s="47" t="s">
        <v>287</v>
      </c>
      <c r="C292" s="48" t="s">
        <v>22</v>
      </c>
      <c r="D292" s="48" t="s">
        <v>1648</v>
      </c>
      <c r="E292" s="48" t="s">
        <v>1648</v>
      </c>
      <c r="F292" s="108">
        <v>107</v>
      </c>
      <c r="G292" s="108">
        <v>1112</v>
      </c>
      <c r="H292" s="108">
        <v>32</v>
      </c>
      <c r="I292" s="108">
        <v>169</v>
      </c>
      <c r="J292" s="108">
        <v>19</v>
      </c>
      <c r="K292" s="108">
        <v>338</v>
      </c>
      <c r="L292" s="108">
        <v>9</v>
      </c>
      <c r="M292" s="108">
        <v>26</v>
      </c>
      <c r="N292" s="108">
        <v>128</v>
      </c>
      <c r="O292" s="108">
        <v>11</v>
      </c>
      <c r="P292" s="108">
        <v>139</v>
      </c>
      <c r="Q292" s="108">
        <v>49</v>
      </c>
      <c r="R292" s="108">
        <v>326</v>
      </c>
      <c r="S292" s="108">
        <v>126</v>
      </c>
      <c r="T292" s="108">
        <v>1450</v>
      </c>
      <c r="U292" s="109" t="s">
        <v>1648</v>
      </c>
      <c r="V292" s="108">
        <v>37</v>
      </c>
      <c r="W292" s="108">
        <v>266</v>
      </c>
      <c r="X292" s="108">
        <v>1</v>
      </c>
      <c r="Y292" s="108">
        <v>0</v>
      </c>
      <c r="Z292" s="108">
        <v>41</v>
      </c>
      <c r="AA292" s="108">
        <v>195</v>
      </c>
      <c r="AB292" s="108">
        <v>8</v>
      </c>
      <c r="AC292" s="108">
        <v>36</v>
      </c>
      <c r="AD292" s="108">
        <v>60</v>
      </c>
      <c r="AE292" s="108">
        <v>483</v>
      </c>
      <c r="AF292" s="108">
        <v>2</v>
      </c>
      <c r="AG292" s="108">
        <v>57</v>
      </c>
      <c r="AH292" s="108">
        <v>49</v>
      </c>
      <c r="AI292" s="108">
        <v>520</v>
      </c>
      <c r="AJ292" s="108">
        <v>60</v>
      </c>
      <c r="AK292" s="108">
        <v>419</v>
      </c>
      <c r="AL292" s="108">
        <v>276</v>
      </c>
      <c r="AM292" s="108">
        <v>2648</v>
      </c>
      <c r="AN292" s="108">
        <f t="shared" si="17"/>
        <v>336</v>
      </c>
      <c r="AO292" s="108">
        <f t="shared" si="18"/>
        <v>3067</v>
      </c>
      <c r="AP292" s="110">
        <f t="shared" ref="AP292:AP355" si="20">AO292/AN292</f>
        <v>9.1279761904761898</v>
      </c>
      <c r="AQ292" s="110">
        <f t="shared" si="19"/>
        <v>0.21180939226519338</v>
      </c>
      <c r="AR292" s="108">
        <v>63</v>
      </c>
      <c r="AS292" s="108">
        <v>7420</v>
      </c>
      <c r="AT292" s="108">
        <v>14480</v>
      </c>
    </row>
    <row r="293" spans="1:46" ht="13.5" thickBot="1" x14ac:dyDescent="0.25">
      <c r="A293" s="48" t="s">
        <v>122</v>
      </c>
      <c r="B293" s="47" t="s">
        <v>121</v>
      </c>
      <c r="C293" s="48" t="s">
        <v>22</v>
      </c>
      <c r="D293" s="48" t="s">
        <v>1648</v>
      </c>
      <c r="E293" s="48" t="s">
        <v>1648</v>
      </c>
      <c r="F293" s="108">
        <v>214</v>
      </c>
      <c r="G293" s="108">
        <v>5561</v>
      </c>
      <c r="H293" s="108">
        <v>10</v>
      </c>
      <c r="I293" s="108">
        <v>34</v>
      </c>
      <c r="J293" s="108">
        <v>60</v>
      </c>
      <c r="K293" s="108">
        <v>1018</v>
      </c>
      <c r="L293" s="108">
        <v>0</v>
      </c>
      <c r="M293" s="108">
        <v>0</v>
      </c>
      <c r="N293" s="108">
        <v>165</v>
      </c>
      <c r="O293" s="108">
        <v>24</v>
      </c>
      <c r="P293" s="108">
        <v>189</v>
      </c>
      <c r="Q293" s="108">
        <v>14</v>
      </c>
      <c r="R293" s="108">
        <v>45</v>
      </c>
      <c r="S293" s="108">
        <v>274</v>
      </c>
      <c r="T293" s="108">
        <v>6579</v>
      </c>
      <c r="U293" s="109" t="s">
        <v>1648</v>
      </c>
      <c r="V293" s="108">
        <v>196</v>
      </c>
      <c r="W293" s="108">
        <v>4708</v>
      </c>
      <c r="X293" s="108">
        <v>0</v>
      </c>
      <c r="Y293" s="108">
        <v>0</v>
      </c>
      <c r="Z293" s="108">
        <v>10</v>
      </c>
      <c r="AA293" s="108">
        <v>34</v>
      </c>
      <c r="AB293" s="108">
        <v>0</v>
      </c>
      <c r="AC293" s="108">
        <v>0</v>
      </c>
      <c r="AD293" s="108">
        <v>62</v>
      </c>
      <c r="AE293" s="108">
        <v>504</v>
      </c>
      <c r="AF293" s="108">
        <v>0</v>
      </c>
      <c r="AG293" s="108">
        <v>0</v>
      </c>
      <c r="AH293" s="108">
        <v>5</v>
      </c>
      <c r="AI293" s="108">
        <v>850</v>
      </c>
      <c r="AJ293" s="108">
        <v>14</v>
      </c>
      <c r="AK293" s="108">
        <v>45</v>
      </c>
      <c r="AL293" s="108">
        <v>351</v>
      </c>
      <c r="AM293" s="108">
        <v>7967</v>
      </c>
      <c r="AN293" s="108">
        <f t="shared" si="17"/>
        <v>365</v>
      </c>
      <c r="AO293" s="108">
        <f t="shared" si="18"/>
        <v>8012</v>
      </c>
      <c r="AP293" s="110">
        <f t="shared" si="20"/>
        <v>21.950684931506849</v>
      </c>
      <c r="AQ293" s="110">
        <f t="shared" si="19"/>
        <v>0.41435664046338438</v>
      </c>
      <c r="AR293" s="108">
        <v>70</v>
      </c>
      <c r="AS293" s="108">
        <v>2214</v>
      </c>
      <c r="AT293" s="108">
        <v>19336</v>
      </c>
    </row>
    <row r="294" spans="1:46" ht="13.5" thickBot="1" x14ac:dyDescent="0.25">
      <c r="A294" s="48" t="s">
        <v>602</v>
      </c>
      <c r="B294" s="47" t="s">
        <v>601</v>
      </c>
      <c r="C294" s="48" t="s">
        <v>22</v>
      </c>
      <c r="D294" s="48" t="s">
        <v>1648</v>
      </c>
      <c r="E294" s="48" t="s">
        <v>1648</v>
      </c>
      <c r="F294" s="108">
        <v>22</v>
      </c>
      <c r="G294" s="108">
        <v>868</v>
      </c>
      <c r="H294" s="108">
        <v>1</v>
      </c>
      <c r="I294" s="108">
        <v>1</v>
      </c>
      <c r="J294" s="108">
        <v>2</v>
      </c>
      <c r="K294" s="108">
        <v>72</v>
      </c>
      <c r="L294" s="108">
        <v>0</v>
      </c>
      <c r="M294" s="108">
        <v>0</v>
      </c>
      <c r="N294" s="108">
        <v>129</v>
      </c>
      <c r="O294" s="108">
        <v>10</v>
      </c>
      <c r="P294" s="108">
        <v>139</v>
      </c>
      <c r="Q294" s="108">
        <v>2</v>
      </c>
      <c r="R294" s="108">
        <v>72</v>
      </c>
      <c r="S294" s="108">
        <v>24</v>
      </c>
      <c r="T294" s="108">
        <v>940</v>
      </c>
      <c r="U294" s="109" t="s">
        <v>1648</v>
      </c>
      <c r="V294" s="108">
        <v>21</v>
      </c>
      <c r="W294" s="108">
        <v>990</v>
      </c>
      <c r="X294" s="108">
        <v>0</v>
      </c>
      <c r="Y294" s="108">
        <v>0</v>
      </c>
      <c r="Z294" s="108">
        <v>1</v>
      </c>
      <c r="AA294" s="108">
        <v>1</v>
      </c>
      <c r="AB294" s="108">
        <v>0</v>
      </c>
      <c r="AC294" s="108">
        <v>0</v>
      </c>
      <c r="AD294" s="108">
        <v>8</v>
      </c>
      <c r="AE294" s="108">
        <v>646</v>
      </c>
      <c r="AF294" s="108">
        <v>0</v>
      </c>
      <c r="AG294" s="108">
        <v>0</v>
      </c>
      <c r="AH294" s="108">
        <v>139</v>
      </c>
      <c r="AI294" s="108">
        <v>1696</v>
      </c>
      <c r="AJ294" s="108">
        <v>2</v>
      </c>
      <c r="AK294" s="108">
        <v>72</v>
      </c>
      <c r="AL294" s="108">
        <v>172</v>
      </c>
      <c r="AM294" s="108">
        <v>3283</v>
      </c>
      <c r="AN294" s="108">
        <f t="shared" si="17"/>
        <v>174</v>
      </c>
      <c r="AO294" s="108">
        <f t="shared" si="18"/>
        <v>3355</v>
      </c>
      <c r="AP294" s="110">
        <f t="shared" si="20"/>
        <v>19.2816091954023</v>
      </c>
      <c r="AQ294" s="110">
        <f t="shared" si="19"/>
        <v>0.22550073934668638</v>
      </c>
      <c r="AR294" s="108">
        <v>81</v>
      </c>
      <c r="AS294" s="108">
        <v>5912</v>
      </c>
      <c r="AT294" s="108">
        <v>14878</v>
      </c>
    </row>
    <row r="295" spans="1:46" ht="13.5" thickBot="1" x14ac:dyDescent="0.25">
      <c r="A295" s="48" t="s">
        <v>320</v>
      </c>
      <c r="B295" s="47" t="s">
        <v>319</v>
      </c>
      <c r="C295" s="48" t="s">
        <v>22</v>
      </c>
      <c r="D295" s="48" t="s">
        <v>1648</v>
      </c>
      <c r="E295" s="48" t="s">
        <v>1648</v>
      </c>
      <c r="F295" s="108">
        <v>210</v>
      </c>
      <c r="G295" s="108">
        <v>8507</v>
      </c>
      <c r="H295" s="108">
        <v>4</v>
      </c>
      <c r="I295" s="108">
        <v>49</v>
      </c>
      <c r="J295" s="108">
        <v>26</v>
      </c>
      <c r="K295" s="108">
        <v>261</v>
      </c>
      <c r="L295" s="108">
        <v>0</v>
      </c>
      <c r="M295" s="108">
        <v>0</v>
      </c>
      <c r="N295" s="109">
        <v>0</v>
      </c>
      <c r="O295" s="109">
        <v>0</v>
      </c>
      <c r="P295" s="109">
        <v>0</v>
      </c>
      <c r="Q295" s="108">
        <v>46</v>
      </c>
      <c r="R295" s="108">
        <v>241</v>
      </c>
      <c r="S295" s="108">
        <v>236</v>
      </c>
      <c r="T295" s="108">
        <v>8768</v>
      </c>
      <c r="U295" s="109" t="s">
        <v>1648</v>
      </c>
      <c r="V295" s="108">
        <v>68</v>
      </c>
      <c r="W295" s="108">
        <v>1084</v>
      </c>
      <c r="X295" s="108">
        <v>0</v>
      </c>
      <c r="Y295" s="108">
        <v>0</v>
      </c>
      <c r="Z295" s="108">
        <v>4</v>
      </c>
      <c r="AA295" s="108">
        <v>49</v>
      </c>
      <c r="AB295" s="108">
        <v>0</v>
      </c>
      <c r="AC295" s="108">
        <v>0</v>
      </c>
      <c r="AD295" s="108">
        <v>42</v>
      </c>
      <c r="AE295" s="108">
        <v>771</v>
      </c>
      <c r="AF295" s="108">
        <v>3</v>
      </c>
      <c r="AG295" s="108">
        <v>41</v>
      </c>
      <c r="AH295" s="108">
        <v>36</v>
      </c>
      <c r="AI295" s="108">
        <v>2078</v>
      </c>
      <c r="AJ295" s="108">
        <v>49</v>
      </c>
      <c r="AK295" s="108">
        <v>282</v>
      </c>
      <c r="AL295" s="108">
        <v>318</v>
      </c>
      <c r="AM295" s="108">
        <v>11666</v>
      </c>
      <c r="AN295" s="108">
        <f t="shared" si="17"/>
        <v>367</v>
      </c>
      <c r="AO295" s="108">
        <f t="shared" si="18"/>
        <v>11948</v>
      </c>
      <c r="AP295" s="110">
        <f t="shared" si="20"/>
        <v>32.555858310626704</v>
      </c>
      <c r="AQ295" s="110">
        <f t="shared" si="19"/>
        <v>0.7486684629362742</v>
      </c>
      <c r="AR295" s="108">
        <v>82</v>
      </c>
      <c r="AS295" s="108">
        <v>2149</v>
      </c>
      <c r="AT295" s="108">
        <v>15959</v>
      </c>
    </row>
    <row r="296" spans="1:46" ht="13.5" thickBot="1" x14ac:dyDescent="0.25">
      <c r="A296" s="48" t="s">
        <v>452</v>
      </c>
      <c r="B296" s="47" t="s">
        <v>451</v>
      </c>
      <c r="C296" s="48" t="s">
        <v>22</v>
      </c>
      <c r="D296" s="48" t="s">
        <v>1648</v>
      </c>
      <c r="E296" s="48" t="s">
        <v>1648</v>
      </c>
      <c r="F296" s="108">
        <v>142</v>
      </c>
      <c r="G296" s="108">
        <v>5318</v>
      </c>
      <c r="H296" s="108">
        <v>14</v>
      </c>
      <c r="I296" s="108">
        <v>205</v>
      </c>
      <c r="J296" s="108">
        <v>46</v>
      </c>
      <c r="K296" s="108">
        <v>2661</v>
      </c>
      <c r="L296" s="108">
        <v>5</v>
      </c>
      <c r="M296" s="108">
        <v>89</v>
      </c>
      <c r="N296" s="108">
        <v>616</v>
      </c>
      <c r="O296" s="108">
        <v>139</v>
      </c>
      <c r="P296" s="108">
        <v>755</v>
      </c>
      <c r="Q296" s="108">
        <v>34</v>
      </c>
      <c r="R296" s="108">
        <v>410</v>
      </c>
      <c r="S296" s="108">
        <v>188</v>
      </c>
      <c r="T296" s="108">
        <v>7979</v>
      </c>
      <c r="U296" s="109" t="s">
        <v>1648</v>
      </c>
      <c r="V296" s="108">
        <v>114</v>
      </c>
      <c r="W296" s="108">
        <v>3079</v>
      </c>
      <c r="X296" s="108">
        <v>6</v>
      </c>
      <c r="Y296" s="108">
        <v>27</v>
      </c>
      <c r="Z296" s="108">
        <v>19</v>
      </c>
      <c r="AA296" s="108">
        <v>294</v>
      </c>
      <c r="AB296" s="108">
        <v>34</v>
      </c>
      <c r="AC296" s="108">
        <v>634</v>
      </c>
      <c r="AD296" s="108">
        <v>121</v>
      </c>
      <c r="AE296" s="108">
        <v>1694</v>
      </c>
      <c r="AF296" s="108">
        <v>0</v>
      </c>
      <c r="AG296" s="108">
        <v>0</v>
      </c>
      <c r="AH296" s="108">
        <v>11</v>
      </c>
      <c r="AI296" s="108">
        <v>283</v>
      </c>
      <c r="AJ296" s="108">
        <v>74</v>
      </c>
      <c r="AK296" s="108">
        <v>1071</v>
      </c>
      <c r="AL296" s="108">
        <v>339</v>
      </c>
      <c r="AM296" s="108">
        <v>10250</v>
      </c>
      <c r="AN296" s="108">
        <f t="shared" si="17"/>
        <v>413</v>
      </c>
      <c r="AO296" s="108">
        <f t="shared" si="18"/>
        <v>11321</v>
      </c>
      <c r="AP296" s="110">
        <f t="shared" si="20"/>
        <v>27.411622276029057</v>
      </c>
      <c r="AQ296" s="110">
        <f t="shared" si="19"/>
        <v>0.77834307322103813</v>
      </c>
      <c r="AR296" s="108">
        <v>90</v>
      </c>
      <c r="AS296" s="108">
        <v>2822</v>
      </c>
      <c r="AT296" s="108">
        <v>14545</v>
      </c>
    </row>
    <row r="297" spans="1:46" ht="13.5" thickBot="1" x14ac:dyDescent="0.25">
      <c r="A297" s="48" t="s">
        <v>292</v>
      </c>
      <c r="B297" s="47" t="s">
        <v>291</v>
      </c>
      <c r="C297" s="48" t="s">
        <v>22</v>
      </c>
      <c r="D297" s="48" t="s">
        <v>1648</v>
      </c>
      <c r="E297" s="48" t="s">
        <v>1648</v>
      </c>
      <c r="F297" s="108">
        <v>68</v>
      </c>
      <c r="G297" s="108">
        <v>1158</v>
      </c>
      <c r="H297" s="108">
        <v>5</v>
      </c>
      <c r="I297" s="108">
        <v>14</v>
      </c>
      <c r="J297" s="108">
        <v>37</v>
      </c>
      <c r="K297" s="108">
        <v>1560</v>
      </c>
      <c r="L297" s="108">
        <v>7</v>
      </c>
      <c r="M297" s="108">
        <v>76</v>
      </c>
      <c r="N297" s="108">
        <v>392</v>
      </c>
      <c r="O297" s="108">
        <v>65</v>
      </c>
      <c r="P297" s="108">
        <v>457</v>
      </c>
      <c r="Q297" s="108">
        <v>1</v>
      </c>
      <c r="R297" s="108">
        <v>4</v>
      </c>
      <c r="S297" s="108">
        <v>105</v>
      </c>
      <c r="T297" s="108">
        <v>2718</v>
      </c>
      <c r="U297" s="109" t="s">
        <v>1648</v>
      </c>
      <c r="V297" s="108">
        <v>73</v>
      </c>
      <c r="W297" s="108">
        <v>1103</v>
      </c>
      <c r="X297" s="108">
        <v>0</v>
      </c>
      <c r="Y297" s="108">
        <v>0</v>
      </c>
      <c r="Z297" s="108">
        <v>12</v>
      </c>
      <c r="AA297" s="108">
        <v>90</v>
      </c>
      <c r="AB297" s="108">
        <v>7</v>
      </c>
      <c r="AC297" s="108">
        <v>35</v>
      </c>
      <c r="AD297" s="108">
        <v>39</v>
      </c>
      <c r="AE297" s="108">
        <v>477</v>
      </c>
      <c r="AF297" s="108">
        <v>0</v>
      </c>
      <c r="AG297" s="108">
        <v>0</v>
      </c>
      <c r="AH297" s="108">
        <v>0</v>
      </c>
      <c r="AI297" s="108">
        <v>0</v>
      </c>
      <c r="AJ297" s="108">
        <v>8</v>
      </c>
      <c r="AK297" s="108">
        <v>39</v>
      </c>
      <c r="AL297" s="108">
        <v>156</v>
      </c>
      <c r="AM297" s="108">
        <v>3285</v>
      </c>
      <c r="AN297" s="108">
        <f t="shared" si="17"/>
        <v>164</v>
      </c>
      <c r="AO297" s="108">
        <f t="shared" si="18"/>
        <v>3324</v>
      </c>
      <c r="AP297" s="110">
        <f t="shared" si="20"/>
        <v>20.26829268292683</v>
      </c>
      <c r="AQ297" s="110">
        <f t="shared" si="19"/>
        <v>0.2494371904547501</v>
      </c>
      <c r="AR297" s="108">
        <v>97</v>
      </c>
      <c r="AS297" s="108">
        <v>485</v>
      </c>
      <c r="AT297" s="108">
        <v>13326</v>
      </c>
    </row>
    <row r="298" spans="1:46" ht="13.5" thickBot="1" x14ac:dyDescent="0.25">
      <c r="A298" s="48" t="s">
        <v>168</v>
      </c>
      <c r="B298" s="47" t="s">
        <v>167</v>
      </c>
      <c r="C298" s="48" t="s">
        <v>22</v>
      </c>
      <c r="D298" s="48" t="s">
        <v>1648</v>
      </c>
      <c r="E298" s="48" t="s">
        <v>1648</v>
      </c>
      <c r="F298" s="108">
        <v>204</v>
      </c>
      <c r="G298" s="108">
        <v>5704</v>
      </c>
      <c r="H298" s="108">
        <v>55</v>
      </c>
      <c r="I298" s="108">
        <v>489</v>
      </c>
      <c r="J298" s="108">
        <v>34</v>
      </c>
      <c r="K298" s="108">
        <v>2274</v>
      </c>
      <c r="L298" s="108">
        <v>9</v>
      </c>
      <c r="M298" s="108">
        <v>120</v>
      </c>
      <c r="N298" s="108">
        <v>777</v>
      </c>
      <c r="O298" s="108">
        <v>299</v>
      </c>
      <c r="P298" s="108">
        <v>1076</v>
      </c>
      <c r="Q298" s="108">
        <v>93</v>
      </c>
      <c r="R298" s="108">
        <v>1279</v>
      </c>
      <c r="S298" s="108">
        <v>238</v>
      </c>
      <c r="T298" s="108">
        <v>7978</v>
      </c>
      <c r="U298" s="109" t="s">
        <v>1648</v>
      </c>
      <c r="V298" s="108">
        <v>130</v>
      </c>
      <c r="W298" s="108">
        <v>4388</v>
      </c>
      <c r="X298" s="108">
        <v>29</v>
      </c>
      <c r="Y298" s="108">
        <v>162</v>
      </c>
      <c r="Z298" s="108">
        <v>64</v>
      </c>
      <c r="AA298" s="108">
        <v>609</v>
      </c>
      <c r="AB298" s="108">
        <v>30</v>
      </c>
      <c r="AC298" s="108">
        <v>883</v>
      </c>
      <c r="AD298" s="108">
        <v>76</v>
      </c>
      <c r="AE298" s="108">
        <v>1797</v>
      </c>
      <c r="AF298" s="108">
        <v>11</v>
      </c>
      <c r="AG298" s="108">
        <v>176</v>
      </c>
      <c r="AH298" s="108">
        <v>15</v>
      </c>
      <c r="AI298" s="108">
        <v>1610</v>
      </c>
      <c r="AJ298" s="108">
        <v>163</v>
      </c>
      <c r="AK298" s="108">
        <v>2500</v>
      </c>
      <c r="AL298" s="108">
        <v>393</v>
      </c>
      <c r="AM298" s="108">
        <v>11994</v>
      </c>
      <c r="AN298" s="108">
        <f t="shared" si="17"/>
        <v>556</v>
      </c>
      <c r="AO298" s="108">
        <f t="shared" si="18"/>
        <v>14494</v>
      </c>
      <c r="AP298" s="110">
        <f t="shared" si="20"/>
        <v>26.068345323741006</v>
      </c>
      <c r="AQ298" s="110">
        <f t="shared" si="19"/>
        <v>0.9656229180546303</v>
      </c>
      <c r="AR298" s="108">
        <v>116</v>
      </c>
      <c r="AS298" s="108">
        <v>2484</v>
      </c>
      <c r="AT298" s="108">
        <v>15010</v>
      </c>
    </row>
    <row r="299" spans="1:46" ht="13.5" thickBot="1" x14ac:dyDescent="0.25">
      <c r="A299" s="48" t="s">
        <v>662</v>
      </c>
      <c r="B299" s="47" t="s">
        <v>661</v>
      </c>
      <c r="C299" s="48" t="s">
        <v>22</v>
      </c>
      <c r="D299" s="48" t="s">
        <v>1648</v>
      </c>
      <c r="E299" s="48" t="s">
        <v>1648</v>
      </c>
      <c r="F299" s="108">
        <v>206</v>
      </c>
      <c r="G299" s="108">
        <v>4749</v>
      </c>
      <c r="H299" s="108">
        <v>19</v>
      </c>
      <c r="I299" s="108">
        <v>173</v>
      </c>
      <c r="J299" s="108">
        <v>8</v>
      </c>
      <c r="K299" s="108">
        <v>140</v>
      </c>
      <c r="L299" s="108">
        <v>7</v>
      </c>
      <c r="M299" s="108">
        <v>62</v>
      </c>
      <c r="N299" s="108">
        <v>264</v>
      </c>
      <c r="O299" s="108">
        <v>35</v>
      </c>
      <c r="P299" s="108">
        <v>299</v>
      </c>
      <c r="Q299" s="108">
        <v>1</v>
      </c>
      <c r="R299" s="108">
        <v>3</v>
      </c>
      <c r="S299" s="108">
        <v>214</v>
      </c>
      <c r="T299" s="108">
        <v>4889</v>
      </c>
      <c r="U299" s="109" t="s">
        <v>1648</v>
      </c>
      <c r="V299" s="108">
        <v>183</v>
      </c>
      <c r="W299" s="108">
        <v>3529</v>
      </c>
      <c r="X299" s="108">
        <v>2</v>
      </c>
      <c r="Y299" s="108">
        <v>14</v>
      </c>
      <c r="Z299" s="108">
        <v>26</v>
      </c>
      <c r="AA299" s="108">
        <v>235</v>
      </c>
      <c r="AB299" s="108">
        <v>19</v>
      </c>
      <c r="AC299" s="108">
        <v>132</v>
      </c>
      <c r="AD299" s="108">
        <v>347</v>
      </c>
      <c r="AE299" s="108">
        <v>2761</v>
      </c>
      <c r="AF299" s="108">
        <v>0</v>
      </c>
      <c r="AG299" s="108">
        <v>0</v>
      </c>
      <c r="AH299" s="108">
        <v>1</v>
      </c>
      <c r="AI299" s="108">
        <v>81</v>
      </c>
      <c r="AJ299" s="108">
        <v>22</v>
      </c>
      <c r="AK299" s="108">
        <v>149</v>
      </c>
      <c r="AL299" s="108">
        <v>588</v>
      </c>
      <c r="AM299" s="108">
        <v>7966</v>
      </c>
      <c r="AN299" s="108">
        <f t="shared" si="17"/>
        <v>610</v>
      </c>
      <c r="AO299" s="108">
        <f t="shared" si="18"/>
        <v>8115</v>
      </c>
      <c r="AP299" s="110">
        <f t="shared" si="20"/>
        <v>13.303278688524591</v>
      </c>
      <c r="AQ299" s="110">
        <f t="shared" si="19"/>
        <v>0.48439085536918763</v>
      </c>
      <c r="AR299" s="108">
        <v>130</v>
      </c>
      <c r="AS299" s="108">
        <v>9934</v>
      </c>
      <c r="AT299" s="108">
        <v>16753</v>
      </c>
    </row>
    <row r="300" spans="1:46" ht="13.5" thickBot="1" x14ac:dyDescent="0.25">
      <c r="A300" s="48" t="s">
        <v>268</v>
      </c>
      <c r="B300" s="47" t="s">
        <v>267</v>
      </c>
      <c r="C300" s="48" t="s">
        <v>22</v>
      </c>
      <c r="D300" s="48" t="s">
        <v>1648</v>
      </c>
      <c r="E300" s="48" t="s">
        <v>1648</v>
      </c>
      <c r="F300" s="108">
        <v>89</v>
      </c>
      <c r="G300" s="108">
        <v>2967</v>
      </c>
      <c r="H300" s="108">
        <v>31</v>
      </c>
      <c r="I300" s="108">
        <v>227</v>
      </c>
      <c r="J300" s="108">
        <v>0</v>
      </c>
      <c r="K300" s="108">
        <v>0</v>
      </c>
      <c r="L300" s="108">
        <v>0</v>
      </c>
      <c r="M300" s="108">
        <v>0</v>
      </c>
      <c r="N300" s="108">
        <v>32</v>
      </c>
      <c r="O300" s="108">
        <v>20</v>
      </c>
      <c r="P300" s="108">
        <v>52</v>
      </c>
      <c r="Q300" s="108">
        <v>1</v>
      </c>
      <c r="R300" s="108">
        <v>123</v>
      </c>
      <c r="S300" s="108">
        <v>89</v>
      </c>
      <c r="T300" s="108">
        <v>2967</v>
      </c>
      <c r="U300" s="109" t="s">
        <v>1648</v>
      </c>
      <c r="V300" s="108">
        <v>35</v>
      </c>
      <c r="W300" s="108">
        <v>399</v>
      </c>
      <c r="X300" s="108">
        <v>0</v>
      </c>
      <c r="Y300" s="108">
        <v>0</v>
      </c>
      <c r="Z300" s="108">
        <v>31</v>
      </c>
      <c r="AA300" s="108">
        <v>227</v>
      </c>
      <c r="AB300" s="108">
        <v>0</v>
      </c>
      <c r="AC300" s="108">
        <v>0</v>
      </c>
      <c r="AD300" s="108">
        <v>33</v>
      </c>
      <c r="AE300" s="108">
        <v>697</v>
      </c>
      <c r="AF300" s="108">
        <v>0</v>
      </c>
      <c r="AG300" s="108">
        <v>0</v>
      </c>
      <c r="AH300" s="108">
        <v>124</v>
      </c>
      <c r="AI300" s="108">
        <v>2443</v>
      </c>
      <c r="AJ300" s="108">
        <v>1</v>
      </c>
      <c r="AK300" s="108">
        <v>123</v>
      </c>
      <c r="AL300" s="108">
        <v>277</v>
      </c>
      <c r="AM300" s="108">
        <v>6334</v>
      </c>
      <c r="AN300" s="108">
        <f t="shared" si="17"/>
        <v>278</v>
      </c>
      <c r="AO300" s="108">
        <f t="shared" si="18"/>
        <v>6457</v>
      </c>
      <c r="AP300" s="110">
        <f t="shared" si="20"/>
        <v>23.226618705035971</v>
      </c>
      <c r="AQ300" s="110">
        <f t="shared" si="19"/>
        <v>0.45375966268446943</v>
      </c>
      <c r="AR300" s="108">
        <v>134</v>
      </c>
      <c r="AS300" s="108">
        <v>8621</v>
      </c>
      <c r="AT300" s="108">
        <v>14230</v>
      </c>
    </row>
    <row r="301" spans="1:46" ht="13.5" thickBot="1" x14ac:dyDescent="0.25">
      <c r="A301" s="48" t="s">
        <v>472</v>
      </c>
      <c r="B301" s="47" t="s">
        <v>471</v>
      </c>
      <c r="C301" s="48" t="s">
        <v>22</v>
      </c>
      <c r="D301" s="48" t="s">
        <v>1648</v>
      </c>
      <c r="E301" s="48" t="s">
        <v>1648</v>
      </c>
      <c r="F301" s="108">
        <v>42</v>
      </c>
      <c r="G301" s="108">
        <v>736</v>
      </c>
      <c r="H301" s="108">
        <v>7</v>
      </c>
      <c r="I301" s="108">
        <v>154</v>
      </c>
      <c r="J301" s="108">
        <v>67</v>
      </c>
      <c r="K301" s="108">
        <v>1355</v>
      </c>
      <c r="L301" s="108">
        <v>3</v>
      </c>
      <c r="M301" s="108">
        <v>60</v>
      </c>
      <c r="N301" s="108">
        <v>69</v>
      </c>
      <c r="O301" s="108">
        <v>40</v>
      </c>
      <c r="P301" s="108">
        <v>109</v>
      </c>
      <c r="Q301" s="108">
        <v>3</v>
      </c>
      <c r="R301" s="108">
        <v>39</v>
      </c>
      <c r="S301" s="108">
        <v>109</v>
      </c>
      <c r="T301" s="108">
        <v>2091</v>
      </c>
      <c r="U301" s="109" t="s">
        <v>1648</v>
      </c>
      <c r="V301" s="108">
        <v>41</v>
      </c>
      <c r="W301" s="108">
        <v>888</v>
      </c>
      <c r="X301" s="108">
        <v>1</v>
      </c>
      <c r="Y301" s="108">
        <v>10</v>
      </c>
      <c r="Z301" s="108">
        <v>10</v>
      </c>
      <c r="AA301" s="108">
        <v>214</v>
      </c>
      <c r="AB301" s="108">
        <v>2</v>
      </c>
      <c r="AC301" s="108">
        <v>13</v>
      </c>
      <c r="AD301" s="108">
        <v>23</v>
      </c>
      <c r="AE301" s="108">
        <v>358</v>
      </c>
      <c r="AF301" s="108">
        <v>0</v>
      </c>
      <c r="AG301" s="108">
        <v>0</v>
      </c>
      <c r="AH301" s="108">
        <v>51</v>
      </c>
      <c r="AI301" s="108">
        <v>459</v>
      </c>
      <c r="AJ301" s="108">
        <v>6</v>
      </c>
      <c r="AK301" s="108">
        <v>62</v>
      </c>
      <c r="AL301" s="108">
        <v>193</v>
      </c>
      <c r="AM301" s="108">
        <v>3122</v>
      </c>
      <c r="AN301" s="108">
        <f t="shared" si="17"/>
        <v>199</v>
      </c>
      <c r="AO301" s="108">
        <f t="shared" si="18"/>
        <v>3184</v>
      </c>
      <c r="AP301" s="110">
        <f t="shared" si="20"/>
        <v>16</v>
      </c>
      <c r="AQ301" s="110">
        <f t="shared" si="19"/>
        <v>0.13846488367036311</v>
      </c>
      <c r="AR301" s="108">
        <v>138</v>
      </c>
      <c r="AS301" s="108">
        <v>4317</v>
      </c>
      <c r="AT301" s="108">
        <v>22995</v>
      </c>
    </row>
    <row r="302" spans="1:46" ht="13.5" thickBot="1" x14ac:dyDescent="0.25">
      <c r="A302" s="48" t="s">
        <v>530</v>
      </c>
      <c r="B302" s="47" t="s">
        <v>529</v>
      </c>
      <c r="C302" s="48" t="s">
        <v>22</v>
      </c>
      <c r="D302" s="48" t="s">
        <v>1649</v>
      </c>
      <c r="E302" s="48" t="s">
        <v>1648</v>
      </c>
      <c r="F302" s="108">
        <v>246</v>
      </c>
      <c r="G302" s="108">
        <v>4214</v>
      </c>
      <c r="H302" s="108">
        <v>52</v>
      </c>
      <c r="I302" s="108">
        <v>249</v>
      </c>
      <c r="J302" s="108">
        <v>0</v>
      </c>
      <c r="K302" s="108">
        <v>0</v>
      </c>
      <c r="L302" s="108">
        <v>0</v>
      </c>
      <c r="M302" s="108">
        <v>0</v>
      </c>
      <c r="N302" s="108">
        <v>101</v>
      </c>
      <c r="O302" s="108">
        <v>25</v>
      </c>
      <c r="P302" s="108">
        <v>126</v>
      </c>
      <c r="Q302" s="108">
        <v>0</v>
      </c>
      <c r="R302" s="108">
        <v>0</v>
      </c>
      <c r="S302" s="108">
        <v>246</v>
      </c>
      <c r="T302" s="108">
        <v>4214</v>
      </c>
      <c r="U302" s="109" t="s">
        <v>1648</v>
      </c>
      <c r="V302" s="108">
        <v>25</v>
      </c>
      <c r="W302" s="108">
        <v>231</v>
      </c>
      <c r="X302" s="108">
        <v>0</v>
      </c>
      <c r="Y302" s="108">
        <v>0</v>
      </c>
      <c r="Z302" s="108">
        <v>52</v>
      </c>
      <c r="AA302" s="108">
        <v>249</v>
      </c>
      <c r="AB302" s="108">
        <v>0</v>
      </c>
      <c r="AC302" s="108">
        <v>0</v>
      </c>
      <c r="AD302" s="108">
        <v>283</v>
      </c>
      <c r="AE302" s="108">
        <v>1914</v>
      </c>
      <c r="AF302" s="108">
        <v>0</v>
      </c>
      <c r="AG302" s="108">
        <v>0</v>
      </c>
      <c r="AH302" s="108">
        <v>0</v>
      </c>
      <c r="AI302" s="108">
        <v>0</v>
      </c>
      <c r="AJ302" s="108">
        <v>0</v>
      </c>
      <c r="AK302" s="108">
        <v>0</v>
      </c>
      <c r="AL302" s="108">
        <v>581</v>
      </c>
      <c r="AM302" s="108">
        <v>6377</v>
      </c>
      <c r="AN302" s="108">
        <f t="shared" si="17"/>
        <v>581</v>
      </c>
      <c r="AO302" s="108">
        <f t="shared" si="18"/>
        <v>6377</v>
      </c>
      <c r="AP302" s="110">
        <f t="shared" si="20"/>
        <v>10.975903614457831</v>
      </c>
      <c r="AQ302" s="110">
        <f t="shared" si="19"/>
        <v>0.26007340946166396</v>
      </c>
      <c r="AR302" s="108">
        <v>156</v>
      </c>
      <c r="AS302" s="108">
        <v>28457</v>
      </c>
      <c r="AT302" s="108">
        <v>24520</v>
      </c>
    </row>
    <row r="303" spans="1:46" ht="13.5" thickBot="1" x14ac:dyDescent="0.25">
      <c r="A303" s="48" t="s">
        <v>64</v>
      </c>
      <c r="B303" s="47" t="s">
        <v>63</v>
      </c>
      <c r="C303" s="48" t="s">
        <v>22</v>
      </c>
      <c r="D303" s="48" t="s">
        <v>1648</v>
      </c>
      <c r="E303" s="48" t="s">
        <v>1648</v>
      </c>
      <c r="F303" s="108">
        <v>452</v>
      </c>
      <c r="G303" s="108">
        <v>11581</v>
      </c>
      <c r="H303" s="108">
        <v>48</v>
      </c>
      <c r="I303" s="108">
        <v>238</v>
      </c>
      <c r="J303" s="108">
        <v>61</v>
      </c>
      <c r="K303" s="108">
        <v>2413</v>
      </c>
      <c r="L303" s="108">
        <v>9</v>
      </c>
      <c r="M303" s="108">
        <v>63</v>
      </c>
      <c r="N303" s="108">
        <v>449</v>
      </c>
      <c r="O303" s="108">
        <v>43</v>
      </c>
      <c r="P303" s="108">
        <v>492</v>
      </c>
      <c r="Q303" s="108">
        <v>14</v>
      </c>
      <c r="R303" s="108">
        <v>190</v>
      </c>
      <c r="S303" s="108">
        <v>513</v>
      </c>
      <c r="T303" s="108">
        <v>13994</v>
      </c>
      <c r="U303" s="109" t="s">
        <v>1648</v>
      </c>
      <c r="V303" s="108">
        <v>237</v>
      </c>
      <c r="W303" s="108">
        <v>3700</v>
      </c>
      <c r="X303" s="108">
        <v>0</v>
      </c>
      <c r="Y303" s="108">
        <v>0</v>
      </c>
      <c r="Z303" s="108">
        <v>57</v>
      </c>
      <c r="AA303" s="108">
        <v>301</v>
      </c>
      <c r="AB303" s="108">
        <v>2</v>
      </c>
      <c r="AC303" s="108">
        <v>80</v>
      </c>
      <c r="AD303" s="108">
        <v>55</v>
      </c>
      <c r="AE303" s="108">
        <v>714</v>
      </c>
      <c r="AF303" s="108">
        <v>2</v>
      </c>
      <c r="AG303" s="108">
        <v>311</v>
      </c>
      <c r="AH303" s="108">
        <v>72</v>
      </c>
      <c r="AI303" s="108">
        <v>532</v>
      </c>
      <c r="AJ303" s="108">
        <v>18</v>
      </c>
      <c r="AK303" s="108">
        <v>581</v>
      </c>
      <c r="AL303" s="108">
        <v>697</v>
      </c>
      <c r="AM303" s="108">
        <v>15541</v>
      </c>
      <c r="AN303" s="108">
        <f t="shared" si="17"/>
        <v>715</v>
      </c>
      <c r="AO303" s="108">
        <f t="shared" si="18"/>
        <v>16122</v>
      </c>
      <c r="AP303" s="110">
        <f t="shared" si="20"/>
        <v>22.548251748251747</v>
      </c>
      <c r="AQ303" s="110">
        <f t="shared" si="19"/>
        <v>0.75294227535961145</v>
      </c>
      <c r="AR303" s="108">
        <v>185</v>
      </c>
      <c r="AS303" s="108">
        <v>1354</v>
      </c>
      <c r="AT303" s="108">
        <v>21412</v>
      </c>
    </row>
    <row r="304" spans="1:46" ht="13.5" thickBot="1" x14ac:dyDescent="0.25">
      <c r="A304" s="48" t="s">
        <v>596</v>
      </c>
      <c r="B304" s="47" t="s">
        <v>595</v>
      </c>
      <c r="C304" s="48" t="s">
        <v>22</v>
      </c>
      <c r="D304" s="48" t="s">
        <v>1648</v>
      </c>
      <c r="E304" s="48" t="s">
        <v>1648</v>
      </c>
      <c r="F304" s="108">
        <v>250</v>
      </c>
      <c r="G304" s="108">
        <v>5200</v>
      </c>
      <c r="H304" s="108">
        <v>30</v>
      </c>
      <c r="I304" s="108">
        <v>100</v>
      </c>
      <c r="J304" s="108">
        <v>25</v>
      </c>
      <c r="K304" s="108">
        <v>750</v>
      </c>
      <c r="L304" s="108">
        <v>15</v>
      </c>
      <c r="M304" s="108">
        <v>150</v>
      </c>
      <c r="N304" s="108">
        <v>238</v>
      </c>
      <c r="O304" s="108">
        <v>39</v>
      </c>
      <c r="P304" s="108">
        <v>277</v>
      </c>
      <c r="Q304" s="108">
        <v>106</v>
      </c>
      <c r="R304" s="108">
        <v>1200</v>
      </c>
      <c r="S304" s="108">
        <v>275</v>
      </c>
      <c r="T304" s="108">
        <v>5950</v>
      </c>
      <c r="U304" s="109" t="s">
        <v>1648</v>
      </c>
      <c r="V304" s="108">
        <v>250</v>
      </c>
      <c r="W304" s="108">
        <v>1000</v>
      </c>
      <c r="X304" s="108">
        <v>10</v>
      </c>
      <c r="Y304" s="108">
        <v>100</v>
      </c>
      <c r="Z304" s="108">
        <v>45</v>
      </c>
      <c r="AA304" s="108">
        <v>250</v>
      </c>
      <c r="AB304" s="108">
        <v>25</v>
      </c>
      <c r="AC304" s="108">
        <v>500</v>
      </c>
      <c r="AD304" s="108">
        <v>175</v>
      </c>
      <c r="AE304" s="108">
        <v>2250</v>
      </c>
      <c r="AF304" s="108">
        <v>0</v>
      </c>
      <c r="AG304" s="108">
        <v>0</v>
      </c>
      <c r="AH304" s="108">
        <v>20</v>
      </c>
      <c r="AI304" s="108">
        <v>520</v>
      </c>
      <c r="AJ304" s="108">
        <v>141</v>
      </c>
      <c r="AK304" s="108">
        <v>1800</v>
      </c>
      <c r="AL304" s="108">
        <v>515</v>
      </c>
      <c r="AM304" s="108">
        <v>8970</v>
      </c>
      <c r="AN304" s="108">
        <f t="shared" si="17"/>
        <v>656</v>
      </c>
      <c r="AO304" s="108">
        <f t="shared" si="18"/>
        <v>10770</v>
      </c>
      <c r="AP304" s="110">
        <f t="shared" si="20"/>
        <v>16.417682926829269</v>
      </c>
      <c r="AQ304" s="110">
        <f t="shared" si="19"/>
        <v>0.548677976463396</v>
      </c>
      <c r="AR304" s="108">
        <v>200</v>
      </c>
      <c r="AS304" s="108">
        <v>10000</v>
      </c>
      <c r="AT304" s="108">
        <v>19629</v>
      </c>
    </row>
    <row r="305" spans="1:46" ht="13.5" thickBot="1" x14ac:dyDescent="0.25">
      <c r="A305" s="48" t="s">
        <v>108</v>
      </c>
      <c r="B305" s="47" t="s">
        <v>107</v>
      </c>
      <c r="C305" s="48" t="s">
        <v>39</v>
      </c>
      <c r="D305" s="48" t="s">
        <v>1649</v>
      </c>
      <c r="E305" s="48" t="s">
        <v>1649</v>
      </c>
      <c r="F305" s="108">
        <v>371</v>
      </c>
      <c r="G305" s="108">
        <v>12924</v>
      </c>
      <c r="H305" s="108">
        <v>17</v>
      </c>
      <c r="I305" s="108">
        <v>270</v>
      </c>
      <c r="J305" s="108">
        <v>62</v>
      </c>
      <c r="K305" s="108">
        <v>4388</v>
      </c>
      <c r="L305" s="108">
        <v>8</v>
      </c>
      <c r="M305" s="108">
        <v>214</v>
      </c>
      <c r="N305" s="108">
        <v>788</v>
      </c>
      <c r="O305" s="108">
        <v>46</v>
      </c>
      <c r="P305" s="108">
        <v>834</v>
      </c>
      <c r="Q305" s="108">
        <v>0</v>
      </c>
      <c r="R305" s="108">
        <v>0</v>
      </c>
      <c r="S305" s="108">
        <v>433</v>
      </c>
      <c r="T305" s="108">
        <v>17312</v>
      </c>
      <c r="U305" s="109" t="s">
        <v>1648</v>
      </c>
      <c r="V305" s="108">
        <v>307</v>
      </c>
      <c r="W305" s="108">
        <v>12924</v>
      </c>
      <c r="X305" s="108">
        <v>0</v>
      </c>
      <c r="Y305" s="108">
        <v>0</v>
      </c>
      <c r="Z305" s="108">
        <v>25</v>
      </c>
      <c r="AA305" s="108">
        <v>484</v>
      </c>
      <c r="AB305" s="108">
        <v>0</v>
      </c>
      <c r="AC305" s="108">
        <v>0</v>
      </c>
      <c r="AD305" s="108">
        <v>280</v>
      </c>
      <c r="AE305" s="108">
        <v>5849</v>
      </c>
      <c r="AF305" s="108">
        <v>0</v>
      </c>
      <c r="AG305" s="108">
        <v>0</v>
      </c>
      <c r="AH305" s="108">
        <v>109</v>
      </c>
      <c r="AI305" s="108">
        <v>506</v>
      </c>
      <c r="AJ305" s="108">
        <v>0</v>
      </c>
      <c r="AK305" s="108">
        <v>0</v>
      </c>
      <c r="AL305" s="108">
        <v>847</v>
      </c>
      <c r="AM305" s="108">
        <v>24151</v>
      </c>
      <c r="AN305" s="108">
        <f t="shared" si="17"/>
        <v>847</v>
      </c>
      <c r="AO305" s="108">
        <f t="shared" si="18"/>
        <v>24151</v>
      </c>
      <c r="AP305" s="110">
        <f t="shared" si="20"/>
        <v>28.513577331759151</v>
      </c>
      <c r="AQ305" s="110">
        <f t="shared" si="19"/>
        <v>0.58804480155831507</v>
      </c>
      <c r="AR305" s="108">
        <v>0</v>
      </c>
      <c r="AS305" s="108">
        <v>0</v>
      </c>
      <c r="AT305" s="108">
        <v>41070</v>
      </c>
    </row>
    <row r="306" spans="1:46" ht="13.5" thickBot="1" x14ac:dyDescent="0.25">
      <c r="A306" s="48" t="s">
        <v>188</v>
      </c>
      <c r="B306" s="47" t="s">
        <v>187</v>
      </c>
      <c r="C306" s="48" t="s">
        <v>39</v>
      </c>
      <c r="D306" s="48" t="s">
        <v>1648</v>
      </c>
      <c r="E306" s="48" t="s">
        <v>1648</v>
      </c>
      <c r="F306" s="108">
        <v>284</v>
      </c>
      <c r="G306" s="108">
        <v>10965</v>
      </c>
      <c r="H306" s="108">
        <v>71</v>
      </c>
      <c r="I306" s="108">
        <v>239</v>
      </c>
      <c r="J306" s="108">
        <v>48</v>
      </c>
      <c r="K306" s="108">
        <v>5529</v>
      </c>
      <c r="L306" s="108">
        <v>23</v>
      </c>
      <c r="M306" s="108">
        <v>386</v>
      </c>
      <c r="N306" s="108">
        <v>873</v>
      </c>
      <c r="O306" s="108">
        <v>196</v>
      </c>
      <c r="P306" s="108">
        <v>1069</v>
      </c>
      <c r="Q306" s="108">
        <v>0</v>
      </c>
      <c r="R306" s="108">
        <v>0</v>
      </c>
      <c r="S306" s="108">
        <v>332</v>
      </c>
      <c r="T306" s="108">
        <v>16494</v>
      </c>
      <c r="U306" s="109" t="s">
        <v>1648</v>
      </c>
      <c r="V306" s="108">
        <v>142</v>
      </c>
      <c r="W306" s="108">
        <v>4701</v>
      </c>
      <c r="X306" s="108">
        <v>0</v>
      </c>
      <c r="Y306" s="108">
        <v>0</v>
      </c>
      <c r="Z306" s="108">
        <v>94</v>
      </c>
      <c r="AA306" s="108">
        <v>625</v>
      </c>
      <c r="AB306" s="108">
        <v>0</v>
      </c>
      <c r="AC306" s="108">
        <v>0</v>
      </c>
      <c r="AD306" s="108">
        <v>243</v>
      </c>
      <c r="AE306" s="108">
        <v>1859</v>
      </c>
      <c r="AF306" s="108">
        <v>0</v>
      </c>
      <c r="AG306" s="108">
        <v>0</v>
      </c>
      <c r="AH306" s="108">
        <v>0</v>
      </c>
      <c r="AI306" s="108">
        <v>0</v>
      </c>
      <c r="AJ306" s="108">
        <v>0</v>
      </c>
      <c r="AK306" s="108">
        <v>0</v>
      </c>
      <c r="AL306" s="108">
        <v>669</v>
      </c>
      <c r="AM306" s="108">
        <v>18978</v>
      </c>
      <c r="AN306" s="108">
        <f t="shared" si="17"/>
        <v>669</v>
      </c>
      <c r="AO306" s="108">
        <f t="shared" si="18"/>
        <v>18978</v>
      </c>
      <c r="AP306" s="110">
        <f t="shared" si="20"/>
        <v>28.367713004484305</v>
      </c>
      <c r="AQ306" s="110">
        <f t="shared" si="19"/>
        <v>0.47225401881252177</v>
      </c>
      <c r="AR306" s="108">
        <v>0</v>
      </c>
      <c r="AS306" s="108">
        <v>0</v>
      </c>
      <c r="AT306" s="108">
        <v>40186</v>
      </c>
    </row>
    <row r="307" spans="1:46" ht="13.5" thickBot="1" x14ac:dyDescent="0.25">
      <c r="A307" s="48" t="s">
        <v>218</v>
      </c>
      <c r="B307" s="47" t="s">
        <v>217</v>
      </c>
      <c r="C307" s="48" t="s">
        <v>39</v>
      </c>
      <c r="D307" s="48" t="s">
        <v>1648</v>
      </c>
      <c r="E307" s="48" t="s">
        <v>1648</v>
      </c>
      <c r="F307" s="108">
        <v>295</v>
      </c>
      <c r="G307" s="108">
        <v>10804</v>
      </c>
      <c r="H307" s="108">
        <v>17</v>
      </c>
      <c r="I307" s="108">
        <v>204</v>
      </c>
      <c r="J307" s="108">
        <v>49</v>
      </c>
      <c r="K307" s="108">
        <v>651</v>
      </c>
      <c r="L307" s="108">
        <v>7</v>
      </c>
      <c r="M307" s="108">
        <v>3</v>
      </c>
      <c r="N307" s="108">
        <v>884</v>
      </c>
      <c r="O307" s="108">
        <v>98</v>
      </c>
      <c r="P307" s="108">
        <v>982</v>
      </c>
      <c r="Q307" s="108">
        <v>29</v>
      </c>
      <c r="R307" s="108">
        <v>1384</v>
      </c>
      <c r="S307" s="108">
        <v>344</v>
      </c>
      <c r="T307" s="108">
        <v>11455</v>
      </c>
      <c r="U307" s="109" t="s">
        <v>1648</v>
      </c>
      <c r="V307" s="108">
        <v>107</v>
      </c>
      <c r="W307" s="108">
        <v>3287</v>
      </c>
      <c r="X307" s="108">
        <v>4</v>
      </c>
      <c r="Y307" s="108">
        <v>7</v>
      </c>
      <c r="Z307" s="108">
        <v>24</v>
      </c>
      <c r="AA307" s="108">
        <v>207</v>
      </c>
      <c r="AB307" s="108">
        <v>14</v>
      </c>
      <c r="AC307" s="108">
        <v>105</v>
      </c>
      <c r="AD307" s="108">
        <v>327</v>
      </c>
      <c r="AE307" s="108">
        <v>2900</v>
      </c>
      <c r="AF307" s="108">
        <v>0</v>
      </c>
      <c r="AG307" s="108">
        <v>0</v>
      </c>
      <c r="AH307" s="108">
        <v>7</v>
      </c>
      <c r="AI307" s="108">
        <v>447</v>
      </c>
      <c r="AJ307" s="108">
        <v>47</v>
      </c>
      <c r="AK307" s="108">
        <v>1496</v>
      </c>
      <c r="AL307" s="108">
        <v>702</v>
      </c>
      <c r="AM307" s="108">
        <v>15009</v>
      </c>
      <c r="AN307" s="108">
        <f t="shared" si="17"/>
        <v>749</v>
      </c>
      <c r="AO307" s="108">
        <f t="shared" si="18"/>
        <v>16505</v>
      </c>
      <c r="AP307" s="110">
        <f t="shared" si="20"/>
        <v>22.036048064085449</v>
      </c>
      <c r="AQ307" s="110">
        <f t="shared" si="19"/>
        <v>0.50321656148053295</v>
      </c>
      <c r="AR307" s="108">
        <v>0</v>
      </c>
      <c r="AS307" s="108">
        <v>0</v>
      </c>
      <c r="AT307" s="108">
        <v>32799</v>
      </c>
    </row>
    <row r="308" spans="1:46" ht="13.5" thickBot="1" x14ac:dyDescent="0.25">
      <c r="A308" s="48" t="s">
        <v>308</v>
      </c>
      <c r="B308" s="47" t="s">
        <v>307</v>
      </c>
      <c r="C308" s="48" t="s">
        <v>39</v>
      </c>
      <c r="D308" s="48" t="s">
        <v>1649</v>
      </c>
      <c r="E308" s="48" t="s">
        <v>1649</v>
      </c>
      <c r="F308" s="108">
        <v>277</v>
      </c>
      <c r="G308" s="108">
        <v>9028</v>
      </c>
      <c r="H308" s="108">
        <v>16</v>
      </c>
      <c r="I308" s="108">
        <v>184</v>
      </c>
      <c r="J308" s="108">
        <v>46</v>
      </c>
      <c r="K308" s="108">
        <v>2235</v>
      </c>
      <c r="L308" s="108">
        <v>9</v>
      </c>
      <c r="M308" s="108">
        <v>139</v>
      </c>
      <c r="N308" s="108">
        <v>3247</v>
      </c>
      <c r="O308" s="108">
        <v>514</v>
      </c>
      <c r="P308" s="108">
        <v>3761</v>
      </c>
      <c r="Q308" s="108">
        <v>0</v>
      </c>
      <c r="R308" s="108">
        <v>0</v>
      </c>
      <c r="S308" s="108">
        <v>323</v>
      </c>
      <c r="T308" s="108">
        <v>11263</v>
      </c>
      <c r="U308" s="109" t="s">
        <v>1648</v>
      </c>
      <c r="V308" s="108">
        <v>98</v>
      </c>
      <c r="W308" s="108">
        <v>3981</v>
      </c>
      <c r="X308" s="108">
        <v>0</v>
      </c>
      <c r="Y308" s="108">
        <v>0</v>
      </c>
      <c r="Z308" s="108">
        <v>25</v>
      </c>
      <c r="AA308" s="108">
        <v>323</v>
      </c>
      <c r="AB308" s="108">
        <v>0</v>
      </c>
      <c r="AC308" s="108">
        <v>0</v>
      </c>
      <c r="AD308" s="108">
        <v>247</v>
      </c>
      <c r="AE308" s="108">
        <v>6484</v>
      </c>
      <c r="AF308" s="108">
        <v>0</v>
      </c>
      <c r="AG308" s="108">
        <v>0</v>
      </c>
      <c r="AH308" s="108">
        <v>0</v>
      </c>
      <c r="AI308" s="108">
        <v>0</v>
      </c>
      <c r="AJ308" s="108">
        <v>0</v>
      </c>
      <c r="AK308" s="108">
        <v>0</v>
      </c>
      <c r="AL308" s="108">
        <v>595</v>
      </c>
      <c r="AM308" s="108">
        <v>18070</v>
      </c>
      <c r="AN308" s="108">
        <f t="shared" si="17"/>
        <v>595</v>
      </c>
      <c r="AO308" s="108">
        <f t="shared" si="18"/>
        <v>18070</v>
      </c>
      <c r="AP308" s="110">
        <f t="shared" si="20"/>
        <v>30.369747899159663</v>
      </c>
      <c r="AQ308" s="110">
        <f t="shared" si="19"/>
        <v>0.38459082685963608</v>
      </c>
      <c r="AR308" s="108">
        <v>0</v>
      </c>
      <c r="AS308" s="108">
        <v>0</v>
      </c>
      <c r="AT308" s="108">
        <v>46985</v>
      </c>
    </row>
    <row r="309" spans="1:46" ht="13.5" thickBot="1" x14ac:dyDescent="0.25">
      <c r="A309" s="48" t="s">
        <v>431</v>
      </c>
      <c r="B309" s="47" t="s">
        <v>430</v>
      </c>
      <c r="C309" s="48" t="s">
        <v>39</v>
      </c>
      <c r="D309" s="48" t="s">
        <v>1649</v>
      </c>
      <c r="E309" s="48" t="s">
        <v>1649</v>
      </c>
      <c r="F309" s="108">
        <v>293</v>
      </c>
      <c r="G309" s="108">
        <v>13924</v>
      </c>
      <c r="H309" s="108">
        <v>53</v>
      </c>
      <c r="I309" s="108">
        <v>416</v>
      </c>
      <c r="J309" s="108">
        <v>50</v>
      </c>
      <c r="K309" s="108">
        <v>1750</v>
      </c>
      <c r="L309" s="108">
        <v>20</v>
      </c>
      <c r="M309" s="108">
        <v>100</v>
      </c>
      <c r="N309" s="108">
        <v>638</v>
      </c>
      <c r="O309" s="108">
        <v>187</v>
      </c>
      <c r="P309" s="108">
        <v>825</v>
      </c>
      <c r="Q309" s="108">
        <v>0</v>
      </c>
      <c r="R309" s="108">
        <v>0</v>
      </c>
      <c r="S309" s="108">
        <v>343</v>
      </c>
      <c r="T309" s="108">
        <v>15674</v>
      </c>
      <c r="U309" s="109" t="s">
        <v>1648</v>
      </c>
      <c r="V309" s="108">
        <v>75</v>
      </c>
      <c r="W309" s="108">
        <v>1200</v>
      </c>
      <c r="X309" s="108">
        <v>0</v>
      </c>
      <c r="Y309" s="108">
        <v>0</v>
      </c>
      <c r="Z309" s="108">
        <v>73</v>
      </c>
      <c r="AA309" s="108">
        <v>516</v>
      </c>
      <c r="AB309" s="108">
        <v>0</v>
      </c>
      <c r="AC309" s="108">
        <v>0</v>
      </c>
      <c r="AD309" s="108">
        <v>246</v>
      </c>
      <c r="AE309" s="108">
        <v>2358</v>
      </c>
      <c r="AF309" s="108">
        <v>0</v>
      </c>
      <c r="AG309" s="108">
        <v>0</v>
      </c>
      <c r="AH309" s="108">
        <v>249</v>
      </c>
      <c r="AI309" s="108">
        <v>1882</v>
      </c>
      <c r="AJ309" s="108">
        <v>0</v>
      </c>
      <c r="AK309" s="108">
        <v>0</v>
      </c>
      <c r="AL309" s="108">
        <v>911</v>
      </c>
      <c r="AM309" s="108">
        <v>20430</v>
      </c>
      <c r="AN309" s="108">
        <f t="shared" si="17"/>
        <v>911</v>
      </c>
      <c r="AO309" s="108">
        <f t="shared" si="18"/>
        <v>20430</v>
      </c>
      <c r="AP309" s="110">
        <f t="shared" si="20"/>
        <v>22.425905598243688</v>
      </c>
      <c r="AQ309" s="110">
        <f t="shared" si="19"/>
        <v>0.5010914620686272</v>
      </c>
      <c r="AR309" s="108">
        <v>0</v>
      </c>
      <c r="AS309" s="108">
        <v>0</v>
      </c>
      <c r="AT309" s="108">
        <v>40771</v>
      </c>
    </row>
    <row r="310" spans="1:46" ht="13.5" thickBot="1" x14ac:dyDescent="0.25">
      <c r="A310" s="48" t="s">
        <v>464</v>
      </c>
      <c r="B310" s="47" t="s">
        <v>463</v>
      </c>
      <c r="C310" s="48" t="s">
        <v>39</v>
      </c>
      <c r="D310" s="48" t="s">
        <v>1648</v>
      </c>
      <c r="E310" s="48" t="s">
        <v>1648</v>
      </c>
      <c r="F310" s="108">
        <v>55</v>
      </c>
      <c r="G310" s="108">
        <v>1287</v>
      </c>
      <c r="H310" s="108">
        <v>0</v>
      </c>
      <c r="I310" s="108">
        <v>0</v>
      </c>
      <c r="J310" s="108">
        <v>2</v>
      </c>
      <c r="K310" s="108">
        <v>161</v>
      </c>
      <c r="L310" s="108">
        <v>0</v>
      </c>
      <c r="M310" s="108">
        <v>0</v>
      </c>
      <c r="N310" s="108">
        <v>32</v>
      </c>
      <c r="O310" s="108">
        <v>10</v>
      </c>
      <c r="P310" s="108">
        <v>42</v>
      </c>
      <c r="Q310" s="108">
        <v>0</v>
      </c>
      <c r="R310" s="108">
        <v>0</v>
      </c>
      <c r="S310" s="108">
        <v>57</v>
      </c>
      <c r="T310" s="108">
        <v>1448</v>
      </c>
      <c r="U310" s="109" t="s">
        <v>1648</v>
      </c>
      <c r="V310" s="108">
        <v>48</v>
      </c>
      <c r="W310" s="108">
        <v>1015</v>
      </c>
      <c r="X310" s="108">
        <v>0</v>
      </c>
      <c r="Y310" s="108">
        <v>0</v>
      </c>
      <c r="Z310" s="108">
        <v>0</v>
      </c>
      <c r="AA310" s="108">
        <v>0</v>
      </c>
      <c r="AB310" s="108">
        <v>3</v>
      </c>
      <c r="AC310" s="108">
        <v>47</v>
      </c>
      <c r="AD310" s="108">
        <v>75</v>
      </c>
      <c r="AE310" s="108">
        <v>1219</v>
      </c>
      <c r="AF310" s="108">
        <v>0</v>
      </c>
      <c r="AG310" s="108">
        <v>0</v>
      </c>
      <c r="AH310" s="108">
        <v>20</v>
      </c>
      <c r="AI310" s="108">
        <v>1219</v>
      </c>
      <c r="AJ310" s="108">
        <v>3</v>
      </c>
      <c r="AK310" s="108">
        <v>47</v>
      </c>
      <c r="AL310" s="108">
        <v>152</v>
      </c>
      <c r="AM310" s="108">
        <v>3886</v>
      </c>
      <c r="AN310" s="108">
        <f t="shared" si="17"/>
        <v>155</v>
      </c>
      <c r="AO310" s="108">
        <f t="shared" si="18"/>
        <v>3933</v>
      </c>
      <c r="AP310" s="110">
        <f t="shared" si="20"/>
        <v>25.374193548387098</v>
      </c>
      <c r="AQ310" s="110">
        <f t="shared" si="19"/>
        <v>0.13245100020206102</v>
      </c>
      <c r="AR310" s="108">
        <v>0</v>
      </c>
      <c r="AS310" s="108">
        <v>0</v>
      </c>
      <c r="AT310" s="108">
        <v>29694</v>
      </c>
    </row>
    <row r="311" spans="1:46" ht="13.5" thickBot="1" x14ac:dyDescent="0.25">
      <c r="A311" s="48" t="s">
        <v>484</v>
      </c>
      <c r="B311" s="47" t="s">
        <v>483</v>
      </c>
      <c r="C311" s="48" t="s">
        <v>39</v>
      </c>
      <c r="D311" s="48" t="s">
        <v>1648</v>
      </c>
      <c r="E311" s="48" t="s">
        <v>1648</v>
      </c>
      <c r="F311" s="108">
        <v>688</v>
      </c>
      <c r="G311" s="108">
        <v>11460</v>
      </c>
      <c r="H311" s="108">
        <v>571</v>
      </c>
      <c r="I311" s="108">
        <v>5936</v>
      </c>
      <c r="J311" s="108">
        <v>259</v>
      </c>
      <c r="K311" s="108">
        <v>4321</v>
      </c>
      <c r="L311" s="108">
        <v>167</v>
      </c>
      <c r="M311" s="108">
        <v>1647</v>
      </c>
      <c r="N311" s="108">
        <v>483</v>
      </c>
      <c r="O311" s="108">
        <v>25</v>
      </c>
      <c r="P311" s="108">
        <v>508</v>
      </c>
      <c r="Q311" s="108">
        <v>4</v>
      </c>
      <c r="R311" s="108">
        <v>11</v>
      </c>
      <c r="S311" s="108">
        <v>947</v>
      </c>
      <c r="T311" s="108">
        <v>15781</v>
      </c>
      <c r="U311" s="109" t="s">
        <v>1648</v>
      </c>
      <c r="V311" s="108">
        <v>878</v>
      </c>
      <c r="W311" s="108">
        <v>14805</v>
      </c>
      <c r="X311" s="108">
        <v>0</v>
      </c>
      <c r="Y311" s="108">
        <v>0</v>
      </c>
      <c r="Z311" s="108">
        <v>738</v>
      </c>
      <c r="AA311" s="108">
        <v>7583</v>
      </c>
      <c r="AB311" s="108">
        <v>0</v>
      </c>
      <c r="AC311" s="108">
        <v>0</v>
      </c>
      <c r="AD311" s="108">
        <v>97</v>
      </c>
      <c r="AE311" s="108">
        <v>794</v>
      </c>
      <c r="AF311" s="108">
        <v>0</v>
      </c>
      <c r="AG311" s="108">
        <v>0</v>
      </c>
      <c r="AH311" s="108">
        <v>13</v>
      </c>
      <c r="AI311" s="108">
        <v>1863</v>
      </c>
      <c r="AJ311" s="108">
        <v>4</v>
      </c>
      <c r="AK311" s="108">
        <v>11</v>
      </c>
      <c r="AL311" s="108">
        <v>1795</v>
      </c>
      <c r="AM311" s="108">
        <v>26021</v>
      </c>
      <c r="AN311" s="108">
        <f t="shared" si="17"/>
        <v>1799</v>
      </c>
      <c r="AO311" s="108">
        <f t="shared" si="18"/>
        <v>26032</v>
      </c>
      <c r="AP311" s="110">
        <f t="shared" si="20"/>
        <v>14.470261256253474</v>
      </c>
      <c r="AQ311" s="110">
        <f t="shared" si="19"/>
        <v>0.90874816728339036</v>
      </c>
      <c r="AR311" s="108">
        <v>0</v>
      </c>
      <c r="AS311" s="108">
        <v>0</v>
      </c>
      <c r="AT311" s="108">
        <v>28646</v>
      </c>
    </row>
    <row r="312" spans="1:46" ht="13.5" thickBot="1" x14ac:dyDescent="0.25">
      <c r="A312" s="48" t="s">
        <v>588</v>
      </c>
      <c r="B312" s="47" t="s">
        <v>587</v>
      </c>
      <c r="C312" s="48" t="s">
        <v>39</v>
      </c>
      <c r="D312" s="48" t="s">
        <v>1648</v>
      </c>
      <c r="E312" s="48" t="s">
        <v>1648</v>
      </c>
      <c r="F312" s="108">
        <v>340</v>
      </c>
      <c r="G312" s="108">
        <v>9223</v>
      </c>
      <c r="H312" s="108">
        <v>155</v>
      </c>
      <c r="I312" s="108">
        <v>1387</v>
      </c>
      <c r="J312" s="108">
        <v>52</v>
      </c>
      <c r="K312" s="108">
        <v>2103</v>
      </c>
      <c r="L312" s="108">
        <v>10</v>
      </c>
      <c r="M312" s="108">
        <v>329</v>
      </c>
      <c r="N312" s="108">
        <v>1449</v>
      </c>
      <c r="O312" s="108">
        <v>198</v>
      </c>
      <c r="P312" s="108">
        <v>1647</v>
      </c>
      <c r="Q312" s="108">
        <v>49</v>
      </c>
      <c r="R312" s="108">
        <v>385</v>
      </c>
      <c r="S312" s="108">
        <v>392</v>
      </c>
      <c r="T312" s="108">
        <v>11326</v>
      </c>
      <c r="U312" s="109" t="s">
        <v>1648</v>
      </c>
      <c r="V312" s="108">
        <v>215</v>
      </c>
      <c r="W312" s="108">
        <v>5370</v>
      </c>
      <c r="X312" s="108">
        <v>0</v>
      </c>
      <c r="Y312" s="108">
        <v>0</v>
      </c>
      <c r="Z312" s="108">
        <v>165</v>
      </c>
      <c r="AA312" s="108">
        <v>1716</v>
      </c>
      <c r="AB312" s="108">
        <v>38</v>
      </c>
      <c r="AC312" s="108">
        <v>1173</v>
      </c>
      <c r="AD312" s="108">
        <v>349</v>
      </c>
      <c r="AE312" s="108">
        <v>5971</v>
      </c>
      <c r="AF312" s="108">
        <v>66</v>
      </c>
      <c r="AG312" s="108">
        <v>601</v>
      </c>
      <c r="AH312" s="108">
        <v>156</v>
      </c>
      <c r="AI312" s="108">
        <v>2327</v>
      </c>
      <c r="AJ312" s="108">
        <v>153</v>
      </c>
      <c r="AK312" s="108">
        <v>2159</v>
      </c>
      <c r="AL312" s="108">
        <v>1062</v>
      </c>
      <c r="AM312" s="108">
        <v>21340</v>
      </c>
      <c r="AN312" s="108">
        <f t="shared" si="17"/>
        <v>1215</v>
      </c>
      <c r="AO312" s="108">
        <f t="shared" si="18"/>
        <v>23499</v>
      </c>
      <c r="AP312" s="110">
        <f t="shared" si="20"/>
        <v>19.340740740740742</v>
      </c>
      <c r="AQ312" s="110">
        <f t="shared" si="19"/>
        <v>0.64106831078131821</v>
      </c>
      <c r="AR312" s="108">
        <v>0</v>
      </c>
      <c r="AS312" s="108">
        <v>0</v>
      </c>
      <c r="AT312" s="108">
        <v>36656</v>
      </c>
    </row>
    <row r="313" spans="1:46" ht="13.5" thickBot="1" x14ac:dyDescent="0.25">
      <c r="A313" s="48" t="s">
        <v>664</v>
      </c>
      <c r="B313" s="47" t="s">
        <v>663</v>
      </c>
      <c r="C313" s="48" t="s">
        <v>39</v>
      </c>
      <c r="D313" s="48" t="s">
        <v>1648</v>
      </c>
      <c r="E313" s="48" t="s">
        <v>1648</v>
      </c>
      <c r="F313" s="108">
        <v>376</v>
      </c>
      <c r="G313" s="108">
        <v>8049</v>
      </c>
      <c r="H313" s="108">
        <v>75</v>
      </c>
      <c r="I313" s="108">
        <v>2457</v>
      </c>
      <c r="J313" s="108">
        <v>81</v>
      </c>
      <c r="K313" s="108">
        <v>3557</v>
      </c>
      <c r="L313" s="108">
        <v>28</v>
      </c>
      <c r="M313" s="108">
        <v>1044</v>
      </c>
      <c r="N313" s="108">
        <v>985</v>
      </c>
      <c r="O313" s="108">
        <v>171</v>
      </c>
      <c r="P313" s="108">
        <v>1156</v>
      </c>
      <c r="Q313" s="108">
        <v>0</v>
      </c>
      <c r="R313" s="108">
        <v>0</v>
      </c>
      <c r="S313" s="108">
        <v>457</v>
      </c>
      <c r="T313" s="108">
        <v>11606</v>
      </c>
      <c r="U313" s="109" t="s">
        <v>1648</v>
      </c>
      <c r="V313" s="108">
        <v>223</v>
      </c>
      <c r="W313" s="108">
        <v>3883</v>
      </c>
      <c r="X313" s="108">
        <v>0</v>
      </c>
      <c r="Y313" s="108">
        <v>0</v>
      </c>
      <c r="Z313" s="108">
        <v>103</v>
      </c>
      <c r="AA313" s="108">
        <v>3501</v>
      </c>
      <c r="AB313" s="108">
        <v>0</v>
      </c>
      <c r="AC313" s="108">
        <v>0</v>
      </c>
      <c r="AD313" s="108">
        <v>204</v>
      </c>
      <c r="AE313" s="108">
        <v>3239</v>
      </c>
      <c r="AF313" s="108">
        <v>0</v>
      </c>
      <c r="AG313" s="108">
        <v>0</v>
      </c>
      <c r="AH313" s="108">
        <v>1</v>
      </c>
      <c r="AI313" s="108">
        <v>13</v>
      </c>
      <c r="AJ313" s="108">
        <v>0</v>
      </c>
      <c r="AK313" s="108">
        <v>0</v>
      </c>
      <c r="AL313" s="108">
        <v>765</v>
      </c>
      <c r="AM313" s="108">
        <v>18359</v>
      </c>
      <c r="AN313" s="108">
        <f t="shared" si="17"/>
        <v>765</v>
      </c>
      <c r="AO313" s="108">
        <f t="shared" si="18"/>
        <v>18359</v>
      </c>
      <c r="AP313" s="110">
        <f t="shared" si="20"/>
        <v>23.998692810457516</v>
      </c>
      <c r="AQ313" s="110">
        <f t="shared" si="19"/>
        <v>0.69604943888383375</v>
      </c>
      <c r="AR313" s="108">
        <v>0</v>
      </c>
      <c r="AS313" s="108">
        <v>0</v>
      </c>
      <c r="AT313" s="108">
        <v>26376</v>
      </c>
    </row>
    <row r="314" spans="1:46" ht="13.5" thickBot="1" x14ac:dyDescent="0.25">
      <c r="A314" s="48" t="s">
        <v>688</v>
      </c>
      <c r="B314" s="47" t="s">
        <v>687</v>
      </c>
      <c r="C314" s="48" t="s">
        <v>39</v>
      </c>
      <c r="D314" s="48" t="s">
        <v>1648</v>
      </c>
      <c r="E314" s="48" t="s">
        <v>1649</v>
      </c>
      <c r="F314" s="108">
        <v>84</v>
      </c>
      <c r="G314" s="108">
        <v>2276</v>
      </c>
      <c r="H314" s="108">
        <v>0</v>
      </c>
      <c r="I314" s="108">
        <v>0</v>
      </c>
      <c r="J314" s="108">
        <v>8</v>
      </c>
      <c r="K314" s="108">
        <v>111</v>
      </c>
      <c r="L314" s="108">
        <v>0</v>
      </c>
      <c r="M314" s="108">
        <v>0</v>
      </c>
      <c r="N314" s="108">
        <v>76</v>
      </c>
      <c r="O314" s="108">
        <v>0</v>
      </c>
      <c r="P314" s="108">
        <v>76</v>
      </c>
      <c r="Q314" s="108">
        <v>1</v>
      </c>
      <c r="R314" s="108">
        <v>0</v>
      </c>
      <c r="S314" s="108">
        <v>92</v>
      </c>
      <c r="T314" s="108">
        <v>2387</v>
      </c>
      <c r="U314" s="109" t="s">
        <v>1648</v>
      </c>
      <c r="V314" s="108">
        <v>25</v>
      </c>
      <c r="W314" s="108">
        <v>315</v>
      </c>
      <c r="X314" s="108">
        <v>0</v>
      </c>
      <c r="Y314" s="108">
        <v>0</v>
      </c>
      <c r="Z314" s="108">
        <v>0</v>
      </c>
      <c r="AA314" s="108">
        <v>0</v>
      </c>
      <c r="AB314" s="108">
        <v>0</v>
      </c>
      <c r="AC314" s="108">
        <v>0</v>
      </c>
      <c r="AD314" s="108">
        <v>10</v>
      </c>
      <c r="AE314" s="108">
        <v>78</v>
      </c>
      <c r="AF314" s="108">
        <v>0</v>
      </c>
      <c r="AG314" s="108">
        <v>0</v>
      </c>
      <c r="AH314" s="108">
        <v>0</v>
      </c>
      <c r="AI314" s="108">
        <v>0</v>
      </c>
      <c r="AJ314" s="108">
        <v>1</v>
      </c>
      <c r="AK314" s="108">
        <v>0</v>
      </c>
      <c r="AL314" s="108">
        <v>102</v>
      </c>
      <c r="AM314" s="108">
        <v>2465</v>
      </c>
      <c r="AN314" s="108">
        <f t="shared" si="17"/>
        <v>103</v>
      </c>
      <c r="AO314" s="108">
        <f t="shared" si="18"/>
        <v>2465</v>
      </c>
      <c r="AP314" s="110">
        <f t="shared" si="20"/>
        <v>23.932038834951456</v>
      </c>
      <c r="AQ314" s="110">
        <f t="shared" si="19"/>
        <v>8.8287965616045849E-2</v>
      </c>
      <c r="AR314" s="108">
        <v>1</v>
      </c>
      <c r="AS314" s="108">
        <v>59</v>
      </c>
      <c r="AT314" s="108">
        <v>27920</v>
      </c>
    </row>
    <row r="315" spans="1:46" ht="13.5" thickBot="1" x14ac:dyDescent="0.25">
      <c r="A315" s="48" t="s">
        <v>698</v>
      </c>
      <c r="B315" s="47" t="s">
        <v>697</v>
      </c>
      <c r="C315" s="48" t="s">
        <v>39</v>
      </c>
      <c r="D315" s="48" t="s">
        <v>1648</v>
      </c>
      <c r="E315" s="48" t="s">
        <v>1649</v>
      </c>
      <c r="F315" s="108">
        <v>81</v>
      </c>
      <c r="G315" s="108">
        <v>155</v>
      </c>
      <c r="H315" s="108">
        <v>9</v>
      </c>
      <c r="I315" s="108">
        <v>29</v>
      </c>
      <c r="J315" s="108">
        <v>5</v>
      </c>
      <c r="K315" s="108">
        <v>287</v>
      </c>
      <c r="L315" s="108">
        <v>0</v>
      </c>
      <c r="M315" s="108">
        <v>0</v>
      </c>
      <c r="N315" s="108">
        <v>79</v>
      </c>
      <c r="O315" s="108">
        <v>0</v>
      </c>
      <c r="P315" s="108">
        <v>79</v>
      </c>
      <c r="Q315" s="108">
        <v>1</v>
      </c>
      <c r="R315" s="108">
        <v>40</v>
      </c>
      <c r="S315" s="108">
        <v>86</v>
      </c>
      <c r="T315" s="108">
        <v>442</v>
      </c>
      <c r="U315" s="109" t="s">
        <v>1649</v>
      </c>
      <c r="V315" s="108">
        <v>0</v>
      </c>
      <c r="W315" s="108">
        <v>0</v>
      </c>
      <c r="X315" s="108">
        <v>0</v>
      </c>
      <c r="Y315" s="108">
        <v>0</v>
      </c>
      <c r="Z315" s="108">
        <v>9</v>
      </c>
      <c r="AA315" s="108">
        <v>29</v>
      </c>
      <c r="AB315" s="108">
        <v>0</v>
      </c>
      <c r="AC315" s="108">
        <v>0</v>
      </c>
      <c r="AD315" s="108">
        <v>14</v>
      </c>
      <c r="AE315" s="108">
        <v>195</v>
      </c>
      <c r="AF315" s="108">
        <v>0</v>
      </c>
      <c r="AG315" s="108">
        <v>0</v>
      </c>
      <c r="AH315" s="108">
        <v>0</v>
      </c>
      <c r="AI315" s="108">
        <v>0</v>
      </c>
      <c r="AJ315" s="108">
        <v>1</v>
      </c>
      <c r="AK315" s="108">
        <v>40</v>
      </c>
      <c r="AL315" s="108">
        <v>109</v>
      </c>
      <c r="AM315" s="108">
        <v>666</v>
      </c>
      <c r="AN315" s="108">
        <f t="shared" si="17"/>
        <v>110</v>
      </c>
      <c r="AO315" s="108">
        <f t="shared" si="18"/>
        <v>706</v>
      </c>
      <c r="AP315" s="110">
        <f t="shared" si="20"/>
        <v>6.418181818181818</v>
      </c>
      <c r="AQ315" s="110">
        <f t="shared" si="19"/>
        <v>2.3496522115352615E-2</v>
      </c>
      <c r="AR315" s="108">
        <v>0</v>
      </c>
      <c r="AS315" s="108">
        <v>0</v>
      </c>
      <c r="AT315" s="108">
        <v>30047</v>
      </c>
    </row>
    <row r="316" spans="1:46" ht="13.5" thickBot="1" x14ac:dyDescent="0.25">
      <c r="A316" s="48" t="s">
        <v>716</v>
      </c>
      <c r="B316" s="47" t="s">
        <v>715</v>
      </c>
      <c r="C316" s="48" t="s">
        <v>39</v>
      </c>
      <c r="D316" s="48" t="s">
        <v>1648</v>
      </c>
      <c r="E316" s="48" t="s">
        <v>1649</v>
      </c>
      <c r="F316" s="108">
        <v>253</v>
      </c>
      <c r="G316" s="108">
        <v>7527</v>
      </c>
      <c r="H316" s="108">
        <v>131</v>
      </c>
      <c r="I316" s="108">
        <v>788</v>
      </c>
      <c r="J316" s="108">
        <v>115</v>
      </c>
      <c r="K316" s="108">
        <v>7987</v>
      </c>
      <c r="L316" s="108">
        <v>37</v>
      </c>
      <c r="M316" s="108">
        <v>735</v>
      </c>
      <c r="N316" s="108">
        <v>1725</v>
      </c>
      <c r="O316" s="108">
        <v>258</v>
      </c>
      <c r="P316" s="108">
        <v>1983</v>
      </c>
      <c r="Q316" s="108">
        <v>15</v>
      </c>
      <c r="R316" s="108">
        <v>1576</v>
      </c>
      <c r="S316" s="108">
        <v>368</v>
      </c>
      <c r="T316" s="108">
        <v>15514</v>
      </c>
      <c r="U316" s="109" t="s">
        <v>1648</v>
      </c>
      <c r="V316" s="108">
        <v>56</v>
      </c>
      <c r="W316" s="108">
        <v>965</v>
      </c>
      <c r="X316" s="108">
        <v>3</v>
      </c>
      <c r="Y316" s="108">
        <v>28</v>
      </c>
      <c r="Z316" s="108">
        <v>168</v>
      </c>
      <c r="AA316" s="108">
        <v>1523</v>
      </c>
      <c r="AB316" s="108">
        <v>5</v>
      </c>
      <c r="AC316" s="108">
        <v>35</v>
      </c>
      <c r="AD316" s="108">
        <v>500</v>
      </c>
      <c r="AE316" s="108">
        <v>9000</v>
      </c>
      <c r="AF316" s="108">
        <v>0</v>
      </c>
      <c r="AG316" s="108">
        <v>0</v>
      </c>
      <c r="AH316" s="108">
        <v>70</v>
      </c>
      <c r="AI316" s="108">
        <v>1260</v>
      </c>
      <c r="AJ316" s="108">
        <v>23</v>
      </c>
      <c r="AK316" s="108">
        <v>1639</v>
      </c>
      <c r="AL316" s="108">
        <v>1106</v>
      </c>
      <c r="AM316" s="108">
        <v>27297</v>
      </c>
      <c r="AN316" s="108">
        <f t="shared" si="17"/>
        <v>1129</v>
      </c>
      <c r="AO316" s="108">
        <f t="shared" si="18"/>
        <v>28936</v>
      </c>
      <c r="AP316" s="110">
        <f t="shared" si="20"/>
        <v>25.62976085031001</v>
      </c>
      <c r="AQ316" s="110">
        <f t="shared" si="19"/>
        <v>0.67244544630615133</v>
      </c>
      <c r="AR316" s="108">
        <v>0</v>
      </c>
      <c r="AS316" s="108">
        <v>0</v>
      </c>
      <c r="AT316" s="108">
        <v>43031</v>
      </c>
    </row>
    <row r="317" spans="1:46" ht="13.5" thickBot="1" x14ac:dyDescent="0.25">
      <c r="A317" s="48" t="s">
        <v>760</v>
      </c>
      <c r="B317" s="47" t="s">
        <v>759</v>
      </c>
      <c r="C317" s="48" t="s">
        <v>39</v>
      </c>
      <c r="D317" s="48" t="s">
        <v>1649</v>
      </c>
      <c r="E317" s="48" t="s">
        <v>1648</v>
      </c>
      <c r="F317" s="108">
        <v>778</v>
      </c>
      <c r="G317" s="108">
        <v>9277</v>
      </c>
      <c r="H317" s="108">
        <v>24</v>
      </c>
      <c r="I317" s="108">
        <v>105</v>
      </c>
      <c r="J317" s="108">
        <v>111</v>
      </c>
      <c r="K317" s="108">
        <v>2470</v>
      </c>
      <c r="L317" s="108">
        <v>3</v>
      </c>
      <c r="M317" s="108">
        <v>22</v>
      </c>
      <c r="N317" s="108">
        <v>964</v>
      </c>
      <c r="O317" s="108">
        <v>140</v>
      </c>
      <c r="P317" s="108">
        <v>1104</v>
      </c>
      <c r="Q317" s="108">
        <v>0</v>
      </c>
      <c r="R317" s="108">
        <v>0</v>
      </c>
      <c r="S317" s="108">
        <v>889</v>
      </c>
      <c r="T317" s="108">
        <v>11747</v>
      </c>
      <c r="U317" s="109" t="s">
        <v>1648</v>
      </c>
      <c r="V317" s="108">
        <v>383</v>
      </c>
      <c r="W317" s="108">
        <v>4339</v>
      </c>
      <c r="X317" s="108">
        <v>0</v>
      </c>
      <c r="Y317" s="108">
        <v>0</v>
      </c>
      <c r="Z317" s="108">
        <v>27</v>
      </c>
      <c r="AA317" s="108">
        <v>127</v>
      </c>
      <c r="AB317" s="108">
        <v>0</v>
      </c>
      <c r="AC317" s="108">
        <v>0</v>
      </c>
      <c r="AD317" s="108">
        <v>531</v>
      </c>
      <c r="AE317" s="108">
        <v>3265</v>
      </c>
      <c r="AF317" s="108">
        <v>0</v>
      </c>
      <c r="AG317" s="108">
        <v>0</v>
      </c>
      <c r="AH317" s="108">
        <v>120</v>
      </c>
      <c r="AI317" s="108">
        <v>1568</v>
      </c>
      <c r="AJ317" s="108">
        <v>0</v>
      </c>
      <c r="AK317" s="108">
        <v>0</v>
      </c>
      <c r="AL317" s="108">
        <v>1567</v>
      </c>
      <c r="AM317" s="108">
        <v>16707</v>
      </c>
      <c r="AN317" s="108">
        <f t="shared" si="17"/>
        <v>1567</v>
      </c>
      <c r="AO317" s="108">
        <f t="shared" si="18"/>
        <v>16707</v>
      </c>
      <c r="AP317" s="110">
        <f t="shared" si="20"/>
        <v>10.661774090619017</v>
      </c>
      <c r="AQ317" s="110">
        <f t="shared" si="19"/>
        <v>0.37743137919349373</v>
      </c>
      <c r="AR317" s="108">
        <v>0</v>
      </c>
      <c r="AS317" s="108">
        <v>0</v>
      </c>
      <c r="AT317" s="108">
        <v>44265</v>
      </c>
    </row>
    <row r="318" spans="1:46" ht="13.5" thickBot="1" x14ac:dyDescent="0.25">
      <c r="A318" s="48" t="s">
        <v>386</v>
      </c>
      <c r="B318" s="47" t="s">
        <v>385</v>
      </c>
      <c r="C318" s="48" t="s">
        <v>39</v>
      </c>
      <c r="D318" s="48" t="s">
        <v>1648</v>
      </c>
      <c r="E318" s="48" t="s">
        <v>1648</v>
      </c>
      <c r="F318" s="108">
        <v>107</v>
      </c>
      <c r="G318" s="108">
        <v>4505</v>
      </c>
      <c r="H318" s="108">
        <v>0</v>
      </c>
      <c r="I318" s="108">
        <v>0</v>
      </c>
      <c r="J318" s="108">
        <v>0</v>
      </c>
      <c r="K318" s="108">
        <v>0</v>
      </c>
      <c r="L318" s="108">
        <v>0</v>
      </c>
      <c r="M318" s="108">
        <v>0</v>
      </c>
      <c r="N318" s="109">
        <v>0</v>
      </c>
      <c r="O318" s="109">
        <v>0</v>
      </c>
      <c r="P318" s="109">
        <v>0</v>
      </c>
      <c r="Q318" s="108">
        <v>8</v>
      </c>
      <c r="R318" s="108">
        <v>120</v>
      </c>
      <c r="S318" s="108">
        <v>107</v>
      </c>
      <c r="T318" s="108">
        <v>4505</v>
      </c>
      <c r="U318" s="109" t="s">
        <v>1648</v>
      </c>
      <c r="V318" s="108">
        <v>50</v>
      </c>
      <c r="W318" s="108">
        <v>888</v>
      </c>
      <c r="X318" s="108">
        <v>0</v>
      </c>
      <c r="Y318" s="108">
        <v>0</v>
      </c>
      <c r="Z318" s="108">
        <v>0</v>
      </c>
      <c r="AA318" s="108">
        <v>0</v>
      </c>
      <c r="AB318" s="108">
        <v>2</v>
      </c>
      <c r="AC318" s="108">
        <v>41</v>
      </c>
      <c r="AD318" s="108">
        <v>30</v>
      </c>
      <c r="AE318" s="108">
        <v>981</v>
      </c>
      <c r="AF318" s="108">
        <v>0</v>
      </c>
      <c r="AG318" s="108">
        <v>0</v>
      </c>
      <c r="AH318" s="108">
        <v>1</v>
      </c>
      <c r="AI318" s="108">
        <v>50</v>
      </c>
      <c r="AJ318" s="108">
        <v>10</v>
      </c>
      <c r="AK318" s="108">
        <v>161</v>
      </c>
      <c r="AL318" s="108">
        <v>138</v>
      </c>
      <c r="AM318" s="108">
        <v>5536</v>
      </c>
      <c r="AN318" s="108">
        <f t="shared" si="17"/>
        <v>148</v>
      </c>
      <c r="AO318" s="108">
        <f t="shared" si="18"/>
        <v>5697</v>
      </c>
      <c r="AP318" s="110">
        <f t="shared" si="20"/>
        <v>38.493243243243242</v>
      </c>
      <c r="AQ318" s="110">
        <f t="shared" si="19"/>
        <v>0.13633752931603887</v>
      </c>
      <c r="AR318" s="108">
        <v>4</v>
      </c>
      <c r="AS318" s="108">
        <v>20</v>
      </c>
      <c r="AT318" s="108">
        <v>41786</v>
      </c>
    </row>
    <row r="319" spans="1:46" ht="13.5" thickBot="1" x14ac:dyDescent="0.25">
      <c r="A319" s="48" t="s">
        <v>437</v>
      </c>
      <c r="B319" s="47" t="s">
        <v>436</v>
      </c>
      <c r="C319" s="48" t="s">
        <v>39</v>
      </c>
      <c r="D319" s="48" t="s">
        <v>1649</v>
      </c>
      <c r="E319" s="48" t="s">
        <v>1648</v>
      </c>
      <c r="F319" s="108">
        <v>16</v>
      </c>
      <c r="G319" s="108">
        <v>184</v>
      </c>
      <c r="H319" s="108">
        <v>2</v>
      </c>
      <c r="I319" s="108">
        <v>11</v>
      </c>
      <c r="J319" s="108">
        <v>0</v>
      </c>
      <c r="K319" s="108">
        <v>0</v>
      </c>
      <c r="L319" s="108">
        <v>0</v>
      </c>
      <c r="M319" s="108">
        <v>0</v>
      </c>
      <c r="N319" s="108">
        <v>81</v>
      </c>
      <c r="O319" s="108">
        <v>11</v>
      </c>
      <c r="P319" s="108">
        <v>92</v>
      </c>
      <c r="Q319" s="108">
        <v>6</v>
      </c>
      <c r="R319" s="108">
        <v>58</v>
      </c>
      <c r="S319" s="108">
        <v>16</v>
      </c>
      <c r="T319" s="108">
        <v>184</v>
      </c>
      <c r="U319" s="109" t="s">
        <v>1648</v>
      </c>
      <c r="V319" s="108">
        <v>2</v>
      </c>
      <c r="W319" s="108">
        <v>13</v>
      </c>
      <c r="X319" s="108">
        <v>0</v>
      </c>
      <c r="Y319" s="108">
        <v>0</v>
      </c>
      <c r="Z319" s="108">
        <v>2</v>
      </c>
      <c r="AA319" s="108">
        <v>11</v>
      </c>
      <c r="AB319" s="108">
        <v>0</v>
      </c>
      <c r="AC319" s="108">
        <v>0</v>
      </c>
      <c r="AD319" s="108">
        <v>12</v>
      </c>
      <c r="AE319" s="108">
        <v>138</v>
      </c>
      <c r="AF319" s="108">
        <v>0</v>
      </c>
      <c r="AG319" s="108">
        <v>0</v>
      </c>
      <c r="AH319" s="108">
        <v>0</v>
      </c>
      <c r="AI319" s="108">
        <v>0</v>
      </c>
      <c r="AJ319" s="108">
        <v>6</v>
      </c>
      <c r="AK319" s="108">
        <v>58</v>
      </c>
      <c r="AL319" s="108">
        <v>30</v>
      </c>
      <c r="AM319" s="108">
        <v>333</v>
      </c>
      <c r="AN319" s="108">
        <f t="shared" si="17"/>
        <v>36</v>
      </c>
      <c r="AO319" s="108">
        <f t="shared" si="18"/>
        <v>391</v>
      </c>
      <c r="AP319" s="110">
        <f t="shared" si="20"/>
        <v>10.861111111111111</v>
      </c>
      <c r="AQ319" s="110">
        <f t="shared" si="19"/>
        <v>1.0250629194630873E-2</v>
      </c>
      <c r="AR319" s="108">
        <v>6</v>
      </c>
      <c r="AS319" s="108">
        <v>58</v>
      </c>
      <c r="AT319" s="108">
        <v>38144</v>
      </c>
    </row>
    <row r="320" spans="1:46" ht="13.5" thickBot="1" x14ac:dyDescent="0.25">
      <c r="A320" s="48" t="s">
        <v>616</v>
      </c>
      <c r="B320" s="47" t="s">
        <v>615</v>
      </c>
      <c r="C320" s="48" t="s">
        <v>39</v>
      </c>
      <c r="D320" s="48" t="s">
        <v>1648</v>
      </c>
      <c r="E320" s="48" t="s">
        <v>1648</v>
      </c>
      <c r="F320" s="108">
        <v>164</v>
      </c>
      <c r="G320" s="108">
        <v>4098</v>
      </c>
      <c r="H320" s="108">
        <v>39</v>
      </c>
      <c r="I320" s="108">
        <v>417</v>
      </c>
      <c r="J320" s="108">
        <v>46</v>
      </c>
      <c r="K320" s="108">
        <v>1838</v>
      </c>
      <c r="L320" s="108">
        <v>10</v>
      </c>
      <c r="M320" s="108">
        <v>248</v>
      </c>
      <c r="N320" s="108">
        <v>680</v>
      </c>
      <c r="O320" s="108">
        <v>81</v>
      </c>
      <c r="P320" s="108">
        <v>761</v>
      </c>
      <c r="Q320" s="108">
        <v>66</v>
      </c>
      <c r="R320" s="108">
        <v>1562</v>
      </c>
      <c r="S320" s="108">
        <v>210</v>
      </c>
      <c r="T320" s="108">
        <v>5936</v>
      </c>
      <c r="U320" s="109" t="s">
        <v>1648</v>
      </c>
      <c r="V320" s="108">
        <v>8</v>
      </c>
      <c r="W320" s="108">
        <v>211</v>
      </c>
      <c r="X320" s="108">
        <v>5</v>
      </c>
      <c r="Y320" s="108">
        <v>58</v>
      </c>
      <c r="Z320" s="108">
        <v>49</v>
      </c>
      <c r="AA320" s="108">
        <v>665</v>
      </c>
      <c r="AB320" s="108">
        <v>14</v>
      </c>
      <c r="AC320" s="108">
        <v>351</v>
      </c>
      <c r="AD320" s="108">
        <v>69</v>
      </c>
      <c r="AE320" s="108">
        <v>1094</v>
      </c>
      <c r="AF320" s="108">
        <v>0</v>
      </c>
      <c r="AG320" s="108">
        <v>0</v>
      </c>
      <c r="AH320" s="108">
        <v>0</v>
      </c>
      <c r="AI320" s="108">
        <v>0</v>
      </c>
      <c r="AJ320" s="108">
        <v>85</v>
      </c>
      <c r="AK320" s="108">
        <v>1971</v>
      </c>
      <c r="AL320" s="108">
        <v>328</v>
      </c>
      <c r="AM320" s="108">
        <v>7695</v>
      </c>
      <c r="AN320" s="108">
        <f t="shared" si="17"/>
        <v>413</v>
      </c>
      <c r="AO320" s="108">
        <f t="shared" si="18"/>
        <v>9666</v>
      </c>
      <c r="AP320" s="110">
        <f t="shared" si="20"/>
        <v>23.404358353510897</v>
      </c>
      <c r="AQ320" s="110">
        <f t="shared" si="19"/>
        <v>0.19986766469542203</v>
      </c>
      <c r="AR320" s="108">
        <v>9</v>
      </c>
      <c r="AS320" s="108">
        <v>84</v>
      </c>
      <c r="AT320" s="108">
        <v>48362</v>
      </c>
    </row>
    <row r="321" spans="1:46" ht="13.5" thickBot="1" x14ac:dyDescent="0.25">
      <c r="A321" s="48" t="s">
        <v>640</v>
      </c>
      <c r="B321" s="47" t="s">
        <v>639</v>
      </c>
      <c r="C321" s="48" t="s">
        <v>39</v>
      </c>
      <c r="D321" s="48" t="s">
        <v>1649</v>
      </c>
      <c r="E321" s="48" t="s">
        <v>1648</v>
      </c>
      <c r="F321" s="108">
        <v>180</v>
      </c>
      <c r="G321" s="108">
        <v>3176</v>
      </c>
      <c r="H321" s="108">
        <v>59</v>
      </c>
      <c r="I321" s="108">
        <v>837</v>
      </c>
      <c r="J321" s="108">
        <v>0</v>
      </c>
      <c r="K321" s="108">
        <v>0</v>
      </c>
      <c r="L321" s="108">
        <v>0</v>
      </c>
      <c r="M321" s="108">
        <v>0</v>
      </c>
      <c r="N321" s="108">
        <v>111</v>
      </c>
      <c r="O321" s="108">
        <v>35</v>
      </c>
      <c r="P321" s="108">
        <v>146</v>
      </c>
      <c r="Q321" s="108">
        <v>0</v>
      </c>
      <c r="R321" s="108">
        <v>0</v>
      </c>
      <c r="S321" s="108">
        <v>180</v>
      </c>
      <c r="T321" s="108">
        <v>3176</v>
      </c>
      <c r="U321" s="109" t="s">
        <v>1648</v>
      </c>
      <c r="V321" s="108">
        <v>88</v>
      </c>
      <c r="W321" s="108">
        <v>1846</v>
      </c>
      <c r="X321" s="108">
        <v>0</v>
      </c>
      <c r="Y321" s="108">
        <v>0</v>
      </c>
      <c r="Z321" s="108">
        <v>59</v>
      </c>
      <c r="AA321" s="108">
        <v>837</v>
      </c>
      <c r="AB321" s="108">
        <v>0</v>
      </c>
      <c r="AC321" s="108">
        <v>0</v>
      </c>
      <c r="AD321" s="108">
        <v>132</v>
      </c>
      <c r="AE321" s="108">
        <v>1429</v>
      </c>
      <c r="AF321" s="108">
        <v>0</v>
      </c>
      <c r="AG321" s="108">
        <v>0</v>
      </c>
      <c r="AH321" s="108">
        <v>0</v>
      </c>
      <c r="AI321" s="108">
        <v>0</v>
      </c>
      <c r="AJ321" s="108">
        <v>0</v>
      </c>
      <c r="AK321" s="108">
        <v>0</v>
      </c>
      <c r="AL321" s="108">
        <v>371</v>
      </c>
      <c r="AM321" s="108">
        <v>5442</v>
      </c>
      <c r="AN321" s="108">
        <f t="shared" si="17"/>
        <v>371</v>
      </c>
      <c r="AO321" s="108">
        <f t="shared" si="18"/>
        <v>5442</v>
      </c>
      <c r="AP321" s="110">
        <f t="shared" si="20"/>
        <v>14.668463611859838</v>
      </c>
      <c r="AQ321" s="110">
        <f t="shared" si="19"/>
        <v>0.16082035521144242</v>
      </c>
      <c r="AR321" s="108">
        <v>9</v>
      </c>
      <c r="AS321" s="108">
        <v>1519</v>
      </c>
      <c r="AT321" s="108">
        <v>33839</v>
      </c>
    </row>
    <row r="322" spans="1:46" ht="13.5" thickBot="1" x14ac:dyDescent="0.25">
      <c r="A322" s="48" t="s">
        <v>538</v>
      </c>
      <c r="B322" s="47" t="s">
        <v>537</v>
      </c>
      <c r="C322" s="48" t="s">
        <v>39</v>
      </c>
      <c r="D322" s="48" t="s">
        <v>1648</v>
      </c>
      <c r="E322" s="48" t="s">
        <v>1648</v>
      </c>
      <c r="F322" s="108">
        <v>83</v>
      </c>
      <c r="G322" s="108">
        <v>7349</v>
      </c>
      <c r="H322" s="108">
        <v>38</v>
      </c>
      <c r="I322" s="108">
        <v>1008</v>
      </c>
      <c r="J322" s="108">
        <v>4</v>
      </c>
      <c r="K322" s="108">
        <v>5478</v>
      </c>
      <c r="L322" s="108">
        <v>12</v>
      </c>
      <c r="M322" s="108">
        <v>148</v>
      </c>
      <c r="N322" s="108">
        <v>135</v>
      </c>
      <c r="O322" s="108">
        <v>55</v>
      </c>
      <c r="P322" s="108">
        <v>190</v>
      </c>
      <c r="Q322" s="108">
        <v>82</v>
      </c>
      <c r="R322" s="108">
        <v>1608</v>
      </c>
      <c r="S322" s="108">
        <v>87</v>
      </c>
      <c r="T322" s="108">
        <v>12827</v>
      </c>
      <c r="U322" s="109" t="s">
        <v>1648</v>
      </c>
      <c r="V322" s="108">
        <v>8</v>
      </c>
      <c r="W322" s="108">
        <v>116</v>
      </c>
      <c r="X322" s="108">
        <v>34</v>
      </c>
      <c r="Y322" s="108">
        <v>552</v>
      </c>
      <c r="Z322" s="108">
        <v>50</v>
      </c>
      <c r="AA322" s="108">
        <v>1156</v>
      </c>
      <c r="AB322" s="108">
        <v>80</v>
      </c>
      <c r="AC322" s="108">
        <v>1188</v>
      </c>
      <c r="AD322" s="108">
        <v>126</v>
      </c>
      <c r="AE322" s="108">
        <v>2173</v>
      </c>
      <c r="AF322" s="108">
        <v>0</v>
      </c>
      <c r="AG322" s="108">
        <v>0</v>
      </c>
      <c r="AH322" s="108">
        <v>0</v>
      </c>
      <c r="AI322" s="108">
        <v>0</v>
      </c>
      <c r="AJ322" s="108">
        <v>196</v>
      </c>
      <c r="AK322" s="108">
        <v>3348</v>
      </c>
      <c r="AL322" s="108">
        <v>263</v>
      </c>
      <c r="AM322" s="108">
        <v>16156</v>
      </c>
      <c r="AN322" s="108">
        <f t="shared" si="17"/>
        <v>459</v>
      </c>
      <c r="AO322" s="108">
        <f t="shared" si="18"/>
        <v>19504</v>
      </c>
      <c r="AP322" s="110">
        <f t="shared" si="20"/>
        <v>42.492374727668846</v>
      </c>
      <c r="AQ322" s="110">
        <f t="shared" si="19"/>
        <v>0.56587460469434536</v>
      </c>
      <c r="AR322" s="108">
        <v>11</v>
      </c>
      <c r="AS322" s="108">
        <v>6208</v>
      </c>
      <c r="AT322" s="108">
        <v>34467</v>
      </c>
    </row>
    <row r="323" spans="1:46" ht="13.5" thickBot="1" x14ac:dyDescent="0.25">
      <c r="A323" s="48" t="s">
        <v>550</v>
      </c>
      <c r="B323" s="47" t="s">
        <v>549</v>
      </c>
      <c r="C323" s="48" t="s">
        <v>39</v>
      </c>
      <c r="D323" s="48" t="s">
        <v>1648</v>
      </c>
      <c r="E323" s="48" t="s">
        <v>1648</v>
      </c>
      <c r="F323" s="108">
        <v>426</v>
      </c>
      <c r="G323" s="108">
        <v>12679</v>
      </c>
      <c r="H323" s="108">
        <v>69</v>
      </c>
      <c r="I323" s="108">
        <v>2708</v>
      </c>
      <c r="J323" s="108">
        <v>26</v>
      </c>
      <c r="K323" s="108">
        <v>1216</v>
      </c>
      <c r="L323" s="108">
        <v>3</v>
      </c>
      <c r="M323" s="108">
        <v>46</v>
      </c>
      <c r="N323" s="108">
        <v>726</v>
      </c>
      <c r="O323" s="108">
        <v>248</v>
      </c>
      <c r="P323" s="108">
        <v>974</v>
      </c>
      <c r="Q323" s="108">
        <v>131</v>
      </c>
      <c r="R323" s="108">
        <v>455</v>
      </c>
      <c r="S323" s="108">
        <v>452</v>
      </c>
      <c r="T323" s="108">
        <v>13895</v>
      </c>
      <c r="U323" s="109" t="s">
        <v>1648</v>
      </c>
      <c r="V323" s="108">
        <v>155</v>
      </c>
      <c r="W323" s="108">
        <v>4073</v>
      </c>
      <c r="X323" s="108">
        <v>4</v>
      </c>
      <c r="Y323" s="108">
        <v>9</v>
      </c>
      <c r="Z323" s="108">
        <v>72</v>
      </c>
      <c r="AA323" s="108">
        <v>2754</v>
      </c>
      <c r="AB323" s="108">
        <v>73</v>
      </c>
      <c r="AC323" s="108">
        <v>272</v>
      </c>
      <c r="AD323" s="108">
        <v>497</v>
      </c>
      <c r="AE323" s="108">
        <v>4793</v>
      </c>
      <c r="AF323" s="108">
        <v>0</v>
      </c>
      <c r="AG323" s="108">
        <v>0</v>
      </c>
      <c r="AH323" s="108">
        <v>6</v>
      </c>
      <c r="AI323" s="108">
        <v>1459</v>
      </c>
      <c r="AJ323" s="108">
        <v>208</v>
      </c>
      <c r="AK323" s="108">
        <v>736</v>
      </c>
      <c r="AL323" s="108">
        <v>1027</v>
      </c>
      <c r="AM323" s="108">
        <v>22901</v>
      </c>
      <c r="AN323" s="108">
        <f t="shared" si="17"/>
        <v>1235</v>
      </c>
      <c r="AO323" s="108">
        <f t="shared" si="18"/>
        <v>23637</v>
      </c>
      <c r="AP323" s="110">
        <f t="shared" si="20"/>
        <v>19.139271255060727</v>
      </c>
      <c r="AQ323" s="110">
        <f t="shared" si="19"/>
        <v>0.66782505509408374</v>
      </c>
      <c r="AR323" s="108">
        <v>11</v>
      </c>
      <c r="AS323" s="108">
        <v>917</v>
      </c>
      <c r="AT323" s="108">
        <v>35394</v>
      </c>
    </row>
    <row r="324" spans="1:46" ht="13.5" thickBot="1" x14ac:dyDescent="0.25">
      <c r="A324" s="48" t="s">
        <v>800</v>
      </c>
      <c r="B324" s="47" t="s">
        <v>799</v>
      </c>
      <c r="C324" s="48" t="s">
        <v>39</v>
      </c>
      <c r="D324" s="48" t="s">
        <v>1648</v>
      </c>
      <c r="E324" s="48" t="s">
        <v>1648</v>
      </c>
      <c r="F324" s="108">
        <v>188</v>
      </c>
      <c r="G324" s="108">
        <v>5826</v>
      </c>
      <c r="H324" s="108">
        <v>24</v>
      </c>
      <c r="I324" s="108">
        <v>677</v>
      </c>
      <c r="J324" s="108">
        <v>48</v>
      </c>
      <c r="K324" s="108">
        <v>2225</v>
      </c>
      <c r="L324" s="108">
        <v>10</v>
      </c>
      <c r="M324" s="108">
        <v>148</v>
      </c>
      <c r="N324" s="108">
        <v>916</v>
      </c>
      <c r="O324" s="108">
        <v>250</v>
      </c>
      <c r="P324" s="108">
        <v>1166</v>
      </c>
      <c r="Q324" s="108">
        <v>43</v>
      </c>
      <c r="R324" s="108">
        <v>213</v>
      </c>
      <c r="S324" s="108">
        <v>236</v>
      </c>
      <c r="T324" s="108">
        <v>8051</v>
      </c>
      <c r="U324" s="109" t="s">
        <v>1648</v>
      </c>
      <c r="V324" s="108">
        <v>82</v>
      </c>
      <c r="W324" s="108">
        <v>2745</v>
      </c>
      <c r="X324" s="108">
        <v>11</v>
      </c>
      <c r="Y324" s="108">
        <v>40</v>
      </c>
      <c r="Z324" s="108">
        <v>34</v>
      </c>
      <c r="AA324" s="108">
        <v>825</v>
      </c>
      <c r="AB324" s="108">
        <v>23</v>
      </c>
      <c r="AC324" s="108">
        <v>368</v>
      </c>
      <c r="AD324" s="108">
        <v>100</v>
      </c>
      <c r="AE324" s="108">
        <v>1387</v>
      </c>
      <c r="AF324" s="108">
        <v>44</v>
      </c>
      <c r="AG324" s="108">
        <v>730</v>
      </c>
      <c r="AH324" s="108">
        <v>2</v>
      </c>
      <c r="AI324" s="108">
        <v>200</v>
      </c>
      <c r="AJ324" s="108">
        <v>121</v>
      </c>
      <c r="AK324" s="108">
        <v>1351</v>
      </c>
      <c r="AL324" s="108">
        <v>372</v>
      </c>
      <c r="AM324" s="108">
        <v>10463</v>
      </c>
      <c r="AN324" s="108">
        <f t="shared" ref="AN324:AN392" si="21">AL324+AJ324</f>
        <v>493</v>
      </c>
      <c r="AO324" s="108">
        <f t="shared" ref="AO324:AO392" si="22">AM324+AK324</f>
        <v>11814</v>
      </c>
      <c r="AP324" s="110">
        <f t="shared" si="20"/>
        <v>23.963488843813387</v>
      </c>
      <c r="AQ324" s="110">
        <f t="shared" ref="AQ324:AQ392" si="23">AO324/AT324</f>
        <v>0.39355075119091243</v>
      </c>
      <c r="AR324" s="108">
        <v>11</v>
      </c>
      <c r="AS324" s="108">
        <v>87</v>
      </c>
      <c r="AT324" s="108">
        <v>30019</v>
      </c>
    </row>
    <row r="325" spans="1:46" ht="13.5" thickBot="1" x14ac:dyDescent="0.25">
      <c r="A325" s="48" t="s">
        <v>190</v>
      </c>
      <c r="B325" s="47" t="s">
        <v>189</v>
      </c>
      <c r="C325" s="48" t="s">
        <v>39</v>
      </c>
      <c r="D325" s="48" t="s">
        <v>1648</v>
      </c>
      <c r="E325" s="48" t="s">
        <v>1648</v>
      </c>
      <c r="F325" s="108">
        <v>200</v>
      </c>
      <c r="G325" s="108">
        <v>2800</v>
      </c>
      <c r="H325" s="108">
        <v>26</v>
      </c>
      <c r="I325" s="108">
        <v>122</v>
      </c>
      <c r="J325" s="108">
        <v>28</v>
      </c>
      <c r="K325" s="109">
        <v>0</v>
      </c>
      <c r="L325" s="108">
        <v>6</v>
      </c>
      <c r="M325" s="109">
        <v>0</v>
      </c>
      <c r="N325" s="108">
        <v>239</v>
      </c>
      <c r="O325" s="108">
        <v>80</v>
      </c>
      <c r="P325" s="108">
        <v>319</v>
      </c>
      <c r="Q325" s="108">
        <v>13</v>
      </c>
      <c r="R325" s="108">
        <v>100</v>
      </c>
      <c r="S325" s="108">
        <v>228</v>
      </c>
      <c r="T325" s="108">
        <v>2800</v>
      </c>
      <c r="U325" s="109" t="s">
        <v>1648</v>
      </c>
      <c r="V325" s="108">
        <v>9</v>
      </c>
      <c r="W325" s="108">
        <v>52</v>
      </c>
      <c r="X325" s="108">
        <v>4</v>
      </c>
      <c r="Y325" s="108">
        <v>35</v>
      </c>
      <c r="Z325" s="108">
        <v>32</v>
      </c>
      <c r="AA325" s="108">
        <v>122</v>
      </c>
      <c r="AB325" s="108">
        <v>0</v>
      </c>
      <c r="AC325" s="108">
        <v>0</v>
      </c>
      <c r="AD325" s="108">
        <v>238</v>
      </c>
      <c r="AE325" s="109">
        <v>0</v>
      </c>
      <c r="AF325" s="108">
        <v>1</v>
      </c>
      <c r="AG325" s="108">
        <v>12</v>
      </c>
      <c r="AH325" s="108">
        <v>220</v>
      </c>
      <c r="AI325" s="108">
        <v>3300</v>
      </c>
      <c r="AJ325" s="108">
        <v>18</v>
      </c>
      <c r="AK325" s="108">
        <v>147</v>
      </c>
      <c r="AL325" s="108">
        <v>718</v>
      </c>
      <c r="AM325" s="108">
        <v>6222</v>
      </c>
      <c r="AN325" s="108">
        <f t="shared" si="21"/>
        <v>736</v>
      </c>
      <c r="AO325" s="108">
        <f t="shared" si="22"/>
        <v>6369</v>
      </c>
      <c r="AP325" s="110">
        <f t="shared" si="20"/>
        <v>8.6535326086956523</v>
      </c>
      <c r="AQ325" s="110">
        <f t="shared" si="23"/>
        <v>0.22534762764037788</v>
      </c>
      <c r="AR325" s="108">
        <v>12</v>
      </c>
      <c r="AS325" s="108">
        <v>150</v>
      </c>
      <c r="AT325" s="108">
        <v>28263</v>
      </c>
    </row>
    <row r="326" spans="1:46" ht="13.5" thickBot="1" x14ac:dyDescent="0.25">
      <c r="A326" s="48" t="s">
        <v>150</v>
      </c>
      <c r="B326" s="47" t="s">
        <v>149</v>
      </c>
      <c r="C326" s="48" t="s">
        <v>39</v>
      </c>
      <c r="D326" s="48" t="s">
        <v>1649</v>
      </c>
      <c r="E326" s="48" t="s">
        <v>1648</v>
      </c>
      <c r="F326" s="108">
        <v>202</v>
      </c>
      <c r="G326" s="108">
        <v>2348</v>
      </c>
      <c r="H326" s="108">
        <v>20</v>
      </c>
      <c r="I326" s="108">
        <v>494</v>
      </c>
      <c r="J326" s="108">
        <v>37</v>
      </c>
      <c r="K326" s="108">
        <v>1329</v>
      </c>
      <c r="L326" s="108">
        <v>0</v>
      </c>
      <c r="M326" s="108">
        <v>0</v>
      </c>
      <c r="N326" s="108">
        <v>308</v>
      </c>
      <c r="O326" s="108">
        <v>47</v>
      </c>
      <c r="P326" s="108">
        <v>355</v>
      </c>
      <c r="Q326" s="108">
        <v>0</v>
      </c>
      <c r="R326" s="108">
        <v>0</v>
      </c>
      <c r="S326" s="108">
        <v>239</v>
      </c>
      <c r="T326" s="108">
        <v>3677</v>
      </c>
      <c r="U326" s="109" t="s">
        <v>1648</v>
      </c>
      <c r="V326" s="108">
        <v>154</v>
      </c>
      <c r="W326" s="108">
        <v>1505</v>
      </c>
      <c r="X326" s="108">
        <v>0</v>
      </c>
      <c r="Y326" s="108">
        <v>0</v>
      </c>
      <c r="Z326" s="108">
        <v>20</v>
      </c>
      <c r="AA326" s="108">
        <v>494</v>
      </c>
      <c r="AB326" s="108">
        <v>0</v>
      </c>
      <c r="AC326" s="108">
        <v>0</v>
      </c>
      <c r="AD326" s="108">
        <v>190</v>
      </c>
      <c r="AE326" s="108">
        <v>1875</v>
      </c>
      <c r="AF326" s="108">
        <v>0</v>
      </c>
      <c r="AG326" s="108">
        <v>0</v>
      </c>
      <c r="AH326" s="108">
        <v>0</v>
      </c>
      <c r="AI326" s="108">
        <v>0</v>
      </c>
      <c r="AJ326" s="108">
        <v>0</v>
      </c>
      <c r="AK326" s="108">
        <v>0</v>
      </c>
      <c r="AL326" s="108">
        <v>449</v>
      </c>
      <c r="AM326" s="108">
        <v>6046</v>
      </c>
      <c r="AN326" s="108">
        <f t="shared" si="21"/>
        <v>449</v>
      </c>
      <c r="AO326" s="108">
        <f t="shared" si="22"/>
        <v>6046</v>
      </c>
      <c r="AP326" s="110">
        <f t="shared" si="20"/>
        <v>13.465478841870825</v>
      </c>
      <c r="AQ326" s="110">
        <f t="shared" si="23"/>
        <v>0.1590968896373875</v>
      </c>
      <c r="AR326" s="108">
        <v>15</v>
      </c>
      <c r="AS326" s="108">
        <v>1189</v>
      </c>
      <c r="AT326" s="108">
        <v>38002</v>
      </c>
    </row>
    <row r="327" spans="1:46" ht="13.5" thickBot="1" x14ac:dyDescent="0.25">
      <c r="A327" s="48" t="s">
        <v>134</v>
      </c>
      <c r="B327" s="47" t="s">
        <v>133</v>
      </c>
      <c r="C327" s="48" t="s">
        <v>39</v>
      </c>
      <c r="D327" s="48" t="s">
        <v>1648</v>
      </c>
      <c r="E327" s="48" t="s">
        <v>1648</v>
      </c>
      <c r="F327" s="108">
        <v>181</v>
      </c>
      <c r="G327" s="108">
        <v>8249</v>
      </c>
      <c r="H327" s="108">
        <v>84</v>
      </c>
      <c r="I327" s="108">
        <v>853</v>
      </c>
      <c r="J327" s="108">
        <v>7</v>
      </c>
      <c r="K327" s="108">
        <v>1129</v>
      </c>
      <c r="L327" s="108">
        <v>10</v>
      </c>
      <c r="M327" s="108">
        <v>294</v>
      </c>
      <c r="N327" s="108">
        <v>0</v>
      </c>
      <c r="O327" s="108">
        <v>0</v>
      </c>
      <c r="P327" s="108">
        <v>0</v>
      </c>
      <c r="Q327" s="108">
        <v>3</v>
      </c>
      <c r="R327" s="108">
        <v>41</v>
      </c>
      <c r="S327" s="108">
        <v>188</v>
      </c>
      <c r="T327" s="108">
        <v>9378</v>
      </c>
      <c r="U327" s="109" t="s">
        <v>1648</v>
      </c>
      <c r="V327" s="108">
        <v>98</v>
      </c>
      <c r="W327" s="108">
        <v>2763</v>
      </c>
      <c r="X327" s="108">
        <v>2</v>
      </c>
      <c r="Y327" s="108">
        <v>10</v>
      </c>
      <c r="Z327" s="108">
        <v>94</v>
      </c>
      <c r="AA327" s="108">
        <v>1147</v>
      </c>
      <c r="AB327" s="108">
        <v>3</v>
      </c>
      <c r="AC327" s="108">
        <v>36</v>
      </c>
      <c r="AD327" s="108">
        <v>48</v>
      </c>
      <c r="AE327" s="108">
        <v>654</v>
      </c>
      <c r="AF327" s="108">
        <v>5</v>
      </c>
      <c r="AG327" s="108">
        <v>26</v>
      </c>
      <c r="AH327" s="108">
        <v>9</v>
      </c>
      <c r="AI327" s="108">
        <v>43</v>
      </c>
      <c r="AJ327" s="108">
        <v>13</v>
      </c>
      <c r="AK327" s="108">
        <v>113</v>
      </c>
      <c r="AL327" s="108">
        <v>339</v>
      </c>
      <c r="AM327" s="108">
        <v>11222</v>
      </c>
      <c r="AN327" s="108">
        <f t="shared" si="21"/>
        <v>352</v>
      </c>
      <c r="AO327" s="108">
        <f t="shared" si="22"/>
        <v>11335</v>
      </c>
      <c r="AP327" s="110">
        <f t="shared" si="20"/>
        <v>32.201704545454547</v>
      </c>
      <c r="AQ327" s="110">
        <f t="shared" si="23"/>
        <v>0.32305412260951349</v>
      </c>
      <c r="AR327" s="108">
        <v>18</v>
      </c>
      <c r="AS327" s="108">
        <v>841</v>
      </c>
      <c r="AT327" s="108">
        <v>35087</v>
      </c>
    </row>
    <row r="328" spans="1:46" ht="13.5" thickBot="1" x14ac:dyDescent="0.25">
      <c r="A328" s="48" t="s">
        <v>242</v>
      </c>
      <c r="B328" s="47" t="s">
        <v>241</v>
      </c>
      <c r="C328" s="48" t="s">
        <v>39</v>
      </c>
      <c r="D328" s="48" t="s">
        <v>1648</v>
      </c>
      <c r="E328" s="48" t="s">
        <v>1648</v>
      </c>
      <c r="F328" s="108">
        <v>107</v>
      </c>
      <c r="G328" s="108">
        <v>5656</v>
      </c>
      <c r="H328" s="108">
        <v>3</v>
      </c>
      <c r="I328" s="108">
        <v>24</v>
      </c>
      <c r="J328" s="108">
        <v>7</v>
      </c>
      <c r="K328" s="108">
        <v>172</v>
      </c>
      <c r="L328" s="108">
        <v>2</v>
      </c>
      <c r="M328" s="108">
        <v>3</v>
      </c>
      <c r="N328" s="108">
        <v>16</v>
      </c>
      <c r="O328" s="108">
        <v>0</v>
      </c>
      <c r="P328" s="108">
        <v>16</v>
      </c>
      <c r="Q328" s="108">
        <v>0</v>
      </c>
      <c r="R328" s="108">
        <v>0</v>
      </c>
      <c r="S328" s="108">
        <v>114</v>
      </c>
      <c r="T328" s="108">
        <v>5828</v>
      </c>
      <c r="U328" s="109" t="s">
        <v>1648</v>
      </c>
      <c r="V328" s="108">
        <v>46</v>
      </c>
      <c r="W328" s="108">
        <v>4160</v>
      </c>
      <c r="X328" s="108">
        <v>0</v>
      </c>
      <c r="Y328" s="108">
        <v>0</v>
      </c>
      <c r="Z328" s="108">
        <v>5</v>
      </c>
      <c r="AA328" s="108">
        <v>27</v>
      </c>
      <c r="AB328" s="108">
        <v>9</v>
      </c>
      <c r="AC328" s="108">
        <v>29</v>
      </c>
      <c r="AD328" s="108">
        <v>51</v>
      </c>
      <c r="AE328" s="108">
        <v>615</v>
      </c>
      <c r="AF328" s="108">
        <v>9</v>
      </c>
      <c r="AG328" s="108">
        <v>90</v>
      </c>
      <c r="AH328" s="108">
        <v>16</v>
      </c>
      <c r="AI328" s="108">
        <v>6271</v>
      </c>
      <c r="AJ328" s="108">
        <v>18</v>
      </c>
      <c r="AK328" s="108">
        <v>119</v>
      </c>
      <c r="AL328" s="108">
        <v>186</v>
      </c>
      <c r="AM328" s="108">
        <v>12741</v>
      </c>
      <c r="AN328" s="108">
        <f t="shared" si="21"/>
        <v>204</v>
      </c>
      <c r="AO328" s="108">
        <f t="shared" si="22"/>
        <v>12860</v>
      </c>
      <c r="AP328" s="110">
        <f t="shared" si="20"/>
        <v>63.03921568627451</v>
      </c>
      <c r="AQ328" s="110">
        <f t="shared" si="23"/>
        <v>0.39639972874668639</v>
      </c>
      <c r="AR328" s="108">
        <v>20</v>
      </c>
      <c r="AS328" s="108">
        <v>4141</v>
      </c>
      <c r="AT328" s="108">
        <v>32442</v>
      </c>
    </row>
    <row r="329" spans="1:46" ht="13.5" thickBot="1" x14ac:dyDescent="0.25">
      <c r="A329" s="48" t="s">
        <v>328</v>
      </c>
      <c r="B329" s="47" t="s">
        <v>327</v>
      </c>
      <c r="C329" s="48" t="s">
        <v>39</v>
      </c>
      <c r="D329" s="48" t="s">
        <v>1648</v>
      </c>
      <c r="E329" s="48" t="s">
        <v>1648</v>
      </c>
      <c r="F329" s="108">
        <v>48</v>
      </c>
      <c r="G329" s="108">
        <v>12606</v>
      </c>
      <c r="H329" s="108">
        <v>33</v>
      </c>
      <c r="I329" s="108">
        <v>3912</v>
      </c>
      <c r="J329" s="108">
        <v>13</v>
      </c>
      <c r="K329" s="108">
        <v>596</v>
      </c>
      <c r="L329" s="108">
        <v>2</v>
      </c>
      <c r="M329" s="108">
        <v>110</v>
      </c>
      <c r="N329" s="108">
        <v>257</v>
      </c>
      <c r="O329" s="108">
        <v>46</v>
      </c>
      <c r="P329" s="108">
        <v>303</v>
      </c>
      <c r="Q329" s="108">
        <v>37</v>
      </c>
      <c r="R329" s="108">
        <v>12606</v>
      </c>
      <c r="S329" s="108">
        <v>61</v>
      </c>
      <c r="T329" s="108">
        <v>13202</v>
      </c>
      <c r="U329" s="109" t="s">
        <v>1648</v>
      </c>
      <c r="V329" s="108">
        <v>35</v>
      </c>
      <c r="W329" s="108">
        <v>305</v>
      </c>
      <c r="X329" s="108">
        <v>33</v>
      </c>
      <c r="Y329" s="108">
        <v>3912</v>
      </c>
      <c r="Z329" s="108">
        <v>35</v>
      </c>
      <c r="AA329" s="108">
        <v>4022</v>
      </c>
      <c r="AB329" s="108">
        <v>96</v>
      </c>
      <c r="AC329" s="108">
        <v>36324</v>
      </c>
      <c r="AD329" s="108">
        <v>96</v>
      </c>
      <c r="AE329" s="108">
        <v>36324</v>
      </c>
      <c r="AF329" s="108">
        <v>32</v>
      </c>
      <c r="AG329" s="108">
        <v>1166</v>
      </c>
      <c r="AH329" s="108">
        <v>32</v>
      </c>
      <c r="AI329" s="108">
        <v>1166</v>
      </c>
      <c r="AJ329" s="108">
        <v>198</v>
      </c>
      <c r="AK329" s="108">
        <v>54008</v>
      </c>
      <c r="AL329" s="108">
        <v>224</v>
      </c>
      <c r="AM329" s="108">
        <v>54714</v>
      </c>
      <c r="AN329" s="108">
        <f t="shared" si="21"/>
        <v>422</v>
      </c>
      <c r="AO329" s="108">
        <f t="shared" si="22"/>
        <v>108722</v>
      </c>
      <c r="AP329" s="110">
        <f t="shared" si="20"/>
        <v>257.6350710900474</v>
      </c>
      <c r="AQ329" s="110">
        <f t="shared" si="23"/>
        <v>2.6583696024255463</v>
      </c>
      <c r="AR329" s="108">
        <v>20</v>
      </c>
      <c r="AS329" s="108">
        <v>10726</v>
      </c>
      <c r="AT329" s="108">
        <v>40898</v>
      </c>
    </row>
    <row r="330" spans="1:46" ht="13.5" thickBot="1" x14ac:dyDescent="0.25">
      <c r="A330" s="48" t="s">
        <v>170</v>
      </c>
      <c r="B330" s="47" t="s">
        <v>169</v>
      </c>
      <c r="C330" s="48" t="s">
        <v>39</v>
      </c>
      <c r="D330" s="48" t="s">
        <v>1648</v>
      </c>
      <c r="E330" s="48" t="s">
        <v>1648</v>
      </c>
      <c r="F330" s="108">
        <v>219</v>
      </c>
      <c r="G330" s="108">
        <v>6963</v>
      </c>
      <c r="H330" s="108">
        <v>41</v>
      </c>
      <c r="I330" s="108">
        <v>420</v>
      </c>
      <c r="J330" s="108">
        <v>64</v>
      </c>
      <c r="K330" s="108">
        <v>2102</v>
      </c>
      <c r="L330" s="108">
        <v>9</v>
      </c>
      <c r="M330" s="108">
        <v>111</v>
      </c>
      <c r="N330" s="108">
        <v>270</v>
      </c>
      <c r="O330" s="108">
        <v>91</v>
      </c>
      <c r="P330" s="108">
        <v>361</v>
      </c>
      <c r="Q330" s="108">
        <v>0</v>
      </c>
      <c r="R330" s="108">
        <v>0</v>
      </c>
      <c r="S330" s="108">
        <v>283</v>
      </c>
      <c r="T330" s="108">
        <v>9065</v>
      </c>
      <c r="U330" s="109" t="s">
        <v>1648</v>
      </c>
      <c r="V330" s="108">
        <v>107</v>
      </c>
      <c r="W330" s="108">
        <v>2406</v>
      </c>
      <c r="X330" s="108">
        <v>1</v>
      </c>
      <c r="Y330" s="108">
        <v>6</v>
      </c>
      <c r="Z330" s="108">
        <v>50</v>
      </c>
      <c r="AA330" s="108">
        <v>531</v>
      </c>
      <c r="AB330" s="108">
        <v>12</v>
      </c>
      <c r="AC330" s="108">
        <v>88</v>
      </c>
      <c r="AD330" s="108">
        <v>120</v>
      </c>
      <c r="AE330" s="108">
        <v>1458</v>
      </c>
      <c r="AF330" s="108">
        <v>33</v>
      </c>
      <c r="AG330" s="108">
        <v>5289</v>
      </c>
      <c r="AH330" s="108">
        <v>19</v>
      </c>
      <c r="AI330" s="108">
        <v>2025</v>
      </c>
      <c r="AJ330" s="108">
        <v>46</v>
      </c>
      <c r="AK330" s="108">
        <v>5383</v>
      </c>
      <c r="AL330" s="108">
        <v>472</v>
      </c>
      <c r="AM330" s="108">
        <v>13079</v>
      </c>
      <c r="AN330" s="108">
        <f t="shared" si="21"/>
        <v>518</v>
      </c>
      <c r="AO330" s="108">
        <f t="shared" si="22"/>
        <v>18462</v>
      </c>
      <c r="AP330" s="110">
        <f t="shared" si="20"/>
        <v>35.640926640926644</v>
      </c>
      <c r="AQ330" s="110">
        <f t="shared" si="23"/>
        <v>0.42557801802632489</v>
      </c>
      <c r="AR330" s="108">
        <v>21</v>
      </c>
      <c r="AS330" s="108">
        <v>3766</v>
      </c>
      <c r="AT330" s="108">
        <v>43381</v>
      </c>
    </row>
    <row r="331" spans="1:46" ht="13.5" thickBot="1" x14ac:dyDescent="0.25">
      <c r="A331" s="48" t="s">
        <v>300</v>
      </c>
      <c r="B331" s="47" t="s">
        <v>299</v>
      </c>
      <c r="C331" s="48" t="s">
        <v>39</v>
      </c>
      <c r="D331" s="48" t="s">
        <v>1648</v>
      </c>
      <c r="E331" s="48" t="s">
        <v>1648</v>
      </c>
      <c r="F331" s="108">
        <v>52</v>
      </c>
      <c r="G331" s="108">
        <v>712</v>
      </c>
      <c r="H331" s="108">
        <v>7</v>
      </c>
      <c r="I331" s="108">
        <v>39</v>
      </c>
      <c r="J331" s="108">
        <v>0</v>
      </c>
      <c r="K331" s="108">
        <v>0</v>
      </c>
      <c r="L331" s="108">
        <v>0</v>
      </c>
      <c r="M331" s="108">
        <v>0</v>
      </c>
      <c r="N331" s="108">
        <v>71</v>
      </c>
      <c r="O331" s="108">
        <v>10</v>
      </c>
      <c r="P331" s="108">
        <v>81</v>
      </c>
      <c r="Q331" s="108">
        <v>19</v>
      </c>
      <c r="R331" s="108">
        <v>76</v>
      </c>
      <c r="S331" s="108">
        <v>52</v>
      </c>
      <c r="T331" s="108">
        <v>712</v>
      </c>
      <c r="U331" s="109" t="s">
        <v>1648</v>
      </c>
      <c r="V331" s="108">
        <v>28</v>
      </c>
      <c r="W331" s="108">
        <v>405</v>
      </c>
      <c r="X331" s="108">
        <v>0</v>
      </c>
      <c r="Y331" s="108">
        <v>0</v>
      </c>
      <c r="Z331" s="108">
        <v>7</v>
      </c>
      <c r="AA331" s="108">
        <v>39</v>
      </c>
      <c r="AB331" s="108">
        <v>0</v>
      </c>
      <c r="AC331" s="108">
        <v>0</v>
      </c>
      <c r="AD331" s="108">
        <v>79</v>
      </c>
      <c r="AE331" s="108">
        <v>663</v>
      </c>
      <c r="AF331" s="108">
        <v>0</v>
      </c>
      <c r="AG331" s="108">
        <v>0</v>
      </c>
      <c r="AH331" s="108">
        <v>2</v>
      </c>
      <c r="AI331" s="108">
        <v>140</v>
      </c>
      <c r="AJ331" s="108">
        <v>19</v>
      </c>
      <c r="AK331" s="108">
        <v>76</v>
      </c>
      <c r="AL331" s="108">
        <v>140</v>
      </c>
      <c r="AM331" s="108">
        <v>1554</v>
      </c>
      <c r="AN331" s="108">
        <f t="shared" si="21"/>
        <v>159</v>
      </c>
      <c r="AO331" s="108">
        <f t="shared" si="22"/>
        <v>1630</v>
      </c>
      <c r="AP331" s="110">
        <f t="shared" si="20"/>
        <v>10.251572327044025</v>
      </c>
      <c r="AQ331" s="110">
        <f t="shared" si="23"/>
        <v>5.8861765130723671E-2</v>
      </c>
      <c r="AR331" s="108">
        <v>21</v>
      </c>
      <c r="AS331" s="108">
        <v>1767</v>
      </c>
      <c r="AT331" s="108">
        <v>27692</v>
      </c>
    </row>
    <row r="332" spans="1:46" ht="13.5" thickBot="1" x14ac:dyDescent="0.25">
      <c r="A332" s="48" t="s">
        <v>49</v>
      </c>
      <c r="B332" s="47" t="s">
        <v>48</v>
      </c>
      <c r="C332" s="48" t="s">
        <v>39</v>
      </c>
      <c r="D332" s="48" t="s">
        <v>1648</v>
      </c>
      <c r="E332" s="48" t="s">
        <v>1648</v>
      </c>
      <c r="F332" s="108">
        <v>63</v>
      </c>
      <c r="G332" s="108">
        <v>4523</v>
      </c>
      <c r="H332" s="108">
        <v>40</v>
      </c>
      <c r="I332" s="108">
        <v>395</v>
      </c>
      <c r="J332" s="108">
        <v>51</v>
      </c>
      <c r="K332" s="108">
        <v>1896</v>
      </c>
      <c r="L332" s="108">
        <v>22</v>
      </c>
      <c r="M332" s="108">
        <v>93</v>
      </c>
      <c r="N332" s="108">
        <v>313</v>
      </c>
      <c r="O332" s="108">
        <v>21</v>
      </c>
      <c r="P332" s="108">
        <v>334</v>
      </c>
      <c r="Q332" s="108">
        <v>17</v>
      </c>
      <c r="R332" s="108">
        <v>212</v>
      </c>
      <c r="S332" s="108">
        <v>114</v>
      </c>
      <c r="T332" s="108">
        <v>6419</v>
      </c>
      <c r="U332" s="109" t="s">
        <v>1648</v>
      </c>
      <c r="V332" s="108">
        <v>36</v>
      </c>
      <c r="W332" s="108">
        <v>346</v>
      </c>
      <c r="X332" s="108">
        <v>8</v>
      </c>
      <c r="Y332" s="108">
        <v>42</v>
      </c>
      <c r="Z332" s="108">
        <v>62</v>
      </c>
      <c r="AA332" s="108">
        <v>488</v>
      </c>
      <c r="AB332" s="108">
        <v>24</v>
      </c>
      <c r="AC332" s="108">
        <v>604</v>
      </c>
      <c r="AD332" s="108">
        <v>47</v>
      </c>
      <c r="AE332" s="108">
        <v>1831</v>
      </c>
      <c r="AF332" s="108">
        <v>0</v>
      </c>
      <c r="AG332" s="108">
        <v>0</v>
      </c>
      <c r="AH332" s="108">
        <v>18</v>
      </c>
      <c r="AI332" s="108">
        <v>326</v>
      </c>
      <c r="AJ332" s="108">
        <v>49</v>
      </c>
      <c r="AK332" s="108">
        <v>858</v>
      </c>
      <c r="AL332" s="108">
        <v>241</v>
      </c>
      <c r="AM332" s="108">
        <v>9064</v>
      </c>
      <c r="AN332" s="108">
        <f t="shared" si="21"/>
        <v>290</v>
      </c>
      <c r="AO332" s="108">
        <f t="shared" si="22"/>
        <v>9922</v>
      </c>
      <c r="AP332" s="110">
        <f t="shared" si="20"/>
        <v>34.213793103448275</v>
      </c>
      <c r="AQ332" s="110">
        <f t="shared" si="23"/>
        <v>0.33522535306439627</v>
      </c>
      <c r="AR332" s="108">
        <v>22</v>
      </c>
      <c r="AS332" s="108">
        <v>889</v>
      </c>
      <c r="AT332" s="108">
        <v>29598</v>
      </c>
    </row>
    <row r="333" spans="1:46" ht="13.5" thickBot="1" x14ac:dyDescent="0.25">
      <c r="A333" s="48" t="s">
        <v>41</v>
      </c>
      <c r="B333" s="47" t="s">
        <v>40</v>
      </c>
      <c r="C333" s="48" t="s">
        <v>39</v>
      </c>
      <c r="D333" s="48" t="s">
        <v>1648</v>
      </c>
      <c r="E333" s="48" t="s">
        <v>1648</v>
      </c>
      <c r="F333" s="108">
        <v>245</v>
      </c>
      <c r="G333" s="108">
        <v>9946</v>
      </c>
      <c r="H333" s="108">
        <v>25</v>
      </c>
      <c r="I333" s="108">
        <v>355</v>
      </c>
      <c r="J333" s="108">
        <v>76</v>
      </c>
      <c r="K333" s="108">
        <v>2393</v>
      </c>
      <c r="L333" s="108">
        <v>7</v>
      </c>
      <c r="M333" s="108">
        <v>52</v>
      </c>
      <c r="N333" s="108">
        <v>1143</v>
      </c>
      <c r="O333" s="108">
        <v>418</v>
      </c>
      <c r="P333" s="108">
        <v>1561</v>
      </c>
      <c r="Q333" s="108">
        <v>8</v>
      </c>
      <c r="R333" s="108">
        <v>52</v>
      </c>
      <c r="S333" s="108">
        <v>321</v>
      </c>
      <c r="T333" s="108">
        <v>12339</v>
      </c>
      <c r="U333" s="109" t="s">
        <v>1648</v>
      </c>
      <c r="V333" s="108">
        <v>85</v>
      </c>
      <c r="W333" s="108">
        <v>3346</v>
      </c>
      <c r="X333" s="108">
        <v>0</v>
      </c>
      <c r="Y333" s="108">
        <v>0</v>
      </c>
      <c r="Z333" s="108">
        <v>32</v>
      </c>
      <c r="AA333" s="108">
        <v>407</v>
      </c>
      <c r="AB333" s="108">
        <v>0</v>
      </c>
      <c r="AC333" s="108">
        <v>0</v>
      </c>
      <c r="AD333" s="108">
        <v>57</v>
      </c>
      <c r="AE333" s="108">
        <v>514</v>
      </c>
      <c r="AF333" s="108">
        <v>0</v>
      </c>
      <c r="AG333" s="108">
        <v>0</v>
      </c>
      <c r="AH333" s="108">
        <v>6</v>
      </c>
      <c r="AI333" s="108">
        <v>495</v>
      </c>
      <c r="AJ333" s="108">
        <v>8</v>
      </c>
      <c r="AK333" s="108">
        <v>52</v>
      </c>
      <c r="AL333" s="108">
        <v>416</v>
      </c>
      <c r="AM333" s="108">
        <v>13755</v>
      </c>
      <c r="AN333" s="108">
        <f t="shared" si="21"/>
        <v>424</v>
      </c>
      <c r="AO333" s="108">
        <f t="shared" si="22"/>
        <v>13807</v>
      </c>
      <c r="AP333" s="110">
        <f t="shared" si="20"/>
        <v>32.563679245283019</v>
      </c>
      <c r="AQ333" s="110">
        <f t="shared" si="23"/>
        <v>0.48817310752041865</v>
      </c>
      <c r="AR333" s="108">
        <v>24</v>
      </c>
      <c r="AS333" s="108">
        <v>1258</v>
      </c>
      <c r="AT333" s="108">
        <v>28283</v>
      </c>
    </row>
    <row r="334" spans="1:46" ht="13.5" thickBot="1" x14ac:dyDescent="0.25">
      <c r="A334" s="48" t="s">
        <v>448</v>
      </c>
      <c r="B334" s="47" t="s">
        <v>447</v>
      </c>
      <c r="C334" s="48" t="s">
        <v>39</v>
      </c>
      <c r="D334" s="48" t="s">
        <v>1648</v>
      </c>
      <c r="E334" s="48" t="s">
        <v>1648</v>
      </c>
      <c r="F334" s="108">
        <v>227</v>
      </c>
      <c r="G334" s="108">
        <v>9220</v>
      </c>
      <c r="H334" s="108">
        <v>35</v>
      </c>
      <c r="I334" s="108">
        <v>351</v>
      </c>
      <c r="J334" s="108">
        <v>10</v>
      </c>
      <c r="K334" s="108">
        <v>846</v>
      </c>
      <c r="L334" s="108">
        <v>8</v>
      </c>
      <c r="M334" s="108">
        <v>56</v>
      </c>
      <c r="N334" s="108">
        <v>424</v>
      </c>
      <c r="O334" s="108">
        <v>103</v>
      </c>
      <c r="P334" s="108">
        <v>527</v>
      </c>
      <c r="Q334" s="108">
        <v>18</v>
      </c>
      <c r="R334" s="108">
        <v>670</v>
      </c>
      <c r="S334" s="108">
        <v>237</v>
      </c>
      <c r="T334" s="108">
        <v>10066</v>
      </c>
      <c r="U334" s="109" t="s">
        <v>1648</v>
      </c>
      <c r="V334" s="108">
        <v>121</v>
      </c>
      <c r="W334" s="108">
        <v>3630</v>
      </c>
      <c r="X334" s="108">
        <v>5</v>
      </c>
      <c r="Y334" s="108">
        <v>37</v>
      </c>
      <c r="Z334" s="108">
        <v>43</v>
      </c>
      <c r="AA334" s="108">
        <v>407</v>
      </c>
      <c r="AB334" s="108">
        <v>3</v>
      </c>
      <c r="AC334" s="108">
        <v>89</v>
      </c>
      <c r="AD334" s="108">
        <v>106</v>
      </c>
      <c r="AE334" s="108">
        <v>3435</v>
      </c>
      <c r="AF334" s="108">
        <v>0</v>
      </c>
      <c r="AG334" s="108">
        <v>0</v>
      </c>
      <c r="AH334" s="108">
        <v>141</v>
      </c>
      <c r="AI334" s="108">
        <v>3176</v>
      </c>
      <c r="AJ334" s="108">
        <v>26</v>
      </c>
      <c r="AK334" s="108">
        <v>796</v>
      </c>
      <c r="AL334" s="108">
        <v>527</v>
      </c>
      <c r="AM334" s="108">
        <v>17084</v>
      </c>
      <c r="AN334" s="108">
        <f t="shared" si="21"/>
        <v>553</v>
      </c>
      <c r="AO334" s="108">
        <f t="shared" si="22"/>
        <v>17880</v>
      </c>
      <c r="AP334" s="110">
        <f t="shared" si="20"/>
        <v>32.332730560578661</v>
      </c>
      <c r="AQ334" s="110">
        <f t="shared" si="23"/>
        <v>0.50309510410804725</v>
      </c>
      <c r="AR334" s="108">
        <v>26</v>
      </c>
      <c r="AS334" s="108">
        <v>796</v>
      </c>
      <c r="AT334" s="108">
        <v>35540</v>
      </c>
    </row>
    <row r="335" spans="1:46" ht="13.5" thickBot="1" x14ac:dyDescent="0.25">
      <c r="A335" s="48" t="s">
        <v>240</v>
      </c>
      <c r="B335" s="47" t="s">
        <v>239</v>
      </c>
      <c r="C335" s="48" t="s">
        <v>39</v>
      </c>
      <c r="D335" s="48" t="s">
        <v>1648</v>
      </c>
      <c r="E335" s="48" t="s">
        <v>1648</v>
      </c>
      <c r="F335" s="108">
        <v>172</v>
      </c>
      <c r="G335" s="108">
        <v>5320</v>
      </c>
      <c r="H335" s="108">
        <v>215</v>
      </c>
      <c r="I335" s="108">
        <v>7779</v>
      </c>
      <c r="J335" s="108">
        <v>68</v>
      </c>
      <c r="K335" s="108">
        <v>2780</v>
      </c>
      <c r="L335" s="108">
        <v>43</v>
      </c>
      <c r="M335" s="108">
        <v>1103</v>
      </c>
      <c r="N335" s="108">
        <v>407</v>
      </c>
      <c r="O335" s="108">
        <v>181</v>
      </c>
      <c r="P335" s="108">
        <v>588</v>
      </c>
      <c r="Q335" s="108">
        <v>30</v>
      </c>
      <c r="R335" s="108">
        <v>643</v>
      </c>
      <c r="S335" s="108">
        <v>240</v>
      </c>
      <c r="T335" s="108">
        <v>8100</v>
      </c>
      <c r="U335" s="109" t="s">
        <v>1648</v>
      </c>
      <c r="V335" s="108">
        <v>154</v>
      </c>
      <c r="W335" s="108">
        <v>5470</v>
      </c>
      <c r="X335" s="108">
        <v>77</v>
      </c>
      <c r="Y335" s="108">
        <v>315</v>
      </c>
      <c r="Z335" s="108">
        <v>258</v>
      </c>
      <c r="AA335" s="108">
        <v>8882</v>
      </c>
      <c r="AB335" s="108">
        <v>13</v>
      </c>
      <c r="AC335" s="108">
        <v>232</v>
      </c>
      <c r="AD335" s="108">
        <v>304</v>
      </c>
      <c r="AE335" s="108">
        <v>3921</v>
      </c>
      <c r="AF335" s="108">
        <v>6</v>
      </c>
      <c r="AG335" s="108">
        <v>804</v>
      </c>
      <c r="AH335" s="108">
        <v>12</v>
      </c>
      <c r="AI335" s="108">
        <v>3716</v>
      </c>
      <c r="AJ335" s="108">
        <v>126</v>
      </c>
      <c r="AK335" s="108">
        <v>1994</v>
      </c>
      <c r="AL335" s="108">
        <v>814</v>
      </c>
      <c r="AM335" s="108">
        <v>24619</v>
      </c>
      <c r="AN335" s="108">
        <f t="shared" si="21"/>
        <v>940</v>
      </c>
      <c r="AO335" s="108">
        <f t="shared" si="22"/>
        <v>26613</v>
      </c>
      <c r="AP335" s="110">
        <f t="shared" si="20"/>
        <v>28.311702127659576</v>
      </c>
      <c r="AQ335" s="110">
        <f t="shared" si="23"/>
        <v>0.54782930896066206</v>
      </c>
      <c r="AR335" s="108">
        <v>27</v>
      </c>
      <c r="AS335" s="108">
        <v>63000</v>
      </c>
      <c r="AT335" s="108">
        <v>48579</v>
      </c>
    </row>
    <row r="336" spans="1:46" ht="13.5" thickBot="1" x14ac:dyDescent="0.25">
      <c r="A336" s="48" t="s">
        <v>38</v>
      </c>
      <c r="B336" s="47" t="s">
        <v>37</v>
      </c>
      <c r="C336" s="48" t="s">
        <v>39</v>
      </c>
      <c r="D336" s="48" t="s">
        <v>1648</v>
      </c>
      <c r="E336" s="48" t="s">
        <v>1648</v>
      </c>
      <c r="F336" s="108">
        <v>26</v>
      </c>
      <c r="G336" s="108">
        <v>533</v>
      </c>
      <c r="H336" s="108">
        <v>5</v>
      </c>
      <c r="I336" s="108">
        <v>18</v>
      </c>
      <c r="J336" s="108">
        <v>31</v>
      </c>
      <c r="K336" s="108">
        <v>1912</v>
      </c>
      <c r="L336" s="108">
        <v>0</v>
      </c>
      <c r="M336" s="108">
        <v>0</v>
      </c>
      <c r="N336" s="108">
        <v>116</v>
      </c>
      <c r="O336" s="108">
        <v>7</v>
      </c>
      <c r="P336" s="108">
        <v>123</v>
      </c>
      <c r="Q336" s="108">
        <v>5</v>
      </c>
      <c r="R336" s="108">
        <v>38</v>
      </c>
      <c r="S336" s="108">
        <v>57</v>
      </c>
      <c r="T336" s="108">
        <v>2445</v>
      </c>
      <c r="U336" s="109" t="s">
        <v>1648</v>
      </c>
      <c r="V336" s="108">
        <v>10</v>
      </c>
      <c r="W336" s="108">
        <v>321</v>
      </c>
      <c r="X336" s="108">
        <v>0</v>
      </c>
      <c r="Y336" s="108">
        <v>0</v>
      </c>
      <c r="Z336" s="108">
        <v>5</v>
      </c>
      <c r="AA336" s="108">
        <v>18</v>
      </c>
      <c r="AB336" s="108">
        <v>4</v>
      </c>
      <c r="AC336" s="108">
        <v>125</v>
      </c>
      <c r="AD336" s="108">
        <v>37</v>
      </c>
      <c r="AE336" s="108">
        <v>296</v>
      </c>
      <c r="AF336" s="108">
        <v>0</v>
      </c>
      <c r="AG336" s="108">
        <v>0</v>
      </c>
      <c r="AH336" s="108">
        <v>11</v>
      </c>
      <c r="AI336" s="108">
        <v>644</v>
      </c>
      <c r="AJ336" s="108">
        <v>9</v>
      </c>
      <c r="AK336" s="108">
        <v>163</v>
      </c>
      <c r="AL336" s="108">
        <v>110</v>
      </c>
      <c r="AM336" s="108">
        <v>3403</v>
      </c>
      <c r="AN336" s="108">
        <f t="shared" si="21"/>
        <v>119</v>
      </c>
      <c r="AO336" s="108">
        <f t="shared" si="22"/>
        <v>3566</v>
      </c>
      <c r="AP336" s="110">
        <f t="shared" si="20"/>
        <v>29.966386554621849</v>
      </c>
      <c r="AQ336" s="110">
        <f t="shared" si="23"/>
        <v>0.12640907479617158</v>
      </c>
      <c r="AR336" s="108">
        <v>28</v>
      </c>
      <c r="AS336" s="108">
        <v>1957</v>
      </c>
      <c r="AT336" s="108">
        <v>28210</v>
      </c>
    </row>
    <row r="337" spans="1:46" ht="13.5" thickBot="1" x14ac:dyDescent="0.25">
      <c r="A337" s="48" t="s">
        <v>84</v>
      </c>
      <c r="B337" s="47" t="s">
        <v>83</v>
      </c>
      <c r="C337" s="48" t="s">
        <v>39</v>
      </c>
      <c r="D337" s="48" t="s">
        <v>1648</v>
      </c>
      <c r="E337" s="48" t="s">
        <v>1648</v>
      </c>
      <c r="F337" s="108">
        <v>97</v>
      </c>
      <c r="G337" s="108">
        <v>1360</v>
      </c>
      <c r="H337" s="108">
        <v>0</v>
      </c>
      <c r="I337" s="108">
        <v>0</v>
      </c>
      <c r="J337" s="108">
        <v>13</v>
      </c>
      <c r="K337" s="108">
        <v>965</v>
      </c>
      <c r="L337" s="108">
        <v>7</v>
      </c>
      <c r="M337" s="108">
        <v>170</v>
      </c>
      <c r="N337" s="108">
        <v>77</v>
      </c>
      <c r="O337" s="108">
        <v>20</v>
      </c>
      <c r="P337" s="108">
        <v>97</v>
      </c>
      <c r="Q337" s="108">
        <v>6</v>
      </c>
      <c r="R337" s="108">
        <v>66</v>
      </c>
      <c r="S337" s="108">
        <v>110</v>
      </c>
      <c r="T337" s="108">
        <v>2325</v>
      </c>
      <c r="U337" s="109" t="s">
        <v>1648</v>
      </c>
      <c r="V337" s="108">
        <v>60</v>
      </c>
      <c r="W337" s="108">
        <v>1158</v>
      </c>
      <c r="X337" s="108">
        <v>0</v>
      </c>
      <c r="Y337" s="108">
        <v>0</v>
      </c>
      <c r="Z337" s="108">
        <v>7</v>
      </c>
      <c r="AA337" s="108">
        <v>170</v>
      </c>
      <c r="AB337" s="108">
        <v>3</v>
      </c>
      <c r="AC337" s="108">
        <v>29</v>
      </c>
      <c r="AD337" s="108">
        <v>76</v>
      </c>
      <c r="AE337" s="108">
        <v>675</v>
      </c>
      <c r="AF337" s="108">
        <v>0</v>
      </c>
      <c r="AG337" s="108">
        <v>0</v>
      </c>
      <c r="AH337" s="108">
        <v>3</v>
      </c>
      <c r="AI337" s="108">
        <v>878</v>
      </c>
      <c r="AJ337" s="108">
        <v>9</v>
      </c>
      <c r="AK337" s="108">
        <v>95</v>
      </c>
      <c r="AL337" s="108">
        <v>196</v>
      </c>
      <c r="AM337" s="108">
        <v>4048</v>
      </c>
      <c r="AN337" s="108">
        <f t="shared" si="21"/>
        <v>205</v>
      </c>
      <c r="AO337" s="108">
        <f t="shared" si="22"/>
        <v>4143</v>
      </c>
      <c r="AP337" s="110">
        <f t="shared" si="20"/>
        <v>20.209756097560977</v>
      </c>
      <c r="AQ337" s="110">
        <f t="shared" si="23"/>
        <v>9.7802223743537683E-2</v>
      </c>
      <c r="AR337" s="108">
        <v>35</v>
      </c>
      <c r="AS337" s="108">
        <v>436</v>
      </c>
      <c r="AT337" s="108">
        <v>42361</v>
      </c>
    </row>
    <row r="338" spans="1:46" ht="13.5" thickBot="1" x14ac:dyDescent="0.25">
      <c r="A338" s="48" t="s">
        <v>646</v>
      </c>
      <c r="B338" s="47" t="s">
        <v>645</v>
      </c>
      <c r="C338" s="48" t="s">
        <v>39</v>
      </c>
      <c r="D338" s="48" t="s">
        <v>1648</v>
      </c>
      <c r="E338" s="48" t="s">
        <v>1648</v>
      </c>
      <c r="F338" s="108">
        <v>55</v>
      </c>
      <c r="G338" s="108">
        <v>905</v>
      </c>
      <c r="H338" s="108">
        <v>48</v>
      </c>
      <c r="I338" s="108">
        <v>136</v>
      </c>
      <c r="J338" s="108">
        <v>23</v>
      </c>
      <c r="K338" s="108">
        <v>268</v>
      </c>
      <c r="L338" s="108">
        <v>5</v>
      </c>
      <c r="M338" s="108">
        <v>34</v>
      </c>
      <c r="N338" s="108">
        <v>55</v>
      </c>
      <c r="O338" s="108">
        <v>15</v>
      </c>
      <c r="P338" s="108">
        <v>70</v>
      </c>
      <c r="Q338" s="108">
        <v>20</v>
      </c>
      <c r="R338" s="108">
        <v>46</v>
      </c>
      <c r="S338" s="108">
        <v>78</v>
      </c>
      <c r="T338" s="108">
        <v>1173</v>
      </c>
      <c r="U338" s="109" t="s">
        <v>1648</v>
      </c>
      <c r="V338" s="108">
        <v>36</v>
      </c>
      <c r="W338" s="108">
        <v>219</v>
      </c>
      <c r="X338" s="108">
        <v>1</v>
      </c>
      <c r="Y338" s="108">
        <v>0</v>
      </c>
      <c r="Z338" s="108">
        <v>53</v>
      </c>
      <c r="AA338" s="108">
        <v>170</v>
      </c>
      <c r="AB338" s="108">
        <v>21</v>
      </c>
      <c r="AC338" s="108">
        <v>127</v>
      </c>
      <c r="AD338" s="108">
        <v>56</v>
      </c>
      <c r="AE338" s="108">
        <v>918</v>
      </c>
      <c r="AF338" s="108">
        <v>0</v>
      </c>
      <c r="AG338" s="108">
        <v>0</v>
      </c>
      <c r="AH338" s="108">
        <v>0</v>
      </c>
      <c r="AI338" s="108">
        <v>0</v>
      </c>
      <c r="AJ338" s="108">
        <v>42</v>
      </c>
      <c r="AK338" s="108">
        <v>173</v>
      </c>
      <c r="AL338" s="108">
        <v>187</v>
      </c>
      <c r="AM338" s="108">
        <v>2261</v>
      </c>
      <c r="AN338" s="108">
        <f t="shared" si="21"/>
        <v>229</v>
      </c>
      <c r="AO338" s="108">
        <f t="shared" si="22"/>
        <v>2434</v>
      </c>
      <c r="AP338" s="110">
        <f t="shared" si="20"/>
        <v>10.62882096069869</v>
      </c>
      <c r="AQ338" s="110">
        <f t="shared" si="23"/>
        <v>5.1459861730691982E-2</v>
      </c>
      <c r="AR338" s="108">
        <v>37</v>
      </c>
      <c r="AS338" s="108">
        <v>4810</v>
      </c>
      <c r="AT338" s="108">
        <v>47299</v>
      </c>
    </row>
    <row r="339" spans="1:46" ht="13.5" thickBot="1" x14ac:dyDescent="0.25">
      <c r="A339" s="48" t="s">
        <v>174</v>
      </c>
      <c r="B339" s="47" t="s">
        <v>173</v>
      </c>
      <c r="C339" s="48" t="s">
        <v>39</v>
      </c>
      <c r="D339" s="48" t="s">
        <v>1648</v>
      </c>
      <c r="E339" s="48" t="s">
        <v>1648</v>
      </c>
      <c r="F339" s="108">
        <v>462</v>
      </c>
      <c r="G339" s="108">
        <v>22403</v>
      </c>
      <c r="H339" s="108">
        <v>56</v>
      </c>
      <c r="I339" s="108">
        <v>1039</v>
      </c>
      <c r="J339" s="108">
        <v>71</v>
      </c>
      <c r="K339" s="108">
        <v>3257</v>
      </c>
      <c r="L339" s="108">
        <v>12</v>
      </c>
      <c r="M339" s="108">
        <v>360</v>
      </c>
      <c r="N339" s="108">
        <v>734</v>
      </c>
      <c r="O339" s="108">
        <v>259</v>
      </c>
      <c r="P339" s="108">
        <v>993</v>
      </c>
      <c r="Q339" s="108">
        <v>108</v>
      </c>
      <c r="R339" s="108">
        <v>3088</v>
      </c>
      <c r="S339" s="108">
        <v>533</v>
      </c>
      <c r="T339" s="108">
        <v>25660</v>
      </c>
      <c r="U339" s="109" t="s">
        <v>1648</v>
      </c>
      <c r="V339" s="108">
        <v>180</v>
      </c>
      <c r="W339" s="108">
        <v>6426</v>
      </c>
      <c r="X339" s="108">
        <v>1</v>
      </c>
      <c r="Y339" s="108">
        <v>30</v>
      </c>
      <c r="Z339" s="108">
        <v>68</v>
      </c>
      <c r="AA339" s="108">
        <v>1399</v>
      </c>
      <c r="AB339" s="108">
        <v>18</v>
      </c>
      <c r="AC339" s="108">
        <v>161</v>
      </c>
      <c r="AD339" s="108">
        <v>152</v>
      </c>
      <c r="AE339" s="108">
        <v>2464</v>
      </c>
      <c r="AF339" s="108">
        <v>0</v>
      </c>
      <c r="AG339" s="108">
        <v>0</v>
      </c>
      <c r="AH339" s="108">
        <v>0</v>
      </c>
      <c r="AI339" s="108">
        <v>0</v>
      </c>
      <c r="AJ339" s="108">
        <v>127</v>
      </c>
      <c r="AK339" s="108">
        <v>3279</v>
      </c>
      <c r="AL339" s="108">
        <v>753</v>
      </c>
      <c r="AM339" s="108">
        <v>29523</v>
      </c>
      <c r="AN339" s="108">
        <f t="shared" si="21"/>
        <v>880</v>
      </c>
      <c r="AO339" s="108">
        <f t="shared" si="22"/>
        <v>32802</v>
      </c>
      <c r="AP339" s="110">
        <f t="shared" si="20"/>
        <v>37.274999999999999</v>
      </c>
      <c r="AQ339" s="110">
        <f t="shared" si="23"/>
        <v>0.92236313021961025</v>
      </c>
      <c r="AR339" s="108">
        <v>46</v>
      </c>
      <c r="AS339" s="108">
        <v>2495</v>
      </c>
      <c r="AT339" s="108">
        <v>35563</v>
      </c>
    </row>
    <row r="340" spans="1:46" ht="13.5" thickBot="1" x14ac:dyDescent="0.25">
      <c r="A340" s="48" t="s">
        <v>124</v>
      </c>
      <c r="B340" s="47" t="s">
        <v>123</v>
      </c>
      <c r="C340" s="48" t="s">
        <v>39</v>
      </c>
      <c r="D340" s="48" t="s">
        <v>1648</v>
      </c>
      <c r="E340" s="48" t="s">
        <v>1648</v>
      </c>
      <c r="F340" s="108">
        <v>224</v>
      </c>
      <c r="G340" s="108">
        <v>9930</v>
      </c>
      <c r="H340" s="108">
        <v>48</v>
      </c>
      <c r="I340" s="108">
        <v>936</v>
      </c>
      <c r="J340" s="108">
        <v>49</v>
      </c>
      <c r="K340" s="108">
        <v>2837</v>
      </c>
      <c r="L340" s="108">
        <v>25</v>
      </c>
      <c r="M340" s="108">
        <v>231</v>
      </c>
      <c r="N340" s="108">
        <v>1281</v>
      </c>
      <c r="O340" s="108">
        <v>269</v>
      </c>
      <c r="P340" s="108">
        <v>1550</v>
      </c>
      <c r="Q340" s="108">
        <v>34</v>
      </c>
      <c r="R340" s="108">
        <v>499</v>
      </c>
      <c r="S340" s="108">
        <v>273</v>
      </c>
      <c r="T340" s="108">
        <v>12767</v>
      </c>
      <c r="U340" s="109" t="s">
        <v>1648</v>
      </c>
      <c r="V340" s="108">
        <v>124</v>
      </c>
      <c r="W340" s="108">
        <v>4189</v>
      </c>
      <c r="X340" s="108">
        <v>29</v>
      </c>
      <c r="Y340" s="108">
        <v>129</v>
      </c>
      <c r="Z340" s="108">
        <v>73</v>
      </c>
      <c r="AA340" s="108">
        <v>1167</v>
      </c>
      <c r="AB340" s="108">
        <v>32</v>
      </c>
      <c r="AC340" s="108">
        <v>361</v>
      </c>
      <c r="AD340" s="108">
        <v>106</v>
      </c>
      <c r="AE340" s="108">
        <v>1311</v>
      </c>
      <c r="AF340" s="108">
        <v>0</v>
      </c>
      <c r="AG340" s="108">
        <v>0</v>
      </c>
      <c r="AH340" s="108">
        <v>1</v>
      </c>
      <c r="AI340" s="108">
        <v>900</v>
      </c>
      <c r="AJ340" s="108">
        <v>95</v>
      </c>
      <c r="AK340" s="108">
        <v>989</v>
      </c>
      <c r="AL340" s="108">
        <v>453</v>
      </c>
      <c r="AM340" s="108">
        <v>16145</v>
      </c>
      <c r="AN340" s="108">
        <f t="shared" si="21"/>
        <v>548</v>
      </c>
      <c r="AO340" s="108">
        <f t="shared" si="22"/>
        <v>17134</v>
      </c>
      <c r="AP340" s="110">
        <f t="shared" si="20"/>
        <v>31.266423357664234</v>
      </c>
      <c r="AQ340" s="110">
        <f t="shared" si="23"/>
        <v>0.39612521385305405</v>
      </c>
      <c r="AR340" s="108">
        <v>51</v>
      </c>
      <c r="AS340" s="108">
        <v>899</v>
      </c>
      <c r="AT340" s="108">
        <v>43254</v>
      </c>
    </row>
    <row r="341" spans="1:46" ht="13.5" thickBot="1" x14ac:dyDescent="0.25">
      <c r="A341" s="48" t="s">
        <v>544</v>
      </c>
      <c r="B341" s="47" t="s">
        <v>543</v>
      </c>
      <c r="C341" s="48" t="s">
        <v>39</v>
      </c>
      <c r="D341" s="48" t="s">
        <v>1648</v>
      </c>
      <c r="E341" s="48" t="s">
        <v>1648</v>
      </c>
      <c r="F341" s="108">
        <v>55</v>
      </c>
      <c r="G341" s="108">
        <v>485</v>
      </c>
      <c r="H341" s="108">
        <v>10</v>
      </c>
      <c r="I341" s="108">
        <v>148</v>
      </c>
      <c r="J341" s="108">
        <v>16</v>
      </c>
      <c r="K341" s="108">
        <v>626</v>
      </c>
      <c r="L341" s="108">
        <v>10</v>
      </c>
      <c r="M341" s="108">
        <v>65</v>
      </c>
      <c r="N341" s="108">
        <v>65</v>
      </c>
      <c r="O341" s="108">
        <v>18</v>
      </c>
      <c r="P341" s="108">
        <v>83</v>
      </c>
      <c r="Q341" s="108">
        <v>4</v>
      </c>
      <c r="R341" s="108">
        <v>150</v>
      </c>
      <c r="S341" s="108">
        <v>71</v>
      </c>
      <c r="T341" s="108">
        <v>1111</v>
      </c>
      <c r="U341" s="109" t="s">
        <v>1648</v>
      </c>
      <c r="V341" s="108">
        <v>35</v>
      </c>
      <c r="W341" s="108">
        <v>587</v>
      </c>
      <c r="X341" s="108">
        <v>12</v>
      </c>
      <c r="Y341" s="108">
        <v>76</v>
      </c>
      <c r="Z341" s="108">
        <v>20</v>
      </c>
      <c r="AA341" s="108">
        <v>213</v>
      </c>
      <c r="AB341" s="108">
        <v>28</v>
      </c>
      <c r="AC341" s="108">
        <v>159</v>
      </c>
      <c r="AD341" s="108">
        <v>45</v>
      </c>
      <c r="AE341" s="108">
        <v>256</v>
      </c>
      <c r="AF341" s="108">
        <v>39</v>
      </c>
      <c r="AG341" s="108">
        <v>1789</v>
      </c>
      <c r="AH341" s="108">
        <v>9</v>
      </c>
      <c r="AI341" s="108">
        <v>236</v>
      </c>
      <c r="AJ341" s="108">
        <v>83</v>
      </c>
      <c r="AK341" s="108">
        <v>2174</v>
      </c>
      <c r="AL341" s="108">
        <v>145</v>
      </c>
      <c r="AM341" s="108">
        <v>1816</v>
      </c>
      <c r="AN341" s="108">
        <f t="shared" si="21"/>
        <v>228</v>
      </c>
      <c r="AO341" s="108">
        <f t="shared" si="22"/>
        <v>3990</v>
      </c>
      <c r="AP341" s="110">
        <f t="shared" si="20"/>
        <v>17.5</v>
      </c>
      <c r="AQ341" s="110">
        <f t="shared" si="23"/>
        <v>0.13608922541696511</v>
      </c>
      <c r="AR341" s="108">
        <v>56</v>
      </c>
      <c r="AS341" s="108">
        <v>86</v>
      </c>
      <c r="AT341" s="108">
        <v>29319</v>
      </c>
    </row>
    <row r="342" spans="1:46" ht="13.5" thickBot="1" x14ac:dyDescent="0.25">
      <c r="A342" s="48" t="s">
        <v>642</v>
      </c>
      <c r="B342" s="47" t="s">
        <v>641</v>
      </c>
      <c r="C342" s="48" t="s">
        <v>39</v>
      </c>
      <c r="D342" s="48" t="s">
        <v>1648</v>
      </c>
      <c r="E342" s="48" t="s">
        <v>1648</v>
      </c>
      <c r="F342" s="108">
        <v>108</v>
      </c>
      <c r="G342" s="108">
        <v>5930</v>
      </c>
      <c r="H342" s="108">
        <v>9</v>
      </c>
      <c r="I342" s="108">
        <v>63</v>
      </c>
      <c r="J342" s="108">
        <v>8</v>
      </c>
      <c r="K342" s="108">
        <v>5808</v>
      </c>
      <c r="L342" s="108">
        <v>0</v>
      </c>
      <c r="M342" s="108">
        <v>0</v>
      </c>
      <c r="N342" s="108">
        <v>30</v>
      </c>
      <c r="O342" s="108">
        <v>5</v>
      </c>
      <c r="P342" s="108">
        <v>35</v>
      </c>
      <c r="Q342" s="108">
        <v>8</v>
      </c>
      <c r="R342" s="108">
        <v>5808</v>
      </c>
      <c r="S342" s="108">
        <v>116</v>
      </c>
      <c r="T342" s="108">
        <v>11738</v>
      </c>
      <c r="U342" s="109" t="s">
        <v>1648</v>
      </c>
      <c r="V342" s="108">
        <v>24</v>
      </c>
      <c r="W342" s="108">
        <v>435</v>
      </c>
      <c r="X342" s="108">
        <v>0</v>
      </c>
      <c r="Y342" s="108">
        <v>0</v>
      </c>
      <c r="Z342" s="108">
        <v>9</v>
      </c>
      <c r="AA342" s="108">
        <v>63</v>
      </c>
      <c r="AB342" s="108">
        <v>0</v>
      </c>
      <c r="AC342" s="108">
        <v>0</v>
      </c>
      <c r="AD342" s="108">
        <v>60</v>
      </c>
      <c r="AE342" s="108">
        <v>716</v>
      </c>
      <c r="AF342" s="108">
        <v>0</v>
      </c>
      <c r="AG342" s="108">
        <v>0</v>
      </c>
      <c r="AH342" s="108">
        <v>27</v>
      </c>
      <c r="AI342" s="108">
        <v>764</v>
      </c>
      <c r="AJ342" s="108">
        <v>8</v>
      </c>
      <c r="AK342" s="108">
        <v>5808</v>
      </c>
      <c r="AL342" s="108">
        <v>212</v>
      </c>
      <c r="AM342" s="108">
        <v>13281</v>
      </c>
      <c r="AN342" s="108">
        <f t="shared" si="21"/>
        <v>220</v>
      </c>
      <c r="AO342" s="108">
        <f t="shared" si="22"/>
        <v>19089</v>
      </c>
      <c r="AP342" s="110">
        <f t="shared" si="20"/>
        <v>86.768181818181816</v>
      </c>
      <c r="AQ342" s="110">
        <f t="shared" si="23"/>
        <v>0.4788050566870673</v>
      </c>
      <c r="AR342" s="108">
        <v>62</v>
      </c>
      <c r="AS342" s="108">
        <v>5147</v>
      </c>
      <c r="AT342" s="108">
        <v>39868</v>
      </c>
    </row>
    <row r="343" spans="1:46" ht="13.5" thickBot="1" x14ac:dyDescent="0.25">
      <c r="A343" s="48" t="s">
        <v>578</v>
      </c>
      <c r="B343" s="47" t="s">
        <v>577</v>
      </c>
      <c r="C343" s="48" t="s">
        <v>39</v>
      </c>
      <c r="D343" s="48" t="s">
        <v>1648</v>
      </c>
      <c r="E343" s="48" t="s">
        <v>1648</v>
      </c>
      <c r="F343" s="108">
        <v>339</v>
      </c>
      <c r="G343" s="108">
        <v>6939</v>
      </c>
      <c r="H343" s="108">
        <v>29</v>
      </c>
      <c r="I343" s="108">
        <v>251</v>
      </c>
      <c r="J343" s="108">
        <v>81</v>
      </c>
      <c r="K343" s="108">
        <v>5329</v>
      </c>
      <c r="L343" s="108">
        <v>7</v>
      </c>
      <c r="M343" s="108">
        <v>208</v>
      </c>
      <c r="N343" s="108">
        <v>643</v>
      </c>
      <c r="O343" s="108">
        <v>59</v>
      </c>
      <c r="P343" s="108">
        <v>702</v>
      </c>
      <c r="Q343" s="108">
        <v>151</v>
      </c>
      <c r="R343" s="108">
        <v>2184</v>
      </c>
      <c r="S343" s="108">
        <v>420</v>
      </c>
      <c r="T343" s="108">
        <v>12268</v>
      </c>
      <c r="U343" s="109" t="s">
        <v>1648</v>
      </c>
      <c r="V343" s="108">
        <v>190</v>
      </c>
      <c r="W343" s="108">
        <v>4240</v>
      </c>
      <c r="X343" s="108">
        <v>11</v>
      </c>
      <c r="Y343" s="108">
        <v>60</v>
      </c>
      <c r="Z343" s="108">
        <v>36</v>
      </c>
      <c r="AA343" s="108">
        <v>459</v>
      </c>
      <c r="AB343" s="108">
        <v>39</v>
      </c>
      <c r="AC343" s="108">
        <v>367</v>
      </c>
      <c r="AD343" s="108">
        <v>103</v>
      </c>
      <c r="AE343" s="108">
        <v>4664</v>
      </c>
      <c r="AF343" s="108">
        <v>0</v>
      </c>
      <c r="AG343" s="108">
        <v>0</v>
      </c>
      <c r="AH343" s="108">
        <v>0</v>
      </c>
      <c r="AI343" s="108">
        <v>0</v>
      </c>
      <c r="AJ343" s="108">
        <v>201</v>
      </c>
      <c r="AK343" s="108">
        <v>2611</v>
      </c>
      <c r="AL343" s="108">
        <v>559</v>
      </c>
      <c r="AM343" s="108">
        <v>17391</v>
      </c>
      <c r="AN343" s="108">
        <f t="shared" si="21"/>
        <v>760</v>
      </c>
      <c r="AO343" s="108">
        <f t="shared" si="22"/>
        <v>20002</v>
      </c>
      <c r="AP343" s="110">
        <f t="shared" si="20"/>
        <v>26.318421052631578</v>
      </c>
      <c r="AQ343" s="110">
        <f t="shared" si="23"/>
        <v>0.54888724239181141</v>
      </c>
      <c r="AR343" s="108">
        <v>75</v>
      </c>
      <c r="AS343" s="108">
        <v>703</v>
      </c>
      <c r="AT343" s="108">
        <v>36441</v>
      </c>
    </row>
    <row r="344" spans="1:46" ht="13.5" thickBot="1" x14ac:dyDescent="0.25">
      <c r="A344" s="48" t="s">
        <v>200</v>
      </c>
      <c r="B344" s="47" t="s">
        <v>199</v>
      </c>
      <c r="C344" s="48" t="s">
        <v>39</v>
      </c>
      <c r="D344" s="48" t="s">
        <v>1648</v>
      </c>
      <c r="E344" s="48" t="s">
        <v>1648</v>
      </c>
      <c r="F344" s="108">
        <v>348</v>
      </c>
      <c r="G344" s="108">
        <v>20815</v>
      </c>
      <c r="H344" s="108">
        <v>80</v>
      </c>
      <c r="I344" s="108">
        <v>9268</v>
      </c>
      <c r="J344" s="108">
        <v>77</v>
      </c>
      <c r="K344" s="108">
        <v>4242</v>
      </c>
      <c r="L344" s="108">
        <v>19</v>
      </c>
      <c r="M344" s="108">
        <v>266</v>
      </c>
      <c r="N344" s="108">
        <v>318</v>
      </c>
      <c r="O344" s="108">
        <v>52</v>
      </c>
      <c r="P344" s="108">
        <v>370</v>
      </c>
      <c r="Q344" s="108">
        <v>5</v>
      </c>
      <c r="R344" s="108">
        <v>105</v>
      </c>
      <c r="S344" s="108">
        <v>425</v>
      </c>
      <c r="T344" s="108">
        <v>25057</v>
      </c>
      <c r="U344" s="109" t="s">
        <v>1648</v>
      </c>
      <c r="V344" s="108">
        <v>163</v>
      </c>
      <c r="W344" s="108">
        <v>9459</v>
      </c>
      <c r="X344" s="108">
        <v>3</v>
      </c>
      <c r="Y344" s="108">
        <v>17</v>
      </c>
      <c r="Z344" s="108">
        <v>99</v>
      </c>
      <c r="AA344" s="108">
        <v>9534</v>
      </c>
      <c r="AB344" s="108">
        <v>1</v>
      </c>
      <c r="AC344" s="108">
        <v>9</v>
      </c>
      <c r="AD344" s="108">
        <v>238</v>
      </c>
      <c r="AE344" s="108">
        <v>9511</v>
      </c>
      <c r="AF344" s="108">
        <v>0</v>
      </c>
      <c r="AG344" s="108">
        <v>0</v>
      </c>
      <c r="AH344" s="108">
        <v>0</v>
      </c>
      <c r="AI344" s="108">
        <v>0</v>
      </c>
      <c r="AJ344" s="108">
        <v>9</v>
      </c>
      <c r="AK344" s="108">
        <v>131</v>
      </c>
      <c r="AL344" s="108">
        <v>762</v>
      </c>
      <c r="AM344" s="108">
        <v>44102</v>
      </c>
      <c r="AN344" s="108">
        <f t="shared" si="21"/>
        <v>771</v>
      </c>
      <c r="AO344" s="108">
        <f t="shared" si="22"/>
        <v>44233</v>
      </c>
      <c r="AP344" s="110">
        <f t="shared" si="20"/>
        <v>57.370946822308689</v>
      </c>
      <c r="AQ344" s="110">
        <f t="shared" si="23"/>
        <v>1.6760638096320715</v>
      </c>
      <c r="AR344" s="108">
        <v>77</v>
      </c>
      <c r="AS344" s="108">
        <v>15457</v>
      </c>
      <c r="AT344" s="108">
        <v>26391</v>
      </c>
    </row>
    <row r="345" spans="1:46" ht="13.5" thickBot="1" x14ac:dyDescent="0.25">
      <c r="A345" s="48" t="s">
        <v>228</v>
      </c>
      <c r="B345" s="47" t="s">
        <v>227</v>
      </c>
      <c r="C345" s="48" t="s">
        <v>39</v>
      </c>
      <c r="D345" s="48" t="s">
        <v>1648</v>
      </c>
      <c r="E345" s="48" t="s">
        <v>1648</v>
      </c>
      <c r="F345" s="108">
        <v>159</v>
      </c>
      <c r="G345" s="108">
        <v>4833</v>
      </c>
      <c r="H345" s="108">
        <v>13</v>
      </c>
      <c r="I345" s="108">
        <v>273</v>
      </c>
      <c r="J345" s="108">
        <v>57</v>
      </c>
      <c r="K345" s="108">
        <v>2923</v>
      </c>
      <c r="L345" s="108">
        <v>9</v>
      </c>
      <c r="M345" s="108">
        <v>869</v>
      </c>
      <c r="N345" s="108">
        <v>137</v>
      </c>
      <c r="O345" s="108">
        <v>11</v>
      </c>
      <c r="P345" s="108">
        <v>148</v>
      </c>
      <c r="Q345" s="108">
        <v>0</v>
      </c>
      <c r="R345" s="108">
        <v>0</v>
      </c>
      <c r="S345" s="108">
        <v>216</v>
      </c>
      <c r="T345" s="108">
        <v>7756</v>
      </c>
      <c r="U345" s="109" t="s">
        <v>1648</v>
      </c>
      <c r="V345" s="108">
        <v>114</v>
      </c>
      <c r="W345" s="108">
        <v>1812</v>
      </c>
      <c r="X345" s="108">
        <v>1</v>
      </c>
      <c r="Y345" s="108">
        <v>22</v>
      </c>
      <c r="Z345" s="108">
        <v>22</v>
      </c>
      <c r="AA345" s="108">
        <v>1142</v>
      </c>
      <c r="AB345" s="108">
        <v>0</v>
      </c>
      <c r="AC345" s="108">
        <v>0</v>
      </c>
      <c r="AD345" s="108">
        <v>52</v>
      </c>
      <c r="AE345" s="108">
        <v>528</v>
      </c>
      <c r="AF345" s="108">
        <v>0</v>
      </c>
      <c r="AG345" s="108">
        <v>0</v>
      </c>
      <c r="AH345" s="108">
        <v>0</v>
      </c>
      <c r="AI345" s="108">
        <v>0</v>
      </c>
      <c r="AJ345" s="108">
        <v>1</v>
      </c>
      <c r="AK345" s="108">
        <v>22</v>
      </c>
      <c r="AL345" s="108">
        <v>290</v>
      </c>
      <c r="AM345" s="108">
        <v>9426</v>
      </c>
      <c r="AN345" s="108">
        <f t="shared" si="21"/>
        <v>291</v>
      </c>
      <c r="AO345" s="108">
        <f t="shared" si="22"/>
        <v>9448</v>
      </c>
      <c r="AP345" s="110">
        <f t="shared" si="20"/>
        <v>32.467353951890033</v>
      </c>
      <c r="AQ345" s="110">
        <f t="shared" si="23"/>
        <v>0.36105166615713846</v>
      </c>
      <c r="AR345" s="108">
        <v>117</v>
      </c>
      <c r="AS345" s="108">
        <v>11430</v>
      </c>
      <c r="AT345" s="108">
        <v>26168</v>
      </c>
    </row>
    <row r="346" spans="1:46" ht="13.5" thickBot="1" x14ac:dyDescent="0.25">
      <c r="A346" s="48" t="s">
        <v>72</v>
      </c>
      <c r="B346" s="47" t="s">
        <v>71</v>
      </c>
      <c r="C346" s="48" t="s">
        <v>39</v>
      </c>
      <c r="D346" s="48" t="s">
        <v>1648</v>
      </c>
      <c r="E346" s="48" t="s">
        <v>1648</v>
      </c>
      <c r="F346" s="108">
        <v>604</v>
      </c>
      <c r="G346" s="108">
        <v>19103</v>
      </c>
      <c r="H346" s="108">
        <v>57</v>
      </c>
      <c r="I346" s="108">
        <v>960</v>
      </c>
      <c r="J346" s="108">
        <v>103</v>
      </c>
      <c r="K346" s="108">
        <v>2004</v>
      </c>
      <c r="L346" s="108">
        <v>1</v>
      </c>
      <c r="M346" s="108">
        <v>151</v>
      </c>
      <c r="N346" s="108">
        <v>400</v>
      </c>
      <c r="O346" s="108">
        <v>151</v>
      </c>
      <c r="P346" s="108">
        <v>551</v>
      </c>
      <c r="Q346" s="108">
        <v>16</v>
      </c>
      <c r="R346" s="108">
        <v>256</v>
      </c>
      <c r="S346" s="108">
        <v>707</v>
      </c>
      <c r="T346" s="108">
        <v>21107</v>
      </c>
      <c r="U346" s="109" t="s">
        <v>1648</v>
      </c>
      <c r="V346" s="108">
        <v>364</v>
      </c>
      <c r="W346" s="108">
        <v>4108</v>
      </c>
      <c r="X346" s="108">
        <v>18</v>
      </c>
      <c r="Y346" s="108">
        <v>183</v>
      </c>
      <c r="Z346" s="108">
        <v>58</v>
      </c>
      <c r="AA346" s="108">
        <v>1111</v>
      </c>
      <c r="AB346" s="108">
        <v>114</v>
      </c>
      <c r="AC346" s="108">
        <v>1927</v>
      </c>
      <c r="AD346" s="108">
        <v>241</v>
      </c>
      <c r="AE346" s="108">
        <v>3657</v>
      </c>
      <c r="AF346" s="108">
        <v>181</v>
      </c>
      <c r="AG346" s="108">
        <v>2553</v>
      </c>
      <c r="AH346" s="108">
        <v>87</v>
      </c>
      <c r="AI346" s="108">
        <v>6231</v>
      </c>
      <c r="AJ346" s="108">
        <v>329</v>
      </c>
      <c r="AK346" s="108">
        <v>4919</v>
      </c>
      <c r="AL346" s="108">
        <v>1093</v>
      </c>
      <c r="AM346" s="108">
        <v>32106</v>
      </c>
      <c r="AN346" s="108">
        <f t="shared" si="21"/>
        <v>1422</v>
      </c>
      <c r="AO346" s="108">
        <f t="shared" si="22"/>
        <v>37025</v>
      </c>
      <c r="AP346" s="110">
        <f t="shared" si="20"/>
        <v>26.037271448663855</v>
      </c>
      <c r="AQ346" s="110">
        <f t="shared" si="23"/>
        <v>1.0473833097595473</v>
      </c>
      <c r="AR346" s="108">
        <v>128</v>
      </c>
      <c r="AS346" s="108">
        <v>4460</v>
      </c>
      <c r="AT346" s="108">
        <v>35350</v>
      </c>
    </row>
    <row r="347" spans="1:46" ht="13.5" thickBot="1" x14ac:dyDescent="0.25">
      <c r="A347" s="48" t="s">
        <v>114</v>
      </c>
      <c r="B347" s="47" t="s">
        <v>113</v>
      </c>
      <c r="C347" s="48" t="s">
        <v>39</v>
      </c>
      <c r="D347" s="48" t="s">
        <v>1648</v>
      </c>
      <c r="E347" s="48" t="s">
        <v>1648</v>
      </c>
      <c r="F347" s="108">
        <v>804</v>
      </c>
      <c r="G347" s="108">
        <v>14654</v>
      </c>
      <c r="H347" s="108">
        <v>304</v>
      </c>
      <c r="I347" s="108">
        <v>2489</v>
      </c>
      <c r="J347" s="108">
        <v>173</v>
      </c>
      <c r="K347" s="108">
        <v>4186</v>
      </c>
      <c r="L347" s="108">
        <v>61</v>
      </c>
      <c r="M347" s="108">
        <v>279</v>
      </c>
      <c r="N347" s="108">
        <v>711</v>
      </c>
      <c r="O347" s="108">
        <v>134</v>
      </c>
      <c r="P347" s="108">
        <v>845</v>
      </c>
      <c r="Q347" s="108">
        <v>0</v>
      </c>
      <c r="R347" s="108">
        <v>0</v>
      </c>
      <c r="S347" s="108">
        <v>977</v>
      </c>
      <c r="T347" s="108">
        <v>18840</v>
      </c>
      <c r="U347" s="109" t="s">
        <v>1648</v>
      </c>
      <c r="V347" s="108">
        <v>400</v>
      </c>
      <c r="W347" s="108">
        <v>2000</v>
      </c>
      <c r="X347" s="108">
        <v>0</v>
      </c>
      <c r="Y347" s="108">
        <v>0</v>
      </c>
      <c r="Z347" s="108">
        <v>365</v>
      </c>
      <c r="AA347" s="108">
        <v>2768</v>
      </c>
      <c r="AB347" s="108">
        <v>0</v>
      </c>
      <c r="AC347" s="108">
        <v>0</v>
      </c>
      <c r="AD347" s="108">
        <v>167</v>
      </c>
      <c r="AE347" s="108">
        <v>2627</v>
      </c>
      <c r="AF347" s="108">
        <v>0</v>
      </c>
      <c r="AG347" s="108">
        <v>0</v>
      </c>
      <c r="AH347" s="108">
        <v>0</v>
      </c>
      <c r="AI347" s="108">
        <v>0</v>
      </c>
      <c r="AJ347" s="108">
        <v>0</v>
      </c>
      <c r="AK347" s="108">
        <v>0</v>
      </c>
      <c r="AL347" s="108">
        <v>1509</v>
      </c>
      <c r="AM347" s="108">
        <v>24235</v>
      </c>
      <c r="AN347" s="108">
        <f t="shared" si="21"/>
        <v>1509</v>
      </c>
      <c r="AO347" s="108">
        <f t="shared" si="22"/>
        <v>24235</v>
      </c>
      <c r="AP347" s="110">
        <f t="shared" si="20"/>
        <v>16.060304837640821</v>
      </c>
      <c r="AQ347" s="110">
        <f t="shared" si="23"/>
        <v>0.51668265643321609</v>
      </c>
      <c r="AR347" s="108">
        <v>275</v>
      </c>
      <c r="AS347" s="108">
        <v>32064</v>
      </c>
      <c r="AT347" s="108">
        <v>46905</v>
      </c>
    </row>
    <row r="348" spans="1:46" ht="13.5" thickBot="1" x14ac:dyDescent="0.25">
      <c r="A348" s="48" t="s">
        <v>140</v>
      </c>
      <c r="B348" s="47" t="s">
        <v>139</v>
      </c>
      <c r="C348" s="48" t="s">
        <v>54</v>
      </c>
      <c r="D348" s="48" t="s">
        <v>1648</v>
      </c>
      <c r="E348" s="48" t="s">
        <v>1648</v>
      </c>
      <c r="F348" s="108">
        <v>635</v>
      </c>
      <c r="G348" s="108">
        <v>20936</v>
      </c>
      <c r="H348" s="108">
        <v>42</v>
      </c>
      <c r="I348" s="108">
        <v>739</v>
      </c>
      <c r="J348" s="108">
        <v>49</v>
      </c>
      <c r="K348" s="108">
        <v>1339</v>
      </c>
      <c r="L348" s="108">
        <v>10</v>
      </c>
      <c r="M348" s="108">
        <v>247</v>
      </c>
      <c r="N348" s="108">
        <v>1356</v>
      </c>
      <c r="O348" s="108">
        <v>259</v>
      </c>
      <c r="P348" s="108">
        <v>1615</v>
      </c>
      <c r="Q348" s="108">
        <v>21</v>
      </c>
      <c r="R348" s="108">
        <v>789</v>
      </c>
      <c r="S348" s="108">
        <v>684</v>
      </c>
      <c r="T348" s="108">
        <v>22275</v>
      </c>
      <c r="U348" s="109" t="s">
        <v>1648</v>
      </c>
      <c r="V348" s="108">
        <v>375</v>
      </c>
      <c r="W348" s="108">
        <v>6533</v>
      </c>
      <c r="X348" s="108">
        <v>1</v>
      </c>
      <c r="Y348" s="108">
        <v>62</v>
      </c>
      <c r="Z348" s="108">
        <v>52</v>
      </c>
      <c r="AA348" s="108">
        <v>986</v>
      </c>
      <c r="AB348" s="108">
        <v>31</v>
      </c>
      <c r="AC348" s="108">
        <v>401</v>
      </c>
      <c r="AD348" s="108">
        <v>239</v>
      </c>
      <c r="AE348" s="108">
        <v>3953</v>
      </c>
      <c r="AF348" s="108">
        <v>0</v>
      </c>
      <c r="AG348" s="108">
        <v>0</v>
      </c>
      <c r="AH348" s="108">
        <v>96</v>
      </c>
      <c r="AI348" s="108">
        <v>1310</v>
      </c>
      <c r="AJ348" s="108">
        <v>53</v>
      </c>
      <c r="AK348" s="108">
        <v>1252</v>
      </c>
      <c r="AL348" s="108">
        <v>1071</v>
      </c>
      <c r="AM348" s="108">
        <v>28524</v>
      </c>
      <c r="AN348" s="108">
        <f t="shared" si="21"/>
        <v>1124</v>
      </c>
      <c r="AO348" s="108">
        <f t="shared" si="22"/>
        <v>29776</v>
      </c>
      <c r="AP348" s="110">
        <f t="shared" si="20"/>
        <v>26.491103202846976</v>
      </c>
      <c r="AQ348" s="110">
        <f t="shared" si="23"/>
        <v>0.33020970800572236</v>
      </c>
      <c r="AR348" s="108">
        <v>0</v>
      </c>
      <c r="AS348" s="108">
        <v>0</v>
      </c>
      <c r="AT348" s="108">
        <v>90173</v>
      </c>
    </row>
    <row r="349" spans="1:46" ht="13.5" thickBot="1" x14ac:dyDescent="0.25">
      <c r="A349" s="48" t="s">
        <v>318</v>
      </c>
      <c r="B349" s="47" t="s">
        <v>317</v>
      </c>
      <c r="C349" s="48" t="s">
        <v>54</v>
      </c>
      <c r="D349" s="48" t="s">
        <v>1649</v>
      </c>
      <c r="E349" s="48" t="s">
        <v>1649</v>
      </c>
      <c r="F349" s="108">
        <v>277</v>
      </c>
      <c r="G349" s="108">
        <v>8564</v>
      </c>
      <c r="H349" s="108">
        <v>34</v>
      </c>
      <c r="I349" s="108">
        <v>395</v>
      </c>
      <c r="J349" s="108">
        <v>0</v>
      </c>
      <c r="K349" s="108">
        <v>0</v>
      </c>
      <c r="L349" s="108">
        <v>0</v>
      </c>
      <c r="M349" s="108">
        <v>0</v>
      </c>
      <c r="N349" s="108">
        <v>777</v>
      </c>
      <c r="O349" s="108">
        <v>206</v>
      </c>
      <c r="P349" s="108">
        <v>983</v>
      </c>
      <c r="Q349" s="108">
        <v>0</v>
      </c>
      <c r="R349" s="108">
        <v>0</v>
      </c>
      <c r="S349" s="108">
        <v>277</v>
      </c>
      <c r="T349" s="108">
        <v>8564</v>
      </c>
      <c r="U349" s="109" t="s">
        <v>1648</v>
      </c>
      <c r="V349" s="108">
        <v>127</v>
      </c>
      <c r="W349" s="108">
        <v>2648</v>
      </c>
      <c r="X349" s="108">
        <v>0</v>
      </c>
      <c r="Y349" s="108">
        <v>0</v>
      </c>
      <c r="Z349" s="108">
        <v>34</v>
      </c>
      <c r="AA349" s="108">
        <v>395</v>
      </c>
      <c r="AB349" s="108">
        <v>0</v>
      </c>
      <c r="AC349" s="108">
        <v>0</v>
      </c>
      <c r="AD349" s="108">
        <v>135</v>
      </c>
      <c r="AE349" s="108">
        <v>2115</v>
      </c>
      <c r="AF349" s="108">
        <v>0</v>
      </c>
      <c r="AG349" s="108">
        <v>0</v>
      </c>
      <c r="AH349" s="108">
        <v>0</v>
      </c>
      <c r="AI349" s="108">
        <v>0</v>
      </c>
      <c r="AJ349" s="108">
        <v>0</v>
      </c>
      <c r="AK349" s="108">
        <v>0</v>
      </c>
      <c r="AL349" s="108">
        <v>446</v>
      </c>
      <c r="AM349" s="108">
        <v>11074</v>
      </c>
      <c r="AN349" s="108">
        <f t="shared" si="21"/>
        <v>446</v>
      </c>
      <c r="AO349" s="108">
        <f t="shared" si="22"/>
        <v>11074</v>
      </c>
      <c r="AP349" s="110">
        <f t="shared" si="20"/>
        <v>24.829596412556054</v>
      </c>
      <c r="AQ349" s="110">
        <f t="shared" si="23"/>
        <v>0.14436752838723976</v>
      </c>
      <c r="AR349" s="108">
        <v>0</v>
      </c>
      <c r="AS349" s="108">
        <v>0</v>
      </c>
      <c r="AT349" s="108">
        <v>76707</v>
      </c>
    </row>
    <row r="350" spans="1:46" ht="13.5" thickBot="1" x14ac:dyDescent="0.25">
      <c r="A350" s="48" t="s">
        <v>406</v>
      </c>
      <c r="B350" s="47" t="s">
        <v>405</v>
      </c>
      <c r="C350" s="48" t="s">
        <v>54</v>
      </c>
      <c r="D350" s="48" t="s">
        <v>1648</v>
      </c>
      <c r="E350" s="48" t="s">
        <v>1648</v>
      </c>
      <c r="F350" s="108">
        <v>2205</v>
      </c>
      <c r="G350" s="108">
        <v>39300</v>
      </c>
      <c r="H350" s="108">
        <v>326</v>
      </c>
      <c r="I350" s="108">
        <v>5158</v>
      </c>
      <c r="J350" s="108">
        <v>1159</v>
      </c>
      <c r="K350" s="108">
        <v>57469</v>
      </c>
      <c r="L350" s="108">
        <v>154</v>
      </c>
      <c r="M350" s="108">
        <v>2565</v>
      </c>
      <c r="N350" s="108">
        <v>11227</v>
      </c>
      <c r="O350" s="108">
        <v>3196</v>
      </c>
      <c r="P350" s="108">
        <v>14423</v>
      </c>
      <c r="Q350" s="108">
        <v>202</v>
      </c>
      <c r="R350" s="108">
        <v>21337</v>
      </c>
      <c r="S350" s="108">
        <v>3364</v>
      </c>
      <c r="T350" s="108">
        <v>96769</v>
      </c>
      <c r="U350" s="109" t="s">
        <v>1648</v>
      </c>
      <c r="V350" s="108">
        <v>2841</v>
      </c>
      <c r="W350" s="108">
        <v>79458</v>
      </c>
      <c r="X350" s="108">
        <v>53</v>
      </c>
      <c r="Y350" s="108">
        <v>4118</v>
      </c>
      <c r="Z350" s="108">
        <v>480</v>
      </c>
      <c r="AA350" s="108">
        <v>7723</v>
      </c>
      <c r="AB350" s="108">
        <v>126</v>
      </c>
      <c r="AC350" s="108">
        <v>12276</v>
      </c>
      <c r="AD350" s="108">
        <v>1165</v>
      </c>
      <c r="AE350" s="108">
        <v>13797</v>
      </c>
      <c r="AF350" s="108">
        <v>616</v>
      </c>
      <c r="AG350" s="108">
        <v>139842</v>
      </c>
      <c r="AH350" s="108">
        <v>2589</v>
      </c>
      <c r="AI350" s="108">
        <v>182755</v>
      </c>
      <c r="AJ350" s="108">
        <v>997</v>
      </c>
      <c r="AK350" s="108">
        <v>177573</v>
      </c>
      <c r="AL350" s="108">
        <v>7598</v>
      </c>
      <c r="AM350" s="108">
        <v>301044</v>
      </c>
      <c r="AN350" s="108">
        <f t="shared" si="21"/>
        <v>8595</v>
      </c>
      <c r="AO350" s="108">
        <f t="shared" si="22"/>
        <v>478617</v>
      </c>
      <c r="AP350" s="110">
        <f t="shared" si="20"/>
        <v>55.685514834205932</v>
      </c>
      <c r="AQ350" s="110">
        <f t="shared" si="23"/>
        <v>1.20966739119446</v>
      </c>
      <c r="AR350" s="108">
        <v>997</v>
      </c>
      <c r="AS350" s="108">
        <v>296944</v>
      </c>
      <c r="AT350" s="108">
        <v>395660</v>
      </c>
    </row>
    <row r="351" spans="1:46" ht="13.5" thickBot="1" x14ac:dyDescent="0.25">
      <c r="A351" s="48" t="s">
        <v>684</v>
      </c>
      <c r="B351" s="47" t="s">
        <v>683</v>
      </c>
      <c r="C351" s="48" t="s">
        <v>54</v>
      </c>
      <c r="D351" s="48" t="s">
        <v>1649</v>
      </c>
      <c r="E351" s="48" t="s">
        <v>1649</v>
      </c>
      <c r="F351" s="108">
        <v>196</v>
      </c>
      <c r="G351" s="108">
        <v>7918</v>
      </c>
      <c r="H351" s="108">
        <v>66</v>
      </c>
      <c r="I351" s="108">
        <v>2101</v>
      </c>
      <c r="J351" s="108">
        <v>24</v>
      </c>
      <c r="K351" s="108">
        <v>1561</v>
      </c>
      <c r="L351" s="108">
        <v>12</v>
      </c>
      <c r="M351" s="108">
        <v>323</v>
      </c>
      <c r="N351" s="108">
        <v>488</v>
      </c>
      <c r="O351" s="108">
        <v>218</v>
      </c>
      <c r="P351" s="108">
        <v>706</v>
      </c>
      <c r="Q351" s="108">
        <v>0</v>
      </c>
      <c r="R351" s="108">
        <v>0</v>
      </c>
      <c r="S351" s="108">
        <v>220</v>
      </c>
      <c r="T351" s="108">
        <v>9479</v>
      </c>
      <c r="U351" s="109" t="s">
        <v>1648</v>
      </c>
      <c r="V351" s="108">
        <v>136</v>
      </c>
      <c r="W351" s="108">
        <v>3534</v>
      </c>
      <c r="X351" s="108">
        <v>0</v>
      </c>
      <c r="Y351" s="108">
        <v>0</v>
      </c>
      <c r="Z351" s="108">
        <v>78</v>
      </c>
      <c r="AA351" s="108">
        <v>2424</v>
      </c>
      <c r="AB351" s="108">
        <v>0</v>
      </c>
      <c r="AC351" s="108">
        <v>0</v>
      </c>
      <c r="AD351" s="108">
        <v>158</v>
      </c>
      <c r="AE351" s="108">
        <v>1847</v>
      </c>
      <c r="AF351" s="108">
        <v>0</v>
      </c>
      <c r="AG351" s="108">
        <v>0</v>
      </c>
      <c r="AH351" s="108">
        <v>0</v>
      </c>
      <c r="AI351" s="108">
        <v>0</v>
      </c>
      <c r="AJ351" s="108">
        <v>0</v>
      </c>
      <c r="AK351" s="108">
        <v>0</v>
      </c>
      <c r="AL351" s="108">
        <v>456</v>
      </c>
      <c r="AM351" s="108">
        <v>13750</v>
      </c>
      <c r="AN351" s="108">
        <f t="shared" si="21"/>
        <v>456</v>
      </c>
      <c r="AO351" s="108">
        <f t="shared" si="22"/>
        <v>13750</v>
      </c>
      <c r="AP351" s="110">
        <f t="shared" si="20"/>
        <v>30.153508771929825</v>
      </c>
      <c r="AQ351" s="110">
        <f t="shared" si="23"/>
        <v>0.18630426535147146</v>
      </c>
      <c r="AR351" s="108">
        <v>0</v>
      </c>
      <c r="AS351" s="108">
        <v>0</v>
      </c>
      <c r="AT351" s="108">
        <v>73804</v>
      </c>
    </row>
    <row r="352" spans="1:46" ht="13.5" thickBot="1" x14ac:dyDescent="0.25">
      <c r="A352" s="48" t="s">
        <v>696</v>
      </c>
      <c r="B352" s="47" t="s">
        <v>695</v>
      </c>
      <c r="C352" s="48" t="s">
        <v>54</v>
      </c>
      <c r="D352" s="48" t="s">
        <v>1648</v>
      </c>
      <c r="E352" s="48" t="s">
        <v>1648</v>
      </c>
      <c r="F352" s="108">
        <v>69</v>
      </c>
      <c r="G352" s="108">
        <v>3543</v>
      </c>
      <c r="H352" s="108">
        <v>11</v>
      </c>
      <c r="I352" s="108">
        <v>120</v>
      </c>
      <c r="J352" s="108">
        <v>70</v>
      </c>
      <c r="K352" s="108">
        <v>1250</v>
      </c>
      <c r="L352" s="108">
        <v>11</v>
      </c>
      <c r="M352" s="108">
        <v>6</v>
      </c>
      <c r="N352" s="108">
        <v>37</v>
      </c>
      <c r="O352" s="108">
        <v>11</v>
      </c>
      <c r="P352" s="108">
        <v>48</v>
      </c>
      <c r="Q352" s="108">
        <v>0</v>
      </c>
      <c r="R352" s="108">
        <v>0</v>
      </c>
      <c r="S352" s="108">
        <v>139</v>
      </c>
      <c r="T352" s="108">
        <v>4793</v>
      </c>
      <c r="U352" s="109" t="s">
        <v>1648</v>
      </c>
      <c r="V352" s="108">
        <v>24</v>
      </c>
      <c r="W352" s="108">
        <v>450</v>
      </c>
      <c r="X352" s="108">
        <v>0</v>
      </c>
      <c r="Y352" s="108">
        <v>0</v>
      </c>
      <c r="Z352" s="108">
        <v>22</v>
      </c>
      <c r="AA352" s="108">
        <v>126</v>
      </c>
      <c r="AB352" s="108">
        <v>0</v>
      </c>
      <c r="AC352" s="108">
        <v>0</v>
      </c>
      <c r="AD352" s="108">
        <v>61</v>
      </c>
      <c r="AE352" s="108">
        <v>900</v>
      </c>
      <c r="AF352" s="108">
        <v>0</v>
      </c>
      <c r="AG352" s="108">
        <v>0</v>
      </c>
      <c r="AH352" s="108">
        <v>149</v>
      </c>
      <c r="AI352" s="108">
        <v>5472</v>
      </c>
      <c r="AJ352" s="108">
        <v>0</v>
      </c>
      <c r="AK352" s="108">
        <v>0</v>
      </c>
      <c r="AL352" s="108">
        <v>371</v>
      </c>
      <c r="AM352" s="108">
        <v>11291</v>
      </c>
      <c r="AN352" s="108">
        <f t="shared" si="21"/>
        <v>371</v>
      </c>
      <c r="AO352" s="108">
        <f t="shared" si="22"/>
        <v>11291</v>
      </c>
      <c r="AP352" s="110">
        <f t="shared" si="20"/>
        <v>30.433962264150942</v>
      </c>
      <c r="AQ352" s="110">
        <f t="shared" si="23"/>
        <v>0.14893027672989156</v>
      </c>
      <c r="AR352" s="108">
        <v>0</v>
      </c>
      <c r="AS352" s="108">
        <v>0</v>
      </c>
      <c r="AT352" s="108">
        <v>75814</v>
      </c>
    </row>
    <row r="353" spans="1:46" ht="13.5" thickBot="1" x14ac:dyDescent="0.25">
      <c r="A353" s="48" t="s">
        <v>754</v>
      </c>
      <c r="B353" s="47" t="s">
        <v>1614</v>
      </c>
      <c r="C353" s="48" t="s">
        <v>54</v>
      </c>
      <c r="D353" s="48" t="s">
        <v>1648</v>
      </c>
      <c r="E353" s="48" t="s">
        <v>1648</v>
      </c>
      <c r="F353" s="108">
        <v>85</v>
      </c>
      <c r="G353" s="108">
        <v>1772</v>
      </c>
      <c r="H353" s="108">
        <v>0</v>
      </c>
      <c r="I353" s="108">
        <v>0</v>
      </c>
      <c r="J353" s="108">
        <v>6</v>
      </c>
      <c r="K353" s="108">
        <v>720</v>
      </c>
      <c r="L353" s="108">
        <v>4</v>
      </c>
      <c r="M353" s="108">
        <v>265</v>
      </c>
      <c r="N353" s="108">
        <v>132</v>
      </c>
      <c r="O353" s="108">
        <v>63</v>
      </c>
      <c r="P353" s="108">
        <v>195</v>
      </c>
      <c r="Q353" s="108">
        <v>17</v>
      </c>
      <c r="R353" s="108">
        <v>2892</v>
      </c>
      <c r="S353" s="108">
        <v>91</v>
      </c>
      <c r="T353" s="108">
        <v>2492</v>
      </c>
      <c r="U353" s="109" t="s">
        <v>1648</v>
      </c>
      <c r="V353" s="108">
        <v>65</v>
      </c>
      <c r="W353" s="108">
        <v>1364</v>
      </c>
      <c r="X353" s="108">
        <v>0</v>
      </c>
      <c r="Y353" s="108">
        <v>0</v>
      </c>
      <c r="Z353" s="108">
        <v>4</v>
      </c>
      <c r="AA353" s="108">
        <v>265</v>
      </c>
      <c r="AB353" s="108">
        <v>4</v>
      </c>
      <c r="AC353" s="108">
        <v>225</v>
      </c>
      <c r="AD353" s="108">
        <v>70</v>
      </c>
      <c r="AE353" s="108">
        <v>829</v>
      </c>
      <c r="AF353" s="108">
        <v>0</v>
      </c>
      <c r="AG353" s="108">
        <v>0</v>
      </c>
      <c r="AH353" s="108">
        <v>0</v>
      </c>
      <c r="AI353" s="108">
        <v>0</v>
      </c>
      <c r="AJ353" s="108">
        <v>21</v>
      </c>
      <c r="AK353" s="108">
        <v>3117</v>
      </c>
      <c r="AL353" s="108">
        <v>165</v>
      </c>
      <c r="AM353" s="108">
        <v>3586</v>
      </c>
      <c r="AN353" s="108">
        <f t="shared" si="21"/>
        <v>186</v>
      </c>
      <c r="AO353" s="108">
        <f t="shared" si="22"/>
        <v>6703</v>
      </c>
      <c r="AP353" s="110">
        <f t="shared" si="20"/>
        <v>36.037634408602152</v>
      </c>
      <c r="AQ353" s="110">
        <f t="shared" si="23"/>
        <v>9.2167862937601402E-2</v>
      </c>
      <c r="AR353" s="108">
        <v>0</v>
      </c>
      <c r="AS353" s="108">
        <v>0</v>
      </c>
      <c r="AT353" s="108">
        <v>72726</v>
      </c>
    </row>
    <row r="354" spans="1:46" ht="13.5" thickBot="1" x14ac:dyDescent="0.25">
      <c r="A354" s="48" t="s">
        <v>756</v>
      </c>
      <c r="B354" s="47" t="s">
        <v>755</v>
      </c>
      <c r="C354" s="48" t="s">
        <v>54</v>
      </c>
      <c r="D354" s="48" t="s">
        <v>1648</v>
      </c>
      <c r="E354" s="48" t="s">
        <v>1649</v>
      </c>
      <c r="F354" s="108">
        <v>274</v>
      </c>
      <c r="G354" s="108">
        <v>9704</v>
      </c>
      <c r="H354" s="108">
        <v>63</v>
      </c>
      <c r="I354" s="108">
        <v>1199</v>
      </c>
      <c r="J354" s="108">
        <v>69</v>
      </c>
      <c r="K354" s="108">
        <v>1987</v>
      </c>
      <c r="L354" s="108">
        <v>22</v>
      </c>
      <c r="M354" s="108">
        <v>342</v>
      </c>
      <c r="N354" s="108">
        <v>694</v>
      </c>
      <c r="O354" s="108">
        <v>254</v>
      </c>
      <c r="P354" s="108">
        <v>948</v>
      </c>
      <c r="Q354" s="108">
        <v>163</v>
      </c>
      <c r="R354" s="108">
        <v>5497</v>
      </c>
      <c r="S354" s="108">
        <v>343</v>
      </c>
      <c r="T354" s="108">
        <v>11691</v>
      </c>
      <c r="U354" s="109" t="s">
        <v>1649</v>
      </c>
      <c r="V354" s="108">
        <v>0</v>
      </c>
      <c r="W354" s="108">
        <v>0</v>
      </c>
      <c r="X354" s="108">
        <v>35</v>
      </c>
      <c r="Y354" s="108">
        <v>532</v>
      </c>
      <c r="Z354" s="108">
        <v>85</v>
      </c>
      <c r="AA354" s="108">
        <v>1541</v>
      </c>
      <c r="AB354" s="108">
        <v>25</v>
      </c>
      <c r="AC354" s="108">
        <v>729</v>
      </c>
      <c r="AD354" s="108">
        <v>76</v>
      </c>
      <c r="AE354" s="108">
        <v>2338</v>
      </c>
      <c r="AF354" s="108">
        <v>1</v>
      </c>
      <c r="AG354" s="108">
        <v>5</v>
      </c>
      <c r="AH354" s="108">
        <v>10</v>
      </c>
      <c r="AI354" s="108">
        <v>7934</v>
      </c>
      <c r="AJ354" s="108">
        <v>224</v>
      </c>
      <c r="AK354" s="108">
        <v>6763</v>
      </c>
      <c r="AL354" s="108">
        <v>514</v>
      </c>
      <c r="AM354" s="108">
        <v>23504</v>
      </c>
      <c r="AN354" s="108">
        <f t="shared" si="21"/>
        <v>738</v>
      </c>
      <c r="AO354" s="108">
        <f t="shared" si="22"/>
        <v>30267</v>
      </c>
      <c r="AP354" s="110">
        <f t="shared" si="20"/>
        <v>41.012195121951223</v>
      </c>
      <c r="AQ354" s="110">
        <f t="shared" si="23"/>
        <v>0.3737589528278587</v>
      </c>
      <c r="AR354" s="108">
        <v>0</v>
      </c>
      <c r="AS354" s="108">
        <v>0</v>
      </c>
      <c r="AT354" s="108">
        <v>80980</v>
      </c>
    </row>
    <row r="355" spans="1:46" ht="13.5" thickBot="1" x14ac:dyDescent="0.25">
      <c r="A355" s="48" t="s">
        <v>726</v>
      </c>
      <c r="B355" s="47" t="s">
        <v>725</v>
      </c>
      <c r="C355" s="48" t="s">
        <v>54</v>
      </c>
      <c r="D355" s="48" t="s">
        <v>1648</v>
      </c>
      <c r="E355" s="48" t="s">
        <v>1648</v>
      </c>
      <c r="F355" s="108">
        <v>104</v>
      </c>
      <c r="G355" s="108">
        <v>3170</v>
      </c>
      <c r="H355" s="108">
        <v>10</v>
      </c>
      <c r="I355" s="108">
        <v>49</v>
      </c>
      <c r="J355" s="108">
        <v>7</v>
      </c>
      <c r="K355" s="108">
        <v>85</v>
      </c>
      <c r="L355" s="108">
        <v>0</v>
      </c>
      <c r="M355" s="108">
        <v>0</v>
      </c>
      <c r="N355" s="108">
        <v>81</v>
      </c>
      <c r="O355" s="108">
        <v>28</v>
      </c>
      <c r="P355" s="108">
        <v>109</v>
      </c>
      <c r="Q355" s="108">
        <v>24</v>
      </c>
      <c r="R355" s="108">
        <v>594</v>
      </c>
      <c r="S355" s="108">
        <v>111</v>
      </c>
      <c r="T355" s="108">
        <v>3255</v>
      </c>
      <c r="U355" s="109" t="s">
        <v>1648</v>
      </c>
      <c r="V355" s="108">
        <v>36</v>
      </c>
      <c r="W355" s="108">
        <v>640</v>
      </c>
      <c r="X355" s="108">
        <v>0</v>
      </c>
      <c r="Y355" s="108">
        <v>0</v>
      </c>
      <c r="Z355" s="108">
        <v>10</v>
      </c>
      <c r="AA355" s="108">
        <v>49</v>
      </c>
      <c r="AB355" s="108">
        <v>11</v>
      </c>
      <c r="AC355" s="108">
        <v>60</v>
      </c>
      <c r="AD355" s="108">
        <v>109</v>
      </c>
      <c r="AE355" s="108">
        <v>1363</v>
      </c>
      <c r="AF355" s="108">
        <v>7</v>
      </c>
      <c r="AG355" s="108">
        <v>65</v>
      </c>
      <c r="AH355" s="108">
        <v>38</v>
      </c>
      <c r="AI355" s="108">
        <v>389</v>
      </c>
      <c r="AJ355" s="108">
        <v>42</v>
      </c>
      <c r="AK355" s="108">
        <v>719</v>
      </c>
      <c r="AL355" s="108">
        <v>268</v>
      </c>
      <c r="AM355" s="108">
        <v>5056</v>
      </c>
      <c r="AN355" s="108">
        <f t="shared" si="21"/>
        <v>310</v>
      </c>
      <c r="AO355" s="108">
        <f t="shared" si="22"/>
        <v>5775</v>
      </c>
      <c r="AP355" s="110">
        <f t="shared" si="20"/>
        <v>18.629032258064516</v>
      </c>
      <c r="AQ355" s="110">
        <f t="shared" si="23"/>
        <v>9.1476453723210463E-2</v>
      </c>
      <c r="AR355" s="108">
        <v>1</v>
      </c>
      <c r="AS355" s="108">
        <v>22</v>
      </c>
      <c r="AT355" s="108">
        <v>63131</v>
      </c>
    </row>
    <row r="356" spans="1:46" ht="13.5" thickBot="1" x14ac:dyDescent="0.25">
      <c r="A356" s="48" t="s">
        <v>214</v>
      </c>
      <c r="B356" s="47" t="s">
        <v>213</v>
      </c>
      <c r="C356" s="48" t="s">
        <v>54</v>
      </c>
      <c r="D356" s="48" t="s">
        <v>1648</v>
      </c>
      <c r="E356" s="48" t="s">
        <v>1648</v>
      </c>
      <c r="F356" s="108">
        <v>174</v>
      </c>
      <c r="G356" s="108">
        <v>12055</v>
      </c>
      <c r="H356" s="108">
        <v>22</v>
      </c>
      <c r="I356" s="108">
        <v>281</v>
      </c>
      <c r="J356" s="108">
        <v>0</v>
      </c>
      <c r="K356" s="108">
        <v>0</v>
      </c>
      <c r="L356" s="108">
        <v>0</v>
      </c>
      <c r="M356" s="108">
        <v>0</v>
      </c>
      <c r="N356" s="108">
        <v>322</v>
      </c>
      <c r="O356" s="108">
        <v>121</v>
      </c>
      <c r="P356" s="108">
        <v>443</v>
      </c>
      <c r="Q356" s="108">
        <v>54</v>
      </c>
      <c r="R356" s="108">
        <v>521</v>
      </c>
      <c r="S356" s="108">
        <v>174</v>
      </c>
      <c r="T356" s="108">
        <v>12055</v>
      </c>
      <c r="U356" s="109" t="s">
        <v>1648</v>
      </c>
      <c r="V356" s="108">
        <v>4</v>
      </c>
      <c r="W356" s="108">
        <v>201</v>
      </c>
      <c r="X356" s="108">
        <v>1</v>
      </c>
      <c r="Y356" s="108">
        <v>0</v>
      </c>
      <c r="Z356" s="108">
        <v>22</v>
      </c>
      <c r="AA356" s="108">
        <v>281</v>
      </c>
      <c r="AB356" s="108">
        <v>10</v>
      </c>
      <c r="AC356" s="108">
        <v>92</v>
      </c>
      <c r="AD356" s="108">
        <v>144</v>
      </c>
      <c r="AE356" s="108">
        <v>3474</v>
      </c>
      <c r="AF356" s="108">
        <v>0</v>
      </c>
      <c r="AG356" s="108">
        <v>0</v>
      </c>
      <c r="AH356" s="108">
        <v>0</v>
      </c>
      <c r="AI356" s="108">
        <v>0</v>
      </c>
      <c r="AJ356" s="108">
        <v>65</v>
      </c>
      <c r="AK356" s="108">
        <v>613</v>
      </c>
      <c r="AL356" s="108">
        <v>340</v>
      </c>
      <c r="AM356" s="108">
        <v>15810</v>
      </c>
      <c r="AN356" s="108">
        <f t="shared" si="21"/>
        <v>405</v>
      </c>
      <c r="AO356" s="108">
        <f t="shared" si="22"/>
        <v>16423</v>
      </c>
      <c r="AP356" s="110">
        <f t="shared" ref="AP356:AP392" si="24">AO356/AN356</f>
        <v>40.550617283950615</v>
      </c>
      <c r="AQ356" s="110">
        <f t="shared" si="23"/>
        <v>0.16732040793455116</v>
      </c>
      <c r="AR356" s="108">
        <v>2</v>
      </c>
      <c r="AS356" s="108">
        <v>13417</v>
      </c>
      <c r="AT356" s="108">
        <v>98153</v>
      </c>
    </row>
    <row r="357" spans="1:46" ht="13.5" thickBot="1" x14ac:dyDescent="0.25">
      <c r="A357" s="48" t="s">
        <v>326</v>
      </c>
      <c r="B357" s="47" t="s">
        <v>325</v>
      </c>
      <c r="C357" s="48" t="s">
        <v>54</v>
      </c>
      <c r="D357" s="48" t="s">
        <v>1648</v>
      </c>
      <c r="E357" s="48" t="s">
        <v>1648</v>
      </c>
      <c r="F357" s="108">
        <v>525</v>
      </c>
      <c r="G357" s="108">
        <v>17590</v>
      </c>
      <c r="H357" s="108">
        <v>5</v>
      </c>
      <c r="I357" s="108">
        <v>134</v>
      </c>
      <c r="J357" s="108">
        <v>78</v>
      </c>
      <c r="K357" s="108">
        <v>3584</v>
      </c>
      <c r="L357" s="108">
        <v>3</v>
      </c>
      <c r="M357" s="108">
        <v>95</v>
      </c>
      <c r="N357" s="108">
        <v>603</v>
      </c>
      <c r="O357" s="108">
        <v>115</v>
      </c>
      <c r="P357" s="108">
        <v>718</v>
      </c>
      <c r="Q357" s="108">
        <v>78</v>
      </c>
      <c r="R357" s="108">
        <v>3745</v>
      </c>
      <c r="S357" s="108">
        <v>603</v>
      </c>
      <c r="T357" s="108">
        <v>21174</v>
      </c>
      <c r="U357" s="109" t="s">
        <v>1648</v>
      </c>
      <c r="V357" s="108">
        <v>232</v>
      </c>
      <c r="W357" s="108">
        <v>8450</v>
      </c>
      <c r="X357" s="108">
        <v>2</v>
      </c>
      <c r="Y357" s="108">
        <v>10</v>
      </c>
      <c r="Z357" s="108">
        <v>8</v>
      </c>
      <c r="AA357" s="108">
        <v>229</v>
      </c>
      <c r="AB357" s="108">
        <v>47</v>
      </c>
      <c r="AC357" s="108">
        <v>1109</v>
      </c>
      <c r="AD357" s="108">
        <v>124</v>
      </c>
      <c r="AE357" s="108">
        <v>2448</v>
      </c>
      <c r="AF357" s="108">
        <v>10</v>
      </c>
      <c r="AG357" s="108">
        <v>167</v>
      </c>
      <c r="AH357" s="108">
        <v>32</v>
      </c>
      <c r="AI357" s="108">
        <v>2761</v>
      </c>
      <c r="AJ357" s="108">
        <v>137</v>
      </c>
      <c r="AK357" s="108">
        <v>5031</v>
      </c>
      <c r="AL357" s="108">
        <v>767</v>
      </c>
      <c r="AM357" s="108">
        <v>26612</v>
      </c>
      <c r="AN357" s="108">
        <f t="shared" si="21"/>
        <v>904</v>
      </c>
      <c r="AO357" s="108">
        <f t="shared" si="22"/>
        <v>31643</v>
      </c>
      <c r="AP357" s="110">
        <f t="shared" si="24"/>
        <v>35.003318584070797</v>
      </c>
      <c r="AQ357" s="110">
        <f t="shared" si="23"/>
        <v>0.61883715017698937</v>
      </c>
      <c r="AR357" s="108">
        <v>5</v>
      </c>
      <c r="AS357" s="108">
        <v>711</v>
      </c>
      <c r="AT357" s="108">
        <v>51133</v>
      </c>
    </row>
    <row r="358" spans="1:46" ht="13.5" thickBot="1" x14ac:dyDescent="0.25">
      <c r="A358" s="48" t="s">
        <v>654</v>
      </c>
      <c r="B358" s="47" t="s">
        <v>653</v>
      </c>
      <c r="C358" s="48" t="s">
        <v>54</v>
      </c>
      <c r="D358" s="48" t="s">
        <v>1648</v>
      </c>
      <c r="E358" s="48" t="s">
        <v>1648</v>
      </c>
      <c r="F358" s="108">
        <v>730</v>
      </c>
      <c r="G358" s="108">
        <v>8386</v>
      </c>
      <c r="H358" s="108">
        <v>188</v>
      </c>
      <c r="I358" s="108">
        <v>1362</v>
      </c>
      <c r="J358" s="108">
        <v>207</v>
      </c>
      <c r="K358" s="108">
        <v>4356</v>
      </c>
      <c r="L358" s="108">
        <v>39</v>
      </c>
      <c r="M358" s="108">
        <v>250</v>
      </c>
      <c r="N358" s="108">
        <v>1421</v>
      </c>
      <c r="O358" s="108">
        <v>320</v>
      </c>
      <c r="P358" s="108">
        <v>1741</v>
      </c>
      <c r="Q358" s="108">
        <v>37</v>
      </c>
      <c r="R358" s="108">
        <v>3949</v>
      </c>
      <c r="S358" s="108">
        <v>937</v>
      </c>
      <c r="T358" s="108">
        <v>12742</v>
      </c>
      <c r="U358" s="109" t="s">
        <v>1648</v>
      </c>
      <c r="V358" s="108">
        <v>458</v>
      </c>
      <c r="W358" s="108">
        <v>8386</v>
      </c>
      <c r="X358" s="108">
        <v>3</v>
      </c>
      <c r="Y358" s="108">
        <v>0</v>
      </c>
      <c r="Z358" s="108">
        <v>227</v>
      </c>
      <c r="AA358" s="108">
        <v>1612</v>
      </c>
      <c r="AB358" s="108">
        <v>2</v>
      </c>
      <c r="AC358" s="108">
        <v>93</v>
      </c>
      <c r="AD358" s="108">
        <v>712</v>
      </c>
      <c r="AE358" s="108">
        <v>6596</v>
      </c>
      <c r="AF358" s="108">
        <v>3</v>
      </c>
      <c r="AG358" s="108">
        <v>217</v>
      </c>
      <c r="AH358" s="108">
        <v>130</v>
      </c>
      <c r="AI358" s="108">
        <v>2126</v>
      </c>
      <c r="AJ358" s="108">
        <v>45</v>
      </c>
      <c r="AK358" s="108">
        <v>4259</v>
      </c>
      <c r="AL358" s="108">
        <v>2006</v>
      </c>
      <c r="AM358" s="108">
        <v>23076</v>
      </c>
      <c r="AN358" s="108">
        <f t="shared" si="21"/>
        <v>2051</v>
      </c>
      <c r="AO358" s="108">
        <f t="shared" si="22"/>
        <v>27335</v>
      </c>
      <c r="AP358" s="110">
        <f t="shared" si="24"/>
        <v>13.327645051194539</v>
      </c>
      <c r="AQ358" s="110">
        <f t="shared" si="23"/>
        <v>0.17051125305653975</v>
      </c>
      <c r="AR358" s="108">
        <v>8</v>
      </c>
      <c r="AS358" s="108">
        <v>278</v>
      </c>
      <c r="AT358" s="108">
        <v>160312</v>
      </c>
    </row>
    <row r="359" spans="1:46" ht="13.5" thickBot="1" x14ac:dyDescent="0.25">
      <c r="A359" s="48" t="s">
        <v>172</v>
      </c>
      <c r="B359" s="47" t="s">
        <v>171</v>
      </c>
      <c r="C359" s="48" t="s">
        <v>54</v>
      </c>
      <c r="D359" s="48" t="s">
        <v>1648</v>
      </c>
      <c r="E359" s="48" t="s">
        <v>1648</v>
      </c>
      <c r="F359" s="108">
        <v>422</v>
      </c>
      <c r="G359" s="108">
        <v>6925</v>
      </c>
      <c r="H359" s="108">
        <v>38</v>
      </c>
      <c r="I359" s="108">
        <v>460</v>
      </c>
      <c r="J359" s="108">
        <v>138</v>
      </c>
      <c r="K359" s="108">
        <v>2867</v>
      </c>
      <c r="L359" s="108">
        <v>12</v>
      </c>
      <c r="M359" s="108">
        <v>164</v>
      </c>
      <c r="N359" s="108">
        <v>1012</v>
      </c>
      <c r="O359" s="108">
        <v>334</v>
      </c>
      <c r="P359" s="108">
        <v>1346</v>
      </c>
      <c r="Q359" s="108">
        <v>14</v>
      </c>
      <c r="R359" s="108">
        <v>122</v>
      </c>
      <c r="S359" s="108">
        <v>560</v>
      </c>
      <c r="T359" s="108">
        <v>9792</v>
      </c>
      <c r="U359" s="109" t="s">
        <v>1648</v>
      </c>
      <c r="V359" s="108">
        <v>174</v>
      </c>
      <c r="W359" s="108">
        <v>2620</v>
      </c>
      <c r="X359" s="108">
        <v>8</v>
      </c>
      <c r="Y359" s="108">
        <v>70</v>
      </c>
      <c r="Z359" s="108">
        <v>50</v>
      </c>
      <c r="AA359" s="108">
        <v>624</v>
      </c>
      <c r="AB359" s="108">
        <v>1</v>
      </c>
      <c r="AC359" s="108">
        <v>18</v>
      </c>
      <c r="AD359" s="108">
        <v>26</v>
      </c>
      <c r="AE359" s="108">
        <v>321</v>
      </c>
      <c r="AF359" s="108">
        <v>0</v>
      </c>
      <c r="AG359" s="108">
        <v>0</v>
      </c>
      <c r="AH359" s="108">
        <v>128</v>
      </c>
      <c r="AI359" s="108">
        <v>6225</v>
      </c>
      <c r="AJ359" s="108">
        <v>23</v>
      </c>
      <c r="AK359" s="108">
        <v>210</v>
      </c>
      <c r="AL359" s="108">
        <v>764</v>
      </c>
      <c r="AM359" s="108">
        <v>16962</v>
      </c>
      <c r="AN359" s="108">
        <f t="shared" si="21"/>
        <v>787</v>
      </c>
      <c r="AO359" s="108">
        <f t="shared" si="22"/>
        <v>17172</v>
      </c>
      <c r="AP359" s="110">
        <f t="shared" si="24"/>
        <v>21.819567979669632</v>
      </c>
      <c r="AQ359" s="110">
        <f t="shared" si="23"/>
        <v>0.33253292021688613</v>
      </c>
      <c r="AR359" s="108">
        <v>11</v>
      </c>
      <c r="AS359" s="108">
        <v>317</v>
      </c>
      <c r="AT359" s="108">
        <v>51640</v>
      </c>
    </row>
    <row r="360" spans="1:46" ht="13.5" thickBot="1" x14ac:dyDescent="0.25">
      <c r="A360" s="48" t="s">
        <v>780</v>
      </c>
      <c r="B360" s="47" t="s">
        <v>779</v>
      </c>
      <c r="C360" s="48" t="s">
        <v>54</v>
      </c>
      <c r="D360" s="48" t="s">
        <v>1648</v>
      </c>
      <c r="E360" s="48" t="s">
        <v>1648</v>
      </c>
      <c r="F360" s="108">
        <v>173</v>
      </c>
      <c r="G360" s="108">
        <v>4222</v>
      </c>
      <c r="H360" s="108">
        <v>28</v>
      </c>
      <c r="I360" s="108">
        <v>439</v>
      </c>
      <c r="J360" s="108">
        <v>41</v>
      </c>
      <c r="K360" s="108">
        <v>2203</v>
      </c>
      <c r="L360" s="108">
        <v>4</v>
      </c>
      <c r="M360" s="108">
        <v>63</v>
      </c>
      <c r="N360" s="108">
        <v>600</v>
      </c>
      <c r="O360" s="108">
        <v>34</v>
      </c>
      <c r="P360" s="108">
        <v>634</v>
      </c>
      <c r="Q360" s="108">
        <v>1</v>
      </c>
      <c r="R360" s="108">
        <v>268</v>
      </c>
      <c r="S360" s="108">
        <v>214</v>
      </c>
      <c r="T360" s="108">
        <v>6425</v>
      </c>
      <c r="U360" s="109" t="s">
        <v>1648</v>
      </c>
      <c r="V360" s="108">
        <v>132</v>
      </c>
      <c r="W360" s="108">
        <v>1843</v>
      </c>
      <c r="X360" s="108">
        <v>0</v>
      </c>
      <c r="Y360" s="108">
        <v>0</v>
      </c>
      <c r="Z360" s="108">
        <v>32</v>
      </c>
      <c r="AA360" s="108">
        <v>502</v>
      </c>
      <c r="AB360" s="108">
        <v>1</v>
      </c>
      <c r="AC360" s="108">
        <v>8</v>
      </c>
      <c r="AD360" s="108">
        <v>474</v>
      </c>
      <c r="AE360" s="108">
        <v>9623</v>
      </c>
      <c r="AF360" s="108">
        <v>0</v>
      </c>
      <c r="AG360" s="108">
        <v>0</v>
      </c>
      <c r="AH360" s="108">
        <v>0</v>
      </c>
      <c r="AI360" s="108">
        <v>0</v>
      </c>
      <c r="AJ360" s="108">
        <v>2</v>
      </c>
      <c r="AK360" s="108">
        <v>276</v>
      </c>
      <c r="AL360" s="108">
        <v>720</v>
      </c>
      <c r="AM360" s="108">
        <v>16550</v>
      </c>
      <c r="AN360" s="108">
        <f t="shared" si="21"/>
        <v>722</v>
      </c>
      <c r="AO360" s="108">
        <f t="shared" si="22"/>
        <v>16826</v>
      </c>
      <c r="AP360" s="110">
        <f t="shared" si="24"/>
        <v>23.304709141274238</v>
      </c>
      <c r="AQ360" s="110">
        <f t="shared" si="23"/>
        <v>0.23370418211869939</v>
      </c>
      <c r="AR360" s="108">
        <v>14</v>
      </c>
      <c r="AS360" s="108">
        <v>448</v>
      </c>
      <c r="AT360" s="108">
        <v>71997</v>
      </c>
    </row>
    <row r="361" spans="1:46" ht="13.5" thickBot="1" x14ac:dyDescent="0.25">
      <c r="A361" s="48" t="s">
        <v>304</v>
      </c>
      <c r="B361" s="47" t="s">
        <v>303</v>
      </c>
      <c r="C361" s="48" t="s">
        <v>54</v>
      </c>
      <c r="D361" s="48" t="s">
        <v>1648</v>
      </c>
      <c r="E361" s="48" t="s">
        <v>1648</v>
      </c>
      <c r="F361" s="108">
        <v>642</v>
      </c>
      <c r="G361" s="108">
        <v>11012</v>
      </c>
      <c r="H361" s="108">
        <v>35</v>
      </c>
      <c r="I361" s="108">
        <v>826</v>
      </c>
      <c r="J361" s="108">
        <v>55</v>
      </c>
      <c r="K361" s="108">
        <v>899</v>
      </c>
      <c r="L361" s="108">
        <v>2</v>
      </c>
      <c r="M361" s="108">
        <v>37</v>
      </c>
      <c r="N361" s="108">
        <v>3774</v>
      </c>
      <c r="O361" s="108">
        <v>416</v>
      </c>
      <c r="P361" s="108">
        <v>4190</v>
      </c>
      <c r="Q361" s="108">
        <v>15</v>
      </c>
      <c r="R361" s="108">
        <v>1129</v>
      </c>
      <c r="S361" s="108">
        <v>697</v>
      </c>
      <c r="T361" s="108">
        <v>11911</v>
      </c>
      <c r="U361" s="109" t="s">
        <v>1648</v>
      </c>
      <c r="V361" s="108">
        <v>417</v>
      </c>
      <c r="W361" s="108">
        <v>6501</v>
      </c>
      <c r="X361" s="108">
        <v>3</v>
      </c>
      <c r="Y361" s="108">
        <v>666</v>
      </c>
      <c r="Z361" s="108">
        <v>37</v>
      </c>
      <c r="AA361" s="108">
        <v>863</v>
      </c>
      <c r="AB361" s="108">
        <v>13</v>
      </c>
      <c r="AC361" s="108">
        <v>1849</v>
      </c>
      <c r="AD361" s="108">
        <v>465</v>
      </c>
      <c r="AE361" s="108">
        <v>10364</v>
      </c>
      <c r="AF361" s="108">
        <v>1</v>
      </c>
      <c r="AG361" s="108">
        <v>375</v>
      </c>
      <c r="AH361" s="108">
        <v>231</v>
      </c>
      <c r="AI361" s="108">
        <v>9428</v>
      </c>
      <c r="AJ361" s="108">
        <v>32</v>
      </c>
      <c r="AK361" s="108">
        <v>4019</v>
      </c>
      <c r="AL361" s="108">
        <v>1430</v>
      </c>
      <c r="AM361" s="108">
        <v>32566</v>
      </c>
      <c r="AN361" s="108">
        <f t="shared" si="21"/>
        <v>1462</v>
      </c>
      <c r="AO361" s="108">
        <f t="shared" si="22"/>
        <v>36585</v>
      </c>
      <c r="AP361" s="110">
        <f t="shared" si="24"/>
        <v>25.023939808481533</v>
      </c>
      <c r="AQ361" s="110">
        <f t="shared" si="23"/>
        <v>0.1100079081809079</v>
      </c>
      <c r="AR361" s="108">
        <v>19</v>
      </c>
      <c r="AS361" s="108">
        <v>6563</v>
      </c>
      <c r="AT361" s="108">
        <v>332567</v>
      </c>
    </row>
    <row r="362" spans="1:46" ht="13.5" thickBot="1" x14ac:dyDescent="0.25">
      <c r="A362" s="48" t="s">
        <v>352</v>
      </c>
      <c r="B362" s="47" t="s">
        <v>351</v>
      </c>
      <c r="C362" s="48" t="s">
        <v>54</v>
      </c>
      <c r="D362" s="48" t="s">
        <v>1648</v>
      </c>
      <c r="E362" s="48" t="s">
        <v>1648</v>
      </c>
      <c r="F362" s="108">
        <v>42</v>
      </c>
      <c r="G362" s="108">
        <v>5089</v>
      </c>
      <c r="H362" s="108">
        <v>68</v>
      </c>
      <c r="I362" s="108">
        <v>1167</v>
      </c>
      <c r="J362" s="108">
        <v>30</v>
      </c>
      <c r="K362" s="108">
        <v>2128</v>
      </c>
      <c r="L362" s="108">
        <v>25</v>
      </c>
      <c r="M362" s="108">
        <v>503</v>
      </c>
      <c r="N362" s="108">
        <v>679</v>
      </c>
      <c r="O362" s="108">
        <v>261</v>
      </c>
      <c r="P362" s="108">
        <v>940</v>
      </c>
      <c r="Q362" s="108">
        <v>15</v>
      </c>
      <c r="R362" s="108">
        <v>241</v>
      </c>
      <c r="S362" s="108">
        <v>72</v>
      </c>
      <c r="T362" s="108">
        <v>7217</v>
      </c>
      <c r="U362" s="109" t="s">
        <v>1648</v>
      </c>
      <c r="V362" s="108">
        <v>122</v>
      </c>
      <c r="W362" s="108">
        <v>3892</v>
      </c>
      <c r="X362" s="108">
        <v>6</v>
      </c>
      <c r="Y362" s="108">
        <v>9</v>
      </c>
      <c r="Z362" s="108">
        <v>93</v>
      </c>
      <c r="AA362" s="108">
        <v>1670</v>
      </c>
      <c r="AB362" s="108">
        <v>5</v>
      </c>
      <c r="AC362" s="108">
        <v>143</v>
      </c>
      <c r="AD362" s="108">
        <v>146</v>
      </c>
      <c r="AE362" s="108">
        <v>1581</v>
      </c>
      <c r="AF362" s="108">
        <v>0</v>
      </c>
      <c r="AG362" s="108">
        <v>0</v>
      </c>
      <c r="AH362" s="108">
        <v>238</v>
      </c>
      <c r="AI362" s="108">
        <v>247</v>
      </c>
      <c r="AJ362" s="108">
        <v>26</v>
      </c>
      <c r="AK362" s="108">
        <v>393</v>
      </c>
      <c r="AL362" s="108">
        <v>549</v>
      </c>
      <c r="AM362" s="108">
        <v>10715</v>
      </c>
      <c r="AN362" s="108">
        <f t="shared" si="21"/>
        <v>575</v>
      </c>
      <c r="AO362" s="108">
        <f t="shared" si="22"/>
        <v>11108</v>
      </c>
      <c r="AP362" s="110">
        <f t="shared" si="24"/>
        <v>19.318260869565218</v>
      </c>
      <c r="AQ362" s="110">
        <f t="shared" si="23"/>
        <v>0.1084522031184402</v>
      </c>
      <c r="AR362" s="108">
        <v>19</v>
      </c>
      <c r="AS362" s="108">
        <v>1823</v>
      </c>
      <c r="AT362" s="108">
        <v>102423</v>
      </c>
    </row>
    <row r="363" spans="1:46" ht="13.5" thickBot="1" x14ac:dyDescent="0.25">
      <c r="A363" s="48" t="s">
        <v>808</v>
      </c>
      <c r="B363" s="47" t="s">
        <v>807</v>
      </c>
      <c r="C363" s="48" t="s">
        <v>54</v>
      </c>
      <c r="D363" s="48" t="s">
        <v>1648</v>
      </c>
      <c r="E363" s="48" t="s">
        <v>1648</v>
      </c>
      <c r="F363" s="108">
        <v>233</v>
      </c>
      <c r="G363" s="108">
        <v>9175</v>
      </c>
      <c r="H363" s="108">
        <v>78</v>
      </c>
      <c r="I363" s="108">
        <v>3216</v>
      </c>
      <c r="J363" s="108">
        <v>67</v>
      </c>
      <c r="K363" s="108">
        <v>3046</v>
      </c>
      <c r="L363" s="108">
        <v>5</v>
      </c>
      <c r="M363" s="108">
        <v>38</v>
      </c>
      <c r="N363" s="108">
        <v>1000</v>
      </c>
      <c r="O363" s="108">
        <v>420</v>
      </c>
      <c r="P363" s="108">
        <v>1420</v>
      </c>
      <c r="Q363" s="108">
        <v>119</v>
      </c>
      <c r="R363" s="108">
        <v>2201</v>
      </c>
      <c r="S363" s="108">
        <v>300</v>
      </c>
      <c r="T363" s="108">
        <v>12221</v>
      </c>
      <c r="U363" s="109" t="s">
        <v>1648</v>
      </c>
      <c r="V363" s="108">
        <v>242</v>
      </c>
      <c r="W363" s="108">
        <v>8936</v>
      </c>
      <c r="X363" s="108">
        <v>3</v>
      </c>
      <c r="Y363" s="108">
        <v>5</v>
      </c>
      <c r="Z363" s="108">
        <v>83</v>
      </c>
      <c r="AA363" s="108">
        <v>3254</v>
      </c>
      <c r="AB363" s="108">
        <v>94</v>
      </c>
      <c r="AC363" s="108">
        <v>1686</v>
      </c>
      <c r="AD363" s="108">
        <v>269</v>
      </c>
      <c r="AE363" s="108">
        <v>3938</v>
      </c>
      <c r="AF363" s="108">
        <v>0</v>
      </c>
      <c r="AG363" s="108">
        <v>0</v>
      </c>
      <c r="AH363" s="108">
        <v>0</v>
      </c>
      <c r="AI363" s="108">
        <v>0</v>
      </c>
      <c r="AJ363" s="108">
        <v>216</v>
      </c>
      <c r="AK363" s="108">
        <v>3892</v>
      </c>
      <c r="AL363" s="108">
        <v>652</v>
      </c>
      <c r="AM363" s="108">
        <v>19413</v>
      </c>
      <c r="AN363" s="108">
        <f t="shared" si="21"/>
        <v>868</v>
      </c>
      <c r="AO363" s="108">
        <f t="shared" si="22"/>
        <v>23305</v>
      </c>
      <c r="AP363" s="110">
        <f t="shared" si="24"/>
        <v>26.849078341013826</v>
      </c>
      <c r="AQ363" s="110">
        <f t="shared" si="23"/>
        <v>0.25958186212811457</v>
      </c>
      <c r="AR363" s="108">
        <v>20</v>
      </c>
      <c r="AS363" s="108">
        <v>2850</v>
      </c>
      <c r="AT363" s="108">
        <v>89779</v>
      </c>
    </row>
    <row r="364" spans="1:46" ht="13.5" thickBot="1" x14ac:dyDescent="0.25">
      <c r="A364" s="48" t="s">
        <v>604</v>
      </c>
      <c r="B364" s="47" t="s">
        <v>603</v>
      </c>
      <c r="C364" s="48" t="s">
        <v>54</v>
      </c>
      <c r="D364" s="48" t="s">
        <v>1648</v>
      </c>
      <c r="E364" s="48" t="s">
        <v>1648</v>
      </c>
      <c r="F364" s="108">
        <v>201</v>
      </c>
      <c r="G364" s="108">
        <v>3578</v>
      </c>
      <c r="H364" s="108">
        <v>92</v>
      </c>
      <c r="I364" s="108">
        <v>1479</v>
      </c>
      <c r="J364" s="108">
        <v>35</v>
      </c>
      <c r="K364" s="108">
        <v>1577</v>
      </c>
      <c r="L364" s="108">
        <v>9</v>
      </c>
      <c r="M364" s="108">
        <v>269</v>
      </c>
      <c r="N364" s="108">
        <v>1988</v>
      </c>
      <c r="O364" s="108">
        <v>425</v>
      </c>
      <c r="P364" s="108">
        <v>2413</v>
      </c>
      <c r="Q364" s="108">
        <v>0</v>
      </c>
      <c r="R364" s="108">
        <v>0</v>
      </c>
      <c r="S364" s="108">
        <v>236</v>
      </c>
      <c r="T364" s="108">
        <v>5155</v>
      </c>
      <c r="U364" s="109" t="s">
        <v>1648</v>
      </c>
      <c r="V364" s="108">
        <v>75</v>
      </c>
      <c r="W364" s="108">
        <v>1293</v>
      </c>
      <c r="X364" s="108">
        <v>0</v>
      </c>
      <c r="Y364" s="108">
        <v>0</v>
      </c>
      <c r="Z364" s="108">
        <v>101</v>
      </c>
      <c r="AA364" s="108">
        <v>1748</v>
      </c>
      <c r="AB364" s="108">
        <v>0</v>
      </c>
      <c r="AC364" s="108">
        <v>0</v>
      </c>
      <c r="AD364" s="108">
        <v>146</v>
      </c>
      <c r="AE364" s="108">
        <v>1427</v>
      </c>
      <c r="AF364" s="108">
        <v>0</v>
      </c>
      <c r="AG364" s="108">
        <v>0</v>
      </c>
      <c r="AH364" s="108">
        <v>31</v>
      </c>
      <c r="AI364" s="108">
        <v>1356</v>
      </c>
      <c r="AJ364" s="108">
        <v>0</v>
      </c>
      <c r="AK364" s="108">
        <v>0</v>
      </c>
      <c r="AL364" s="108">
        <v>514</v>
      </c>
      <c r="AM364" s="108">
        <v>9686</v>
      </c>
      <c r="AN364" s="108">
        <f t="shared" si="21"/>
        <v>514</v>
      </c>
      <c r="AO364" s="108">
        <f t="shared" si="22"/>
        <v>9686</v>
      </c>
      <c r="AP364" s="110">
        <f t="shared" si="24"/>
        <v>18.844357976653697</v>
      </c>
      <c r="AQ364" s="110">
        <f t="shared" si="23"/>
        <v>7.7680648007057498E-2</v>
      </c>
      <c r="AR364" s="108">
        <v>25</v>
      </c>
      <c r="AS364" s="108">
        <v>378</v>
      </c>
      <c r="AT364" s="108">
        <v>124690</v>
      </c>
    </row>
    <row r="365" spans="1:46" ht="13.5" thickBot="1" x14ac:dyDescent="0.25">
      <c r="A365" s="48" t="s">
        <v>142</v>
      </c>
      <c r="B365" s="47" t="s">
        <v>141</v>
      </c>
      <c r="C365" s="48" t="s">
        <v>54</v>
      </c>
      <c r="D365" s="48" t="s">
        <v>1648</v>
      </c>
      <c r="E365" s="48" t="s">
        <v>1648</v>
      </c>
      <c r="F365" s="108">
        <v>2123</v>
      </c>
      <c r="G365" s="108">
        <v>32644</v>
      </c>
      <c r="H365" s="108">
        <v>353</v>
      </c>
      <c r="I365" s="108">
        <v>4095</v>
      </c>
      <c r="J365" s="108">
        <v>693</v>
      </c>
      <c r="K365" s="108">
        <v>18742</v>
      </c>
      <c r="L365" s="108">
        <v>45</v>
      </c>
      <c r="M365" s="108">
        <v>471</v>
      </c>
      <c r="N365" s="108">
        <v>5021</v>
      </c>
      <c r="O365" s="108">
        <v>1441</v>
      </c>
      <c r="P365" s="108">
        <v>6462</v>
      </c>
      <c r="Q365" s="108">
        <v>0</v>
      </c>
      <c r="R365" s="108">
        <v>0</v>
      </c>
      <c r="S365" s="108">
        <v>2816</v>
      </c>
      <c r="T365" s="108">
        <v>51386</v>
      </c>
      <c r="U365" s="109" t="s">
        <v>1648</v>
      </c>
      <c r="V365" s="108">
        <v>1334</v>
      </c>
      <c r="W365" s="108">
        <v>24371</v>
      </c>
      <c r="X365" s="108">
        <v>0</v>
      </c>
      <c r="Y365" s="108">
        <v>0</v>
      </c>
      <c r="Z365" s="108">
        <v>398</v>
      </c>
      <c r="AA365" s="108">
        <v>4566</v>
      </c>
      <c r="AB365" s="108">
        <v>0</v>
      </c>
      <c r="AC365" s="108">
        <v>0</v>
      </c>
      <c r="AD365" s="108">
        <v>2667</v>
      </c>
      <c r="AE365" s="108">
        <v>17444</v>
      </c>
      <c r="AF365" s="108">
        <v>2069</v>
      </c>
      <c r="AG365" s="108">
        <v>150951</v>
      </c>
      <c r="AH365" s="108">
        <v>0</v>
      </c>
      <c r="AI365" s="108">
        <v>0</v>
      </c>
      <c r="AJ365" s="108">
        <v>2069</v>
      </c>
      <c r="AK365" s="108">
        <v>150951</v>
      </c>
      <c r="AL365" s="108">
        <v>5881</v>
      </c>
      <c r="AM365" s="108">
        <v>73396</v>
      </c>
      <c r="AN365" s="108">
        <f t="shared" si="21"/>
        <v>7950</v>
      </c>
      <c r="AO365" s="108">
        <f t="shared" si="22"/>
        <v>224347</v>
      </c>
      <c r="AP365" s="110">
        <f t="shared" si="24"/>
        <v>28.219748427672958</v>
      </c>
      <c r="AQ365" s="110">
        <f t="shared" si="23"/>
        <v>0.93924449152010181</v>
      </c>
      <c r="AR365" s="108">
        <v>29</v>
      </c>
      <c r="AS365" s="108">
        <v>17984</v>
      </c>
      <c r="AT365" s="108">
        <v>238859</v>
      </c>
    </row>
    <row r="366" spans="1:46" ht="13.5" thickBot="1" x14ac:dyDescent="0.25">
      <c r="A366" s="48" t="s">
        <v>648</v>
      </c>
      <c r="B366" s="47" t="s">
        <v>647</v>
      </c>
      <c r="C366" s="48" t="s">
        <v>54</v>
      </c>
      <c r="D366" s="48" t="s">
        <v>1648</v>
      </c>
      <c r="E366" s="48" t="s">
        <v>1648</v>
      </c>
      <c r="F366" s="108">
        <v>186</v>
      </c>
      <c r="G366" s="108">
        <v>6285</v>
      </c>
      <c r="H366" s="108">
        <v>45</v>
      </c>
      <c r="I366" s="108">
        <v>739</v>
      </c>
      <c r="J366" s="108">
        <v>58</v>
      </c>
      <c r="K366" s="108">
        <v>1462</v>
      </c>
      <c r="L366" s="108">
        <v>3</v>
      </c>
      <c r="M366" s="108">
        <v>39</v>
      </c>
      <c r="N366" s="108">
        <v>231</v>
      </c>
      <c r="O366" s="108">
        <v>37</v>
      </c>
      <c r="P366" s="108">
        <v>268</v>
      </c>
      <c r="Q366" s="108">
        <v>74</v>
      </c>
      <c r="R366" s="108">
        <v>1953</v>
      </c>
      <c r="S366" s="108">
        <v>244</v>
      </c>
      <c r="T366" s="108">
        <v>7747</v>
      </c>
      <c r="U366" s="109" t="s">
        <v>1648</v>
      </c>
      <c r="V366" s="108">
        <v>96</v>
      </c>
      <c r="W366" s="108">
        <v>3445</v>
      </c>
      <c r="X366" s="108">
        <v>4</v>
      </c>
      <c r="Y366" s="108">
        <v>51</v>
      </c>
      <c r="Z366" s="108">
        <v>48</v>
      </c>
      <c r="AA366" s="108">
        <v>778</v>
      </c>
      <c r="AB366" s="108">
        <v>28</v>
      </c>
      <c r="AC366" s="108">
        <v>501</v>
      </c>
      <c r="AD366" s="108">
        <v>136</v>
      </c>
      <c r="AE366" s="108">
        <v>2585</v>
      </c>
      <c r="AF366" s="108">
        <v>0</v>
      </c>
      <c r="AG366" s="108">
        <v>0</v>
      </c>
      <c r="AH366" s="108">
        <v>0</v>
      </c>
      <c r="AI366" s="108">
        <v>0</v>
      </c>
      <c r="AJ366" s="108">
        <v>106</v>
      </c>
      <c r="AK366" s="108">
        <v>2505</v>
      </c>
      <c r="AL366" s="108">
        <v>428</v>
      </c>
      <c r="AM366" s="108">
        <v>11110</v>
      </c>
      <c r="AN366" s="108">
        <f t="shared" si="21"/>
        <v>534</v>
      </c>
      <c r="AO366" s="108">
        <f t="shared" si="22"/>
        <v>13615</v>
      </c>
      <c r="AP366" s="110">
        <f t="shared" si="24"/>
        <v>25.49625468164794</v>
      </c>
      <c r="AQ366" s="110">
        <f t="shared" si="23"/>
        <v>0.23787476413446082</v>
      </c>
      <c r="AR366" s="108">
        <v>35</v>
      </c>
      <c r="AS366" s="108">
        <v>17877</v>
      </c>
      <c r="AT366" s="108">
        <v>57236</v>
      </c>
    </row>
    <row r="367" spans="1:46" ht="13.5" thickBot="1" x14ac:dyDescent="0.25">
      <c r="A367" s="48" t="s">
        <v>322</v>
      </c>
      <c r="B367" s="47" t="s">
        <v>321</v>
      </c>
      <c r="C367" s="48" t="s">
        <v>54</v>
      </c>
      <c r="D367" s="48" t="s">
        <v>1648</v>
      </c>
      <c r="E367" s="48" t="s">
        <v>1648</v>
      </c>
      <c r="F367" s="108">
        <v>413</v>
      </c>
      <c r="G367" s="108">
        <v>9431</v>
      </c>
      <c r="H367" s="108">
        <v>58</v>
      </c>
      <c r="I367" s="108">
        <v>5569</v>
      </c>
      <c r="J367" s="108">
        <v>32</v>
      </c>
      <c r="K367" s="108">
        <v>3087</v>
      </c>
      <c r="L367" s="108">
        <v>5</v>
      </c>
      <c r="M367" s="108">
        <v>3191</v>
      </c>
      <c r="N367" s="108">
        <v>1006</v>
      </c>
      <c r="O367" s="108">
        <v>318</v>
      </c>
      <c r="P367" s="108">
        <v>1324</v>
      </c>
      <c r="Q367" s="108">
        <v>0</v>
      </c>
      <c r="R367" s="108">
        <v>0</v>
      </c>
      <c r="S367" s="108">
        <v>445</v>
      </c>
      <c r="T367" s="108">
        <v>12518</v>
      </c>
      <c r="U367" s="109" t="s">
        <v>1648</v>
      </c>
      <c r="V367" s="108">
        <v>341</v>
      </c>
      <c r="W367" s="108">
        <v>7145</v>
      </c>
      <c r="X367" s="108">
        <v>4</v>
      </c>
      <c r="Y367" s="108">
        <v>1450</v>
      </c>
      <c r="Z367" s="108">
        <v>63</v>
      </c>
      <c r="AA367" s="108">
        <v>8760</v>
      </c>
      <c r="AB367" s="108">
        <v>1</v>
      </c>
      <c r="AC367" s="108">
        <v>27</v>
      </c>
      <c r="AD367" s="108">
        <v>200</v>
      </c>
      <c r="AE367" s="108">
        <v>9973</v>
      </c>
      <c r="AF367" s="108">
        <v>0</v>
      </c>
      <c r="AG367" s="108">
        <v>0</v>
      </c>
      <c r="AH367" s="108">
        <v>0</v>
      </c>
      <c r="AI367" s="108">
        <v>0</v>
      </c>
      <c r="AJ367" s="108">
        <v>5</v>
      </c>
      <c r="AK367" s="108">
        <v>1477</v>
      </c>
      <c r="AL367" s="108">
        <v>708</v>
      </c>
      <c r="AM367" s="108">
        <v>31251</v>
      </c>
      <c r="AN367" s="108">
        <f t="shared" si="21"/>
        <v>713</v>
      </c>
      <c r="AO367" s="108">
        <f t="shared" si="22"/>
        <v>32728</v>
      </c>
      <c r="AP367" s="110">
        <f t="shared" si="24"/>
        <v>45.901823281907433</v>
      </c>
      <c r="AQ367" s="110">
        <f t="shared" si="23"/>
        <v>0.17404807487768559</v>
      </c>
      <c r="AR367" s="108">
        <v>37</v>
      </c>
      <c r="AS367" s="108">
        <v>15101</v>
      </c>
      <c r="AT367" s="108">
        <v>188040</v>
      </c>
    </row>
    <row r="368" spans="1:46" ht="13.5" thickBot="1" x14ac:dyDescent="0.25">
      <c r="A368" s="48" t="s">
        <v>443</v>
      </c>
      <c r="B368" s="47" t="s">
        <v>442</v>
      </c>
      <c r="C368" s="48" t="s">
        <v>54</v>
      </c>
      <c r="D368" s="48" t="s">
        <v>1648</v>
      </c>
      <c r="E368" s="48" t="s">
        <v>1648</v>
      </c>
      <c r="F368" s="108">
        <v>451</v>
      </c>
      <c r="G368" s="108">
        <v>16442</v>
      </c>
      <c r="H368" s="108">
        <v>80</v>
      </c>
      <c r="I368" s="108">
        <v>1031</v>
      </c>
      <c r="J368" s="108">
        <v>60</v>
      </c>
      <c r="K368" s="108">
        <v>6923</v>
      </c>
      <c r="L368" s="108">
        <v>10</v>
      </c>
      <c r="M368" s="108">
        <v>371</v>
      </c>
      <c r="N368" s="108">
        <v>1580</v>
      </c>
      <c r="O368" s="108">
        <v>185</v>
      </c>
      <c r="P368" s="108">
        <v>1765</v>
      </c>
      <c r="Q368" s="108">
        <v>18</v>
      </c>
      <c r="R368" s="108">
        <v>519</v>
      </c>
      <c r="S368" s="108">
        <v>511</v>
      </c>
      <c r="T368" s="108">
        <v>23365</v>
      </c>
      <c r="U368" s="109" t="s">
        <v>1648</v>
      </c>
      <c r="V368" s="108">
        <v>220</v>
      </c>
      <c r="W368" s="108">
        <v>5094</v>
      </c>
      <c r="X368" s="108">
        <v>2</v>
      </c>
      <c r="Y368" s="108">
        <v>16</v>
      </c>
      <c r="Z368" s="108">
        <v>90</v>
      </c>
      <c r="AA368" s="108">
        <v>1402</v>
      </c>
      <c r="AB368" s="108">
        <v>15</v>
      </c>
      <c r="AC368" s="108">
        <v>221</v>
      </c>
      <c r="AD368" s="108">
        <v>195</v>
      </c>
      <c r="AE368" s="108">
        <v>5410</v>
      </c>
      <c r="AF368" s="108">
        <v>0</v>
      </c>
      <c r="AG368" s="108">
        <v>0</v>
      </c>
      <c r="AH368" s="108">
        <v>4</v>
      </c>
      <c r="AI368" s="108">
        <v>203</v>
      </c>
      <c r="AJ368" s="108">
        <v>35</v>
      </c>
      <c r="AK368" s="108">
        <v>756</v>
      </c>
      <c r="AL368" s="108">
        <v>800</v>
      </c>
      <c r="AM368" s="108">
        <v>30380</v>
      </c>
      <c r="AN368" s="108">
        <f t="shared" si="21"/>
        <v>835</v>
      </c>
      <c r="AO368" s="108">
        <f t="shared" si="22"/>
        <v>31136</v>
      </c>
      <c r="AP368" s="110">
        <f t="shared" si="24"/>
        <v>37.288622754491016</v>
      </c>
      <c r="AQ368" s="110">
        <f t="shared" si="23"/>
        <v>0.3211817375337831</v>
      </c>
      <c r="AR368" s="108">
        <v>37</v>
      </c>
      <c r="AS368" s="108">
        <v>3670</v>
      </c>
      <c r="AT368" s="108">
        <v>96942</v>
      </c>
    </row>
    <row r="369" spans="1:46" ht="13.5" thickBot="1" x14ac:dyDescent="0.25">
      <c r="A369" s="48" t="s">
        <v>638</v>
      </c>
      <c r="B369" s="47" t="s">
        <v>637</v>
      </c>
      <c r="C369" s="48" t="s">
        <v>54</v>
      </c>
      <c r="D369" s="48" t="s">
        <v>1648</v>
      </c>
      <c r="E369" s="48" t="s">
        <v>1648</v>
      </c>
      <c r="F369" s="108">
        <v>519</v>
      </c>
      <c r="G369" s="108">
        <v>15707</v>
      </c>
      <c r="H369" s="108">
        <v>121</v>
      </c>
      <c r="I369" s="108">
        <v>1400</v>
      </c>
      <c r="J369" s="108">
        <v>89</v>
      </c>
      <c r="K369" s="108">
        <v>3600</v>
      </c>
      <c r="L369" s="108">
        <v>31</v>
      </c>
      <c r="M369" s="108">
        <v>376</v>
      </c>
      <c r="N369" s="108">
        <v>1494</v>
      </c>
      <c r="O369" s="109">
        <v>0</v>
      </c>
      <c r="P369" s="108">
        <v>1494</v>
      </c>
      <c r="Q369" s="108">
        <v>0</v>
      </c>
      <c r="R369" s="108">
        <v>0</v>
      </c>
      <c r="S369" s="108">
        <v>608</v>
      </c>
      <c r="T369" s="108">
        <v>19307</v>
      </c>
      <c r="U369" s="109" t="s">
        <v>1648</v>
      </c>
      <c r="V369" s="108">
        <v>273</v>
      </c>
      <c r="W369" s="108">
        <v>6955</v>
      </c>
      <c r="X369" s="108">
        <v>0</v>
      </c>
      <c r="Y369" s="108">
        <v>0</v>
      </c>
      <c r="Z369" s="108">
        <v>152</v>
      </c>
      <c r="AA369" s="108">
        <v>1776</v>
      </c>
      <c r="AB369" s="108">
        <v>0</v>
      </c>
      <c r="AC369" s="108">
        <v>0</v>
      </c>
      <c r="AD369" s="108">
        <v>423</v>
      </c>
      <c r="AE369" s="108">
        <v>11862</v>
      </c>
      <c r="AF369" s="108">
        <v>32</v>
      </c>
      <c r="AG369" s="108">
        <v>415</v>
      </c>
      <c r="AH369" s="108">
        <v>0</v>
      </c>
      <c r="AI369" s="108">
        <v>0</v>
      </c>
      <c r="AJ369" s="108">
        <v>32</v>
      </c>
      <c r="AK369" s="108">
        <v>415</v>
      </c>
      <c r="AL369" s="108">
        <v>1183</v>
      </c>
      <c r="AM369" s="108">
        <v>32945</v>
      </c>
      <c r="AN369" s="108">
        <f t="shared" si="21"/>
        <v>1215</v>
      </c>
      <c r="AO369" s="108">
        <f t="shared" si="22"/>
        <v>33360</v>
      </c>
      <c r="AP369" s="110">
        <f t="shared" si="24"/>
        <v>27.456790123456791</v>
      </c>
      <c r="AQ369" s="110">
        <f t="shared" si="23"/>
        <v>0.33198984923122854</v>
      </c>
      <c r="AR369" s="108">
        <v>42</v>
      </c>
      <c r="AS369" s="108">
        <v>3672</v>
      </c>
      <c r="AT369" s="108">
        <v>100485</v>
      </c>
    </row>
    <row r="370" spans="1:46" ht="13.5" thickBot="1" x14ac:dyDescent="0.25">
      <c r="A370" s="48" t="s">
        <v>374</v>
      </c>
      <c r="B370" s="47" t="s">
        <v>373</v>
      </c>
      <c r="C370" s="48" t="s">
        <v>54</v>
      </c>
      <c r="D370" s="48" t="s">
        <v>1648</v>
      </c>
      <c r="E370" s="48" t="s">
        <v>1648</v>
      </c>
      <c r="F370" s="108">
        <v>611</v>
      </c>
      <c r="G370" s="108">
        <v>21168</v>
      </c>
      <c r="H370" s="108">
        <v>130</v>
      </c>
      <c r="I370" s="108">
        <v>583</v>
      </c>
      <c r="J370" s="108">
        <v>4</v>
      </c>
      <c r="K370" s="108">
        <v>16</v>
      </c>
      <c r="L370" s="108">
        <v>4</v>
      </c>
      <c r="M370" s="108">
        <v>14</v>
      </c>
      <c r="N370" s="108">
        <v>174</v>
      </c>
      <c r="O370" s="108">
        <v>91</v>
      </c>
      <c r="P370" s="108">
        <v>265</v>
      </c>
      <c r="Q370" s="108">
        <v>14</v>
      </c>
      <c r="R370" s="108">
        <v>251</v>
      </c>
      <c r="S370" s="108">
        <v>615</v>
      </c>
      <c r="T370" s="108">
        <v>21184</v>
      </c>
      <c r="U370" s="109" t="s">
        <v>1648</v>
      </c>
      <c r="V370" s="108">
        <v>2</v>
      </c>
      <c r="W370" s="108">
        <v>15</v>
      </c>
      <c r="X370" s="108">
        <v>4</v>
      </c>
      <c r="Y370" s="108">
        <v>14</v>
      </c>
      <c r="Z370" s="108">
        <v>134</v>
      </c>
      <c r="AA370" s="108">
        <v>597</v>
      </c>
      <c r="AB370" s="108">
        <v>7</v>
      </c>
      <c r="AC370" s="108">
        <v>73</v>
      </c>
      <c r="AD370" s="108">
        <v>159</v>
      </c>
      <c r="AE370" s="108">
        <v>2624</v>
      </c>
      <c r="AF370" s="108">
        <v>0</v>
      </c>
      <c r="AG370" s="108">
        <v>0</v>
      </c>
      <c r="AH370" s="108">
        <v>0</v>
      </c>
      <c r="AI370" s="108">
        <v>0</v>
      </c>
      <c r="AJ370" s="108">
        <v>25</v>
      </c>
      <c r="AK370" s="108">
        <v>338</v>
      </c>
      <c r="AL370" s="108">
        <v>908</v>
      </c>
      <c r="AM370" s="108">
        <v>24405</v>
      </c>
      <c r="AN370" s="108">
        <f t="shared" si="21"/>
        <v>933</v>
      </c>
      <c r="AO370" s="108">
        <f t="shared" si="22"/>
        <v>24743</v>
      </c>
      <c r="AP370" s="110">
        <f t="shared" si="24"/>
        <v>26.519828510182208</v>
      </c>
      <c r="AQ370" s="110">
        <f t="shared" si="23"/>
        <v>0.47103504730720175</v>
      </c>
      <c r="AR370" s="108">
        <v>44</v>
      </c>
      <c r="AS370" s="108">
        <v>652</v>
      </c>
      <c r="AT370" s="108">
        <v>52529</v>
      </c>
    </row>
    <row r="371" spans="1:46" ht="13.5" thickBot="1" x14ac:dyDescent="0.25">
      <c r="A371" s="48" t="s">
        <v>752</v>
      </c>
      <c r="B371" s="47" t="s">
        <v>751</v>
      </c>
      <c r="C371" s="48" t="s">
        <v>54</v>
      </c>
      <c r="D371" s="48" t="s">
        <v>1648</v>
      </c>
      <c r="E371" s="48" t="s">
        <v>1648</v>
      </c>
      <c r="F371" s="108">
        <v>654</v>
      </c>
      <c r="G371" s="108">
        <v>19873</v>
      </c>
      <c r="H371" s="108">
        <v>208</v>
      </c>
      <c r="I371" s="108">
        <v>2223</v>
      </c>
      <c r="J371" s="108">
        <v>91</v>
      </c>
      <c r="K371" s="108">
        <v>5289</v>
      </c>
      <c r="L371" s="108">
        <v>26</v>
      </c>
      <c r="M371" s="108">
        <v>236</v>
      </c>
      <c r="N371" s="108">
        <v>2640</v>
      </c>
      <c r="O371" s="108">
        <v>212</v>
      </c>
      <c r="P371" s="108">
        <v>2852</v>
      </c>
      <c r="Q371" s="108">
        <v>128</v>
      </c>
      <c r="R371" s="108">
        <v>1976</v>
      </c>
      <c r="S371" s="108">
        <v>745</v>
      </c>
      <c r="T371" s="108">
        <v>25162</v>
      </c>
      <c r="U371" s="109" t="s">
        <v>1648</v>
      </c>
      <c r="V371" s="108">
        <v>371</v>
      </c>
      <c r="W371" s="108">
        <v>7873</v>
      </c>
      <c r="X371" s="108">
        <v>15</v>
      </c>
      <c r="Y371" s="108">
        <v>44</v>
      </c>
      <c r="Z371" s="108">
        <v>234</v>
      </c>
      <c r="AA371" s="108">
        <v>2459</v>
      </c>
      <c r="AB371" s="108">
        <v>39</v>
      </c>
      <c r="AC371" s="108">
        <v>317</v>
      </c>
      <c r="AD371" s="108">
        <v>266</v>
      </c>
      <c r="AE371" s="108">
        <v>7446</v>
      </c>
      <c r="AF371" s="108">
        <v>0</v>
      </c>
      <c r="AG371" s="108">
        <v>0</v>
      </c>
      <c r="AH371" s="108">
        <v>57</v>
      </c>
      <c r="AI371" s="108">
        <v>4401</v>
      </c>
      <c r="AJ371" s="108">
        <v>182</v>
      </c>
      <c r="AK371" s="108">
        <v>2337</v>
      </c>
      <c r="AL371" s="108">
        <v>1302</v>
      </c>
      <c r="AM371" s="108">
        <v>39468</v>
      </c>
      <c r="AN371" s="108">
        <f t="shared" si="21"/>
        <v>1484</v>
      </c>
      <c r="AO371" s="108">
        <f t="shared" si="22"/>
        <v>41805</v>
      </c>
      <c r="AP371" s="110">
        <f t="shared" si="24"/>
        <v>28.170485175202156</v>
      </c>
      <c r="AQ371" s="110">
        <f t="shared" si="23"/>
        <v>0.42922707298040985</v>
      </c>
      <c r="AR371" s="108">
        <v>45</v>
      </c>
      <c r="AS371" s="108">
        <v>2151</v>
      </c>
      <c r="AT371" s="108">
        <v>97396</v>
      </c>
    </row>
    <row r="372" spans="1:46" ht="13.5" thickBot="1" x14ac:dyDescent="0.25">
      <c r="A372" s="48" t="s">
        <v>266</v>
      </c>
      <c r="B372" s="47" t="s">
        <v>265</v>
      </c>
      <c r="C372" s="48" t="s">
        <v>54</v>
      </c>
      <c r="D372" s="48" t="s">
        <v>1648</v>
      </c>
      <c r="E372" s="48" t="s">
        <v>1648</v>
      </c>
      <c r="F372" s="108">
        <v>516</v>
      </c>
      <c r="G372" s="108">
        <v>19456</v>
      </c>
      <c r="H372" s="108">
        <v>45</v>
      </c>
      <c r="I372" s="108">
        <v>2884</v>
      </c>
      <c r="J372" s="108">
        <v>33</v>
      </c>
      <c r="K372" s="108">
        <v>3517</v>
      </c>
      <c r="L372" s="108">
        <v>11</v>
      </c>
      <c r="M372" s="108">
        <v>151</v>
      </c>
      <c r="N372" s="108">
        <v>955</v>
      </c>
      <c r="O372" s="108">
        <v>232</v>
      </c>
      <c r="P372" s="108">
        <v>1187</v>
      </c>
      <c r="Q372" s="108">
        <v>65</v>
      </c>
      <c r="R372" s="108">
        <v>950</v>
      </c>
      <c r="S372" s="108">
        <v>549</v>
      </c>
      <c r="T372" s="108">
        <v>22973</v>
      </c>
      <c r="U372" s="109" t="s">
        <v>1648</v>
      </c>
      <c r="V372" s="108">
        <v>350</v>
      </c>
      <c r="W372" s="108">
        <v>13559</v>
      </c>
      <c r="X372" s="108">
        <v>30</v>
      </c>
      <c r="Y372" s="108">
        <v>480</v>
      </c>
      <c r="Z372" s="108">
        <v>56</v>
      </c>
      <c r="AA372" s="108">
        <v>3035</v>
      </c>
      <c r="AB372" s="108">
        <v>106</v>
      </c>
      <c r="AC372" s="108">
        <v>950</v>
      </c>
      <c r="AD372" s="108">
        <v>396</v>
      </c>
      <c r="AE372" s="108">
        <v>7135</v>
      </c>
      <c r="AF372" s="108">
        <v>11</v>
      </c>
      <c r="AG372" s="108">
        <v>988</v>
      </c>
      <c r="AH372" s="108">
        <v>150</v>
      </c>
      <c r="AI372" s="108">
        <v>3447</v>
      </c>
      <c r="AJ372" s="108">
        <v>212</v>
      </c>
      <c r="AK372" s="108">
        <v>3368</v>
      </c>
      <c r="AL372" s="108">
        <v>1151</v>
      </c>
      <c r="AM372" s="108">
        <v>36590</v>
      </c>
      <c r="AN372" s="108">
        <f t="shared" si="21"/>
        <v>1363</v>
      </c>
      <c r="AO372" s="108">
        <f t="shared" si="22"/>
        <v>39958</v>
      </c>
      <c r="AP372" s="110">
        <f t="shared" si="24"/>
        <v>29.316214233308877</v>
      </c>
      <c r="AQ372" s="110">
        <f t="shared" si="23"/>
        <v>0.44342595880681818</v>
      </c>
      <c r="AR372" s="108">
        <v>59</v>
      </c>
      <c r="AS372" s="108">
        <v>4476</v>
      </c>
      <c r="AT372" s="108">
        <v>90112</v>
      </c>
    </row>
    <row r="373" spans="1:46" ht="13.5" thickBot="1" x14ac:dyDescent="0.25">
      <c r="A373" s="48" t="s">
        <v>278</v>
      </c>
      <c r="B373" s="47" t="s">
        <v>277</v>
      </c>
      <c r="C373" s="48" t="s">
        <v>54</v>
      </c>
      <c r="D373" s="48" t="s">
        <v>1648</v>
      </c>
      <c r="E373" s="48" t="s">
        <v>1648</v>
      </c>
      <c r="F373" s="108">
        <v>180</v>
      </c>
      <c r="G373" s="108">
        <v>4846</v>
      </c>
      <c r="H373" s="108">
        <v>74</v>
      </c>
      <c r="I373" s="108">
        <v>1243</v>
      </c>
      <c r="J373" s="108">
        <v>46</v>
      </c>
      <c r="K373" s="108">
        <v>544</v>
      </c>
      <c r="L373" s="108">
        <v>6</v>
      </c>
      <c r="M373" s="108">
        <v>51</v>
      </c>
      <c r="N373" s="108">
        <v>1789</v>
      </c>
      <c r="O373" s="108">
        <v>84</v>
      </c>
      <c r="P373" s="108">
        <v>1873</v>
      </c>
      <c r="Q373" s="108">
        <v>20</v>
      </c>
      <c r="R373" s="108">
        <v>120</v>
      </c>
      <c r="S373" s="108">
        <v>226</v>
      </c>
      <c r="T373" s="108">
        <v>5390</v>
      </c>
      <c r="U373" s="109" t="s">
        <v>1648</v>
      </c>
      <c r="V373" s="108">
        <v>17</v>
      </c>
      <c r="W373" s="108">
        <v>199</v>
      </c>
      <c r="X373" s="108">
        <v>6</v>
      </c>
      <c r="Y373" s="108">
        <v>31</v>
      </c>
      <c r="Z373" s="108">
        <v>80</v>
      </c>
      <c r="AA373" s="108">
        <v>1294</v>
      </c>
      <c r="AB373" s="108">
        <v>5</v>
      </c>
      <c r="AC373" s="108">
        <v>304</v>
      </c>
      <c r="AD373" s="108">
        <v>116</v>
      </c>
      <c r="AE373" s="108">
        <v>6996</v>
      </c>
      <c r="AF373" s="108">
        <v>0</v>
      </c>
      <c r="AG373" s="108">
        <v>0</v>
      </c>
      <c r="AH373" s="108">
        <v>12</v>
      </c>
      <c r="AI373" s="108">
        <v>6309</v>
      </c>
      <c r="AJ373" s="108">
        <v>31</v>
      </c>
      <c r="AK373" s="108">
        <v>455</v>
      </c>
      <c r="AL373" s="108">
        <v>434</v>
      </c>
      <c r="AM373" s="108">
        <v>19989</v>
      </c>
      <c r="AN373" s="108">
        <f t="shared" si="21"/>
        <v>465</v>
      </c>
      <c r="AO373" s="108">
        <f t="shared" si="22"/>
        <v>20444</v>
      </c>
      <c r="AP373" s="110">
        <f t="shared" si="24"/>
        <v>43.965591397849465</v>
      </c>
      <c r="AQ373" s="110">
        <f t="shared" si="23"/>
        <v>0.19958216998262296</v>
      </c>
      <c r="AR373" s="108">
        <v>59</v>
      </c>
      <c r="AS373" s="108">
        <v>563</v>
      </c>
      <c r="AT373" s="108">
        <v>102434</v>
      </c>
    </row>
    <row r="374" spans="1:46" ht="13.5" thickBot="1" x14ac:dyDescent="0.25">
      <c r="A374" s="48" t="s">
        <v>522</v>
      </c>
      <c r="B374" s="47" t="s">
        <v>521</v>
      </c>
      <c r="C374" s="48" t="s">
        <v>54</v>
      </c>
      <c r="D374" s="48" t="s">
        <v>1648</v>
      </c>
      <c r="E374" s="48" t="s">
        <v>1648</v>
      </c>
      <c r="F374" s="108">
        <v>807</v>
      </c>
      <c r="G374" s="108">
        <v>18276</v>
      </c>
      <c r="H374" s="108">
        <v>90</v>
      </c>
      <c r="I374" s="108">
        <v>548</v>
      </c>
      <c r="J374" s="108">
        <v>63</v>
      </c>
      <c r="K374" s="108">
        <v>4096</v>
      </c>
      <c r="L374" s="108">
        <v>9</v>
      </c>
      <c r="M374" s="108">
        <v>36</v>
      </c>
      <c r="N374" s="108">
        <v>1129</v>
      </c>
      <c r="O374" s="108">
        <v>219</v>
      </c>
      <c r="P374" s="108">
        <v>1348</v>
      </c>
      <c r="Q374" s="108">
        <v>5</v>
      </c>
      <c r="R374" s="108">
        <v>131</v>
      </c>
      <c r="S374" s="108">
        <v>870</v>
      </c>
      <c r="T374" s="108">
        <v>22372</v>
      </c>
      <c r="U374" s="109" t="s">
        <v>1648</v>
      </c>
      <c r="V374" s="108">
        <v>400</v>
      </c>
      <c r="W374" s="108">
        <v>7921</v>
      </c>
      <c r="X374" s="108">
        <v>7</v>
      </c>
      <c r="Y374" s="108">
        <v>33</v>
      </c>
      <c r="Z374" s="108">
        <v>99</v>
      </c>
      <c r="AA374" s="108">
        <v>584</v>
      </c>
      <c r="AB374" s="108">
        <v>7</v>
      </c>
      <c r="AC374" s="108">
        <v>759</v>
      </c>
      <c r="AD374" s="108">
        <v>539</v>
      </c>
      <c r="AE374" s="108">
        <v>7921</v>
      </c>
      <c r="AF374" s="108">
        <v>19</v>
      </c>
      <c r="AG374" s="108">
        <v>759</v>
      </c>
      <c r="AH374" s="108">
        <v>0</v>
      </c>
      <c r="AI374" s="108">
        <v>0</v>
      </c>
      <c r="AJ374" s="108">
        <v>38</v>
      </c>
      <c r="AK374" s="108">
        <v>1682</v>
      </c>
      <c r="AL374" s="108">
        <v>1508</v>
      </c>
      <c r="AM374" s="108">
        <v>30877</v>
      </c>
      <c r="AN374" s="108">
        <f t="shared" si="21"/>
        <v>1546</v>
      </c>
      <c r="AO374" s="108">
        <f t="shared" si="22"/>
        <v>32559</v>
      </c>
      <c r="AP374" s="110">
        <f t="shared" si="24"/>
        <v>21.060155239327297</v>
      </c>
      <c r="AQ374" s="110">
        <f t="shared" si="23"/>
        <v>0.30758984242149418</v>
      </c>
      <c r="AR374" s="108">
        <v>59</v>
      </c>
      <c r="AS374" s="108">
        <v>6899</v>
      </c>
      <c r="AT374" s="108">
        <v>105852</v>
      </c>
    </row>
    <row r="375" spans="1:46" ht="13.5" thickBot="1" x14ac:dyDescent="0.25">
      <c r="A375" s="48" t="s">
        <v>178</v>
      </c>
      <c r="B375" s="47" t="s">
        <v>177</v>
      </c>
      <c r="C375" s="48" t="s">
        <v>54</v>
      </c>
      <c r="D375" s="48" t="s">
        <v>1648</v>
      </c>
      <c r="E375" s="48" t="s">
        <v>1648</v>
      </c>
      <c r="F375" s="108">
        <v>1354</v>
      </c>
      <c r="G375" s="108">
        <v>52998</v>
      </c>
      <c r="H375" s="108">
        <v>328</v>
      </c>
      <c r="I375" s="108">
        <v>12407</v>
      </c>
      <c r="J375" s="108">
        <v>83</v>
      </c>
      <c r="K375" s="108">
        <v>2897</v>
      </c>
      <c r="L375" s="108">
        <v>34</v>
      </c>
      <c r="M375" s="108">
        <v>500</v>
      </c>
      <c r="N375" s="108">
        <v>2051</v>
      </c>
      <c r="O375" s="108">
        <v>615</v>
      </c>
      <c r="P375" s="108">
        <v>2666</v>
      </c>
      <c r="Q375" s="108">
        <v>52</v>
      </c>
      <c r="R375" s="108">
        <v>594</v>
      </c>
      <c r="S375" s="108">
        <v>1437</v>
      </c>
      <c r="T375" s="108">
        <v>55895</v>
      </c>
      <c r="U375" s="109" t="s">
        <v>1648</v>
      </c>
      <c r="V375" s="108">
        <v>0</v>
      </c>
      <c r="W375" s="108">
        <v>0</v>
      </c>
      <c r="X375" s="108">
        <v>100</v>
      </c>
      <c r="Y375" s="108">
        <v>758</v>
      </c>
      <c r="Z375" s="108">
        <v>362</v>
      </c>
      <c r="AA375" s="108">
        <v>12907</v>
      </c>
      <c r="AB375" s="108">
        <v>120</v>
      </c>
      <c r="AC375" s="108">
        <v>1221</v>
      </c>
      <c r="AD375" s="108">
        <v>502</v>
      </c>
      <c r="AE375" s="108">
        <v>11744</v>
      </c>
      <c r="AF375" s="108">
        <v>0</v>
      </c>
      <c r="AG375" s="108">
        <v>0</v>
      </c>
      <c r="AH375" s="108">
        <v>0</v>
      </c>
      <c r="AI375" s="108">
        <v>0</v>
      </c>
      <c r="AJ375" s="108">
        <v>272</v>
      </c>
      <c r="AK375" s="108">
        <v>2573</v>
      </c>
      <c r="AL375" s="108">
        <v>2301</v>
      </c>
      <c r="AM375" s="108">
        <v>80546</v>
      </c>
      <c r="AN375" s="108">
        <f t="shared" si="21"/>
        <v>2573</v>
      </c>
      <c r="AO375" s="108">
        <f t="shared" si="22"/>
        <v>83119</v>
      </c>
      <c r="AP375" s="110">
        <f t="shared" si="24"/>
        <v>32.304314030314806</v>
      </c>
      <c r="AQ375" s="110">
        <f t="shared" si="23"/>
        <v>0.48941607343684679</v>
      </c>
      <c r="AR375" s="108">
        <v>64</v>
      </c>
      <c r="AS375" s="108">
        <v>27119</v>
      </c>
      <c r="AT375" s="108">
        <v>169833</v>
      </c>
    </row>
    <row r="376" spans="1:46" ht="13.5" thickBot="1" x14ac:dyDescent="0.25">
      <c r="A376" s="48" t="s">
        <v>810</v>
      </c>
      <c r="B376" s="47" t="s">
        <v>809</v>
      </c>
      <c r="C376" s="48" t="s">
        <v>54</v>
      </c>
      <c r="D376" s="48" t="s">
        <v>1648</v>
      </c>
      <c r="E376" s="48" t="s">
        <v>1648</v>
      </c>
      <c r="F376" s="108">
        <v>261</v>
      </c>
      <c r="G376" s="108">
        <v>9796</v>
      </c>
      <c r="H376" s="108">
        <v>43</v>
      </c>
      <c r="I376" s="108">
        <v>299</v>
      </c>
      <c r="J376" s="108">
        <v>6</v>
      </c>
      <c r="K376" s="108">
        <v>274</v>
      </c>
      <c r="L376" s="108">
        <v>7</v>
      </c>
      <c r="M376" s="108">
        <v>44</v>
      </c>
      <c r="N376" s="108">
        <v>161</v>
      </c>
      <c r="O376" s="108">
        <v>34</v>
      </c>
      <c r="P376" s="108">
        <v>195</v>
      </c>
      <c r="Q376" s="108">
        <v>6</v>
      </c>
      <c r="R376" s="108">
        <v>101</v>
      </c>
      <c r="S376" s="108">
        <v>267</v>
      </c>
      <c r="T376" s="108">
        <v>10070</v>
      </c>
      <c r="U376" s="109" t="s">
        <v>1648</v>
      </c>
      <c r="V376" s="108">
        <v>126</v>
      </c>
      <c r="W376" s="108">
        <v>4711</v>
      </c>
      <c r="X376" s="108">
        <v>9</v>
      </c>
      <c r="Y376" s="108">
        <v>22</v>
      </c>
      <c r="Z376" s="108">
        <v>50</v>
      </c>
      <c r="AA376" s="108">
        <v>343</v>
      </c>
      <c r="AB376" s="108">
        <v>0</v>
      </c>
      <c r="AC376" s="108">
        <v>0</v>
      </c>
      <c r="AD376" s="108">
        <v>369</v>
      </c>
      <c r="AE376" s="108">
        <v>3079</v>
      </c>
      <c r="AF376" s="108">
        <v>0</v>
      </c>
      <c r="AG376" s="108">
        <v>0</v>
      </c>
      <c r="AH376" s="108">
        <v>0</v>
      </c>
      <c r="AI376" s="108">
        <v>0</v>
      </c>
      <c r="AJ376" s="108">
        <v>15</v>
      </c>
      <c r="AK376" s="108">
        <v>123</v>
      </c>
      <c r="AL376" s="108">
        <v>686</v>
      </c>
      <c r="AM376" s="108">
        <v>13492</v>
      </c>
      <c r="AN376" s="108">
        <f t="shared" si="21"/>
        <v>701</v>
      </c>
      <c r="AO376" s="108">
        <f t="shared" si="22"/>
        <v>13615</v>
      </c>
      <c r="AP376" s="110">
        <f t="shared" si="24"/>
        <v>19.42225392296719</v>
      </c>
      <c r="AQ376" s="110">
        <f t="shared" si="23"/>
        <v>0.16190215710990083</v>
      </c>
      <c r="AR376" s="108">
        <v>64</v>
      </c>
      <c r="AS376" s="108">
        <v>25199</v>
      </c>
      <c r="AT376" s="108">
        <v>84094</v>
      </c>
    </row>
    <row r="377" spans="1:46" ht="13.5" thickBot="1" x14ac:dyDescent="0.25">
      <c r="A377" s="48" t="s">
        <v>78</v>
      </c>
      <c r="B377" s="47" t="s">
        <v>77</v>
      </c>
      <c r="C377" s="48" t="s">
        <v>54</v>
      </c>
      <c r="D377" s="48" t="s">
        <v>1648</v>
      </c>
      <c r="E377" s="48" t="s">
        <v>1648</v>
      </c>
      <c r="F377" s="108">
        <v>1302</v>
      </c>
      <c r="G377" s="108">
        <v>50149</v>
      </c>
      <c r="H377" s="108">
        <v>216</v>
      </c>
      <c r="I377" s="108">
        <v>3539</v>
      </c>
      <c r="J377" s="108">
        <v>370</v>
      </c>
      <c r="K377" s="108">
        <v>21661</v>
      </c>
      <c r="L377" s="108">
        <v>92</v>
      </c>
      <c r="M377" s="108">
        <v>2680</v>
      </c>
      <c r="N377" s="108">
        <v>4510</v>
      </c>
      <c r="O377" s="108">
        <v>2428</v>
      </c>
      <c r="P377" s="108">
        <v>6938</v>
      </c>
      <c r="Q377" s="108">
        <v>36</v>
      </c>
      <c r="R377" s="108">
        <v>397</v>
      </c>
      <c r="S377" s="108">
        <v>1672</v>
      </c>
      <c r="T377" s="108">
        <v>71810</v>
      </c>
      <c r="U377" s="109" t="s">
        <v>1648</v>
      </c>
      <c r="V377" s="108">
        <v>0</v>
      </c>
      <c r="W377" s="108">
        <v>0</v>
      </c>
      <c r="X377" s="108">
        <v>5</v>
      </c>
      <c r="Y377" s="108">
        <v>16</v>
      </c>
      <c r="Z377" s="108">
        <v>308</v>
      </c>
      <c r="AA377" s="108">
        <v>6219</v>
      </c>
      <c r="AB377" s="108">
        <v>3</v>
      </c>
      <c r="AC377" s="108">
        <v>60</v>
      </c>
      <c r="AD377" s="108">
        <v>444</v>
      </c>
      <c r="AE377" s="108">
        <v>11205</v>
      </c>
      <c r="AF377" s="108">
        <v>139</v>
      </c>
      <c r="AG377" s="108">
        <v>1140</v>
      </c>
      <c r="AH377" s="108">
        <v>0</v>
      </c>
      <c r="AI377" s="108">
        <v>0</v>
      </c>
      <c r="AJ377" s="108">
        <v>183</v>
      </c>
      <c r="AK377" s="108">
        <v>1613</v>
      </c>
      <c r="AL377" s="108">
        <v>2424</v>
      </c>
      <c r="AM377" s="108">
        <v>89234</v>
      </c>
      <c r="AN377" s="108">
        <f t="shared" si="21"/>
        <v>2607</v>
      </c>
      <c r="AO377" s="108">
        <f t="shared" si="22"/>
        <v>90847</v>
      </c>
      <c r="AP377" s="110">
        <f t="shared" si="24"/>
        <v>34.847334100498657</v>
      </c>
      <c r="AQ377" s="110">
        <f t="shared" si="23"/>
        <v>0.84366787084072403</v>
      </c>
      <c r="AR377" s="108">
        <v>67</v>
      </c>
      <c r="AS377" s="108">
        <v>3656</v>
      </c>
      <c r="AT377" s="108">
        <v>107681</v>
      </c>
    </row>
    <row r="378" spans="1:46" ht="13.5" thickBot="1" x14ac:dyDescent="0.25">
      <c r="A378" s="48" t="s">
        <v>394</v>
      </c>
      <c r="B378" s="47" t="s">
        <v>393</v>
      </c>
      <c r="C378" s="48" t="s">
        <v>54</v>
      </c>
      <c r="D378" s="48" t="s">
        <v>1648</v>
      </c>
      <c r="E378" s="48" t="s">
        <v>1648</v>
      </c>
      <c r="F378" s="108">
        <v>1028</v>
      </c>
      <c r="G378" s="108">
        <v>33375</v>
      </c>
      <c r="H378" s="108">
        <v>82</v>
      </c>
      <c r="I378" s="108">
        <v>730</v>
      </c>
      <c r="J378" s="108">
        <v>250</v>
      </c>
      <c r="K378" s="108">
        <v>6486</v>
      </c>
      <c r="L378" s="108">
        <v>13</v>
      </c>
      <c r="M378" s="108">
        <v>152</v>
      </c>
      <c r="N378" s="108">
        <v>2497</v>
      </c>
      <c r="O378" s="108">
        <v>898</v>
      </c>
      <c r="P378" s="108">
        <v>3395</v>
      </c>
      <c r="Q378" s="108">
        <v>28</v>
      </c>
      <c r="R378" s="108">
        <v>7103</v>
      </c>
      <c r="S378" s="108">
        <v>1278</v>
      </c>
      <c r="T378" s="108">
        <v>39861</v>
      </c>
      <c r="U378" s="109" t="s">
        <v>1648</v>
      </c>
      <c r="V378" s="108">
        <v>679</v>
      </c>
      <c r="W378" s="108">
        <v>12535</v>
      </c>
      <c r="X378" s="108">
        <v>4</v>
      </c>
      <c r="Y378" s="108">
        <v>897</v>
      </c>
      <c r="Z378" s="108">
        <v>95</v>
      </c>
      <c r="AA378" s="108">
        <v>882</v>
      </c>
      <c r="AB378" s="108">
        <v>29</v>
      </c>
      <c r="AC378" s="108">
        <v>1179</v>
      </c>
      <c r="AD378" s="108">
        <v>1305</v>
      </c>
      <c r="AE378" s="108">
        <v>18351</v>
      </c>
      <c r="AF378" s="108">
        <v>12</v>
      </c>
      <c r="AG378" s="108">
        <v>1987</v>
      </c>
      <c r="AH378" s="108">
        <v>1170</v>
      </c>
      <c r="AI378" s="108">
        <v>42952</v>
      </c>
      <c r="AJ378" s="108">
        <v>73</v>
      </c>
      <c r="AK378" s="108">
        <v>11166</v>
      </c>
      <c r="AL378" s="108">
        <v>3848</v>
      </c>
      <c r="AM378" s="108">
        <v>102046</v>
      </c>
      <c r="AN378" s="108">
        <f t="shared" si="21"/>
        <v>3921</v>
      </c>
      <c r="AO378" s="108">
        <f t="shared" si="22"/>
        <v>113212</v>
      </c>
      <c r="AP378" s="110">
        <f t="shared" si="24"/>
        <v>28.87324662076001</v>
      </c>
      <c r="AQ378" s="110">
        <f t="shared" si="23"/>
        <v>0.70647995606809444</v>
      </c>
      <c r="AR378" s="108">
        <v>73</v>
      </c>
      <c r="AS378" s="108">
        <v>11166</v>
      </c>
      <c r="AT378" s="108">
        <v>160248</v>
      </c>
    </row>
    <row r="379" spans="1:46" ht="13.5" thickBot="1" x14ac:dyDescent="0.25">
      <c r="A379" s="48" t="s">
        <v>710</v>
      </c>
      <c r="B379" s="47" t="s">
        <v>709</v>
      </c>
      <c r="C379" s="48" t="s">
        <v>54</v>
      </c>
      <c r="D379" s="48" t="s">
        <v>1648</v>
      </c>
      <c r="E379" s="48" t="s">
        <v>1648</v>
      </c>
      <c r="F379" s="108">
        <v>259</v>
      </c>
      <c r="G379" s="108">
        <v>33828</v>
      </c>
      <c r="H379" s="108">
        <v>46</v>
      </c>
      <c r="I379" s="108">
        <v>2250</v>
      </c>
      <c r="J379" s="108">
        <v>45</v>
      </c>
      <c r="K379" s="108">
        <v>11014</v>
      </c>
      <c r="L379" s="108">
        <v>5</v>
      </c>
      <c r="M379" s="108">
        <v>381</v>
      </c>
      <c r="N379" s="108">
        <v>193</v>
      </c>
      <c r="O379" s="108">
        <v>31</v>
      </c>
      <c r="P379" s="108">
        <v>224</v>
      </c>
      <c r="Q379" s="108">
        <v>9</v>
      </c>
      <c r="R379" s="108">
        <v>98</v>
      </c>
      <c r="S379" s="108">
        <v>304</v>
      </c>
      <c r="T379" s="108">
        <v>44842</v>
      </c>
      <c r="U379" s="109" t="s">
        <v>1648</v>
      </c>
      <c r="V379" s="108">
        <v>103</v>
      </c>
      <c r="W379" s="108">
        <v>3326</v>
      </c>
      <c r="X379" s="108">
        <v>3</v>
      </c>
      <c r="Y379" s="108">
        <v>13</v>
      </c>
      <c r="Z379" s="108">
        <v>51</v>
      </c>
      <c r="AA379" s="108">
        <v>2631</v>
      </c>
      <c r="AB379" s="108">
        <v>7</v>
      </c>
      <c r="AC379" s="108">
        <v>38</v>
      </c>
      <c r="AD379" s="108">
        <v>214</v>
      </c>
      <c r="AE379" s="108">
        <v>27789</v>
      </c>
      <c r="AF379" s="108">
        <v>0</v>
      </c>
      <c r="AG379" s="108">
        <v>0</v>
      </c>
      <c r="AH379" s="108">
        <v>0</v>
      </c>
      <c r="AI379" s="108">
        <v>0</v>
      </c>
      <c r="AJ379" s="108">
        <v>19</v>
      </c>
      <c r="AK379" s="108">
        <v>149</v>
      </c>
      <c r="AL379" s="108">
        <v>569</v>
      </c>
      <c r="AM379" s="108">
        <v>75262</v>
      </c>
      <c r="AN379" s="108">
        <f t="shared" si="21"/>
        <v>588</v>
      </c>
      <c r="AO379" s="108">
        <f t="shared" si="22"/>
        <v>75411</v>
      </c>
      <c r="AP379" s="110">
        <f t="shared" si="24"/>
        <v>128.25</v>
      </c>
      <c r="AQ379" s="110">
        <f t="shared" si="23"/>
        <v>0.58143085143293316</v>
      </c>
      <c r="AR379" s="108">
        <v>76</v>
      </c>
      <c r="AS379" s="108">
        <v>43084</v>
      </c>
      <c r="AT379" s="108">
        <v>129699</v>
      </c>
    </row>
    <row r="380" spans="1:46" ht="13.5" thickBot="1" x14ac:dyDescent="0.25">
      <c r="A380" s="48" t="s">
        <v>417</v>
      </c>
      <c r="B380" s="47" t="s">
        <v>416</v>
      </c>
      <c r="C380" s="48" t="s">
        <v>54</v>
      </c>
      <c r="D380" s="48" t="s">
        <v>1648</v>
      </c>
      <c r="E380" s="48" t="s">
        <v>1648</v>
      </c>
      <c r="F380" s="108">
        <v>522</v>
      </c>
      <c r="G380" s="108">
        <v>7353</v>
      </c>
      <c r="H380" s="108">
        <v>42</v>
      </c>
      <c r="I380" s="108">
        <v>459</v>
      </c>
      <c r="J380" s="108">
        <v>142</v>
      </c>
      <c r="K380" s="108">
        <v>3079</v>
      </c>
      <c r="L380" s="108">
        <v>14</v>
      </c>
      <c r="M380" s="108">
        <v>272</v>
      </c>
      <c r="N380" s="108">
        <v>438</v>
      </c>
      <c r="O380" s="108">
        <v>58</v>
      </c>
      <c r="P380" s="108">
        <v>496</v>
      </c>
      <c r="Q380" s="108">
        <v>1</v>
      </c>
      <c r="R380" s="108">
        <v>8</v>
      </c>
      <c r="S380" s="108">
        <v>664</v>
      </c>
      <c r="T380" s="108">
        <v>10432</v>
      </c>
      <c r="U380" s="109" t="s">
        <v>1648</v>
      </c>
      <c r="V380" s="108">
        <v>100</v>
      </c>
      <c r="W380" s="108">
        <v>1146</v>
      </c>
      <c r="X380" s="108">
        <v>3</v>
      </c>
      <c r="Y380" s="108">
        <v>5</v>
      </c>
      <c r="Z380" s="108">
        <v>56</v>
      </c>
      <c r="AA380" s="108">
        <v>731</v>
      </c>
      <c r="AB380" s="108">
        <v>0</v>
      </c>
      <c r="AC380" s="108">
        <v>0</v>
      </c>
      <c r="AD380" s="108">
        <v>240</v>
      </c>
      <c r="AE380" s="108">
        <v>1960</v>
      </c>
      <c r="AF380" s="108">
        <v>0</v>
      </c>
      <c r="AG380" s="108">
        <v>0</v>
      </c>
      <c r="AH380" s="108">
        <v>334</v>
      </c>
      <c r="AI380" s="108">
        <v>8243</v>
      </c>
      <c r="AJ380" s="108">
        <v>4</v>
      </c>
      <c r="AK380" s="108">
        <v>13</v>
      </c>
      <c r="AL380" s="108">
        <v>1294</v>
      </c>
      <c r="AM380" s="108">
        <v>21366</v>
      </c>
      <c r="AN380" s="108">
        <f t="shared" si="21"/>
        <v>1298</v>
      </c>
      <c r="AO380" s="108">
        <f t="shared" si="22"/>
        <v>21379</v>
      </c>
      <c r="AP380" s="110">
        <f t="shared" si="24"/>
        <v>16.470724191063173</v>
      </c>
      <c r="AQ380" s="110">
        <f t="shared" si="23"/>
        <v>0.3562810385628104</v>
      </c>
      <c r="AR380" s="108">
        <v>78</v>
      </c>
      <c r="AS380" s="108">
        <v>193</v>
      </c>
      <c r="AT380" s="108">
        <v>60006</v>
      </c>
    </row>
    <row r="381" spans="1:46" ht="13.5" thickBot="1" x14ac:dyDescent="0.25">
      <c r="A381" s="48" t="s">
        <v>778</v>
      </c>
      <c r="B381" s="47" t="s">
        <v>777</v>
      </c>
      <c r="C381" s="48" t="s">
        <v>54</v>
      </c>
      <c r="D381" s="48" t="s">
        <v>1649</v>
      </c>
      <c r="E381" s="48" t="s">
        <v>1648</v>
      </c>
      <c r="F381" s="108">
        <v>404</v>
      </c>
      <c r="G381" s="108">
        <v>7902</v>
      </c>
      <c r="H381" s="108">
        <v>51</v>
      </c>
      <c r="I381" s="108">
        <v>499</v>
      </c>
      <c r="J381" s="108">
        <v>130</v>
      </c>
      <c r="K381" s="108">
        <v>3185</v>
      </c>
      <c r="L381" s="108">
        <v>33</v>
      </c>
      <c r="M381" s="108">
        <v>847</v>
      </c>
      <c r="N381" s="108">
        <v>672</v>
      </c>
      <c r="O381" s="108">
        <v>151</v>
      </c>
      <c r="P381" s="108">
        <v>823</v>
      </c>
      <c r="Q381" s="108">
        <v>0</v>
      </c>
      <c r="R381" s="108">
        <v>0</v>
      </c>
      <c r="S381" s="108">
        <v>534</v>
      </c>
      <c r="T381" s="108">
        <v>11087</v>
      </c>
      <c r="U381" s="109" t="s">
        <v>1648</v>
      </c>
      <c r="V381" s="108">
        <v>404</v>
      </c>
      <c r="W381" s="108">
        <v>7902</v>
      </c>
      <c r="X381" s="108">
        <v>0</v>
      </c>
      <c r="Y381" s="108">
        <v>0</v>
      </c>
      <c r="Z381" s="108">
        <v>84</v>
      </c>
      <c r="AA381" s="108">
        <v>1346</v>
      </c>
      <c r="AB381" s="108">
        <v>0</v>
      </c>
      <c r="AC381" s="108">
        <v>0</v>
      </c>
      <c r="AD381" s="108">
        <v>97</v>
      </c>
      <c r="AE381" s="108">
        <v>1524</v>
      </c>
      <c r="AF381" s="108">
        <v>0</v>
      </c>
      <c r="AG381" s="108">
        <v>0</v>
      </c>
      <c r="AH381" s="108">
        <v>137</v>
      </c>
      <c r="AI381" s="108">
        <v>4114</v>
      </c>
      <c r="AJ381" s="108">
        <v>0</v>
      </c>
      <c r="AK381" s="108">
        <v>0</v>
      </c>
      <c r="AL381" s="108">
        <v>852</v>
      </c>
      <c r="AM381" s="108">
        <v>18071</v>
      </c>
      <c r="AN381" s="108">
        <f t="shared" si="21"/>
        <v>852</v>
      </c>
      <c r="AO381" s="108">
        <f t="shared" si="22"/>
        <v>18071</v>
      </c>
      <c r="AP381" s="110">
        <f t="shared" si="24"/>
        <v>21.210093896713616</v>
      </c>
      <c r="AQ381" s="110">
        <f t="shared" si="23"/>
        <v>0.1348018738437668</v>
      </c>
      <c r="AR381" s="108">
        <v>92</v>
      </c>
      <c r="AS381" s="108">
        <v>4122</v>
      </c>
      <c r="AT381" s="108">
        <v>134056</v>
      </c>
    </row>
    <row r="382" spans="1:46" ht="13.5" thickBot="1" x14ac:dyDescent="0.25">
      <c r="A382" s="48" t="s">
        <v>402</v>
      </c>
      <c r="B382" s="47" t="s">
        <v>401</v>
      </c>
      <c r="C382" s="48" t="s">
        <v>54</v>
      </c>
      <c r="D382" s="48" t="s">
        <v>1648</v>
      </c>
      <c r="E382" s="48" t="s">
        <v>1648</v>
      </c>
      <c r="F382" s="108">
        <v>750</v>
      </c>
      <c r="G382" s="108">
        <v>27299</v>
      </c>
      <c r="H382" s="108">
        <v>181</v>
      </c>
      <c r="I382" s="108">
        <v>11068</v>
      </c>
      <c r="J382" s="108">
        <v>384</v>
      </c>
      <c r="K382" s="108">
        <v>14069</v>
      </c>
      <c r="L382" s="108">
        <v>106</v>
      </c>
      <c r="M382" s="108">
        <v>1170</v>
      </c>
      <c r="N382" s="108">
        <v>2682</v>
      </c>
      <c r="O382" s="108">
        <v>1170</v>
      </c>
      <c r="P382" s="108">
        <v>3852</v>
      </c>
      <c r="Q382" s="108">
        <v>9</v>
      </c>
      <c r="R382" s="108">
        <v>265</v>
      </c>
      <c r="S382" s="108">
        <v>1134</v>
      </c>
      <c r="T382" s="108">
        <v>41368</v>
      </c>
      <c r="U382" s="109" t="s">
        <v>1648</v>
      </c>
      <c r="V382" s="108">
        <v>145</v>
      </c>
      <c r="W382" s="108">
        <v>2884</v>
      </c>
      <c r="X382" s="108">
        <v>20</v>
      </c>
      <c r="Y382" s="108">
        <v>440</v>
      </c>
      <c r="Z382" s="108">
        <v>287</v>
      </c>
      <c r="AA382" s="108">
        <v>12238</v>
      </c>
      <c r="AB382" s="108">
        <v>84</v>
      </c>
      <c r="AC382" s="108">
        <v>2127</v>
      </c>
      <c r="AD382" s="108">
        <v>421</v>
      </c>
      <c r="AE382" s="108">
        <v>10881</v>
      </c>
      <c r="AF382" s="108">
        <v>0</v>
      </c>
      <c r="AG382" s="108">
        <v>0</v>
      </c>
      <c r="AH382" s="108">
        <v>0</v>
      </c>
      <c r="AI382" s="108">
        <v>0</v>
      </c>
      <c r="AJ382" s="108">
        <v>113</v>
      </c>
      <c r="AK382" s="108">
        <v>2832</v>
      </c>
      <c r="AL382" s="108">
        <v>1842</v>
      </c>
      <c r="AM382" s="108">
        <v>64487</v>
      </c>
      <c r="AN382" s="108">
        <f t="shared" si="21"/>
        <v>1955</v>
      </c>
      <c r="AO382" s="108">
        <f t="shared" si="22"/>
        <v>67319</v>
      </c>
      <c r="AP382" s="110">
        <f t="shared" si="24"/>
        <v>34.434271099744244</v>
      </c>
      <c r="AQ382" s="110">
        <f t="shared" si="23"/>
        <v>0.54298711878624606</v>
      </c>
      <c r="AR382" s="108">
        <v>118</v>
      </c>
      <c r="AS382" s="108">
        <v>23971</v>
      </c>
      <c r="AT382" s="108">
        <v>123979</v>
      </c>
    </row>
    <row r="383" spans="1:46" ht="13.5" thickBot="1" x14ac:dyDescent="0.25">
      <c r="A383" s="48" t="s">
        <v>542</v>
      </c>
      <c r="B383" s="47" t="s">
        <v>541</v>
      </c>
      <c r="C383" s="48" t="s">
        <v>54</v>
      </c>
      <c r="D383" s="48" t="s">
        <v>1648</v>
      </c>
      <c r="E383" s="48" t="s">
        <v>1648</v>
      </c>
      <c r="F383" s="108">
        <v>414</v>
      </c>
      <c r="G383" s="108">
        <v>31301</v>
      </c>
      <c r="H383" s="108">
        <v>142</v>
      </c>
      <c r="I383" s="108">
        <v>4006</v>
      </c>
      <c r="J383" s="108">
        <v>20</v>
      </c>
      <c r="K383" s="108">
        <v>1175</v>
      </c>
      <c r="L383" s="108">
        <v>4</v>
      </c>
      <c r="M383" s="108">
        <v>72</v>
      </c>
      <c r="N383" s="108">
        <v>747</v>
      </c>
      <c r="O383" s="108">
        <v>151</v>
      </c>
      <c r="P383" s="108">
        <v>898</v>
      </c>
      <c r="Q383" s="108">
        <v>20</v>
      </c>
      <c r="R383" s="108">
        <v>453</v>
      </c>
      <c r="S383" s="108">
        <v>434</v>
      </c>
      <c r="T383" s="108">
        <v>32476</v>
      </c>
      <c r="U383" s="109" t="s">
        <v>1648</v>
      </c>
      <c r="V383" s="108">
        <v>315</v>
      </c>
      <c r="W383" s="108">
        <v>19853</v>
      </c>
      <c r="X383" s="108">
        <v>9</v>
      </c>
      <c r="Y383" s="108">
        <v>133</v>
      </c>
      <c r="Z383" s="108">
        <v>146</v>
      </c>
      <c r="AA383" s="108">
        <v>4078</v>
      </c>
      <c r="AB383" s="108">
        <v>7</v>
      </c>
      <c r="AC383" s="108">
        <v>44</v>
      </c>
      <c r="AD383" s="108">
        <v>434</v>
      </c>
      <c r="AE383" s="108">
        <v>1654</v>
      </c>
      <c r="AF383" s="108">
        <v>55</v>
      </c>
      <c r="AG383" s="108">
        <v>2192</v>
      </c>
      <c r="AH383" s="108">
        <v>573</v>
      </c>
      <c r="AI383" s="108">
        <v>14495</v>
      </c>
      <c r="AJ383" s="108">
        <v>91</v>
      </c>
      <c r="AK383" s="108">
        <v>2822</v>
      </c>
      <c r="AL383" s="108">
        <v>1587</v>
      </c>
      <c r="AM383" s="108">
        <v>52703</v>
      </c>
      <c r="AN383" s="108">
        <f t="shared" si="21"/>
        <v>1678</v>
      </c>
      <c r="AO383" s="108">
        <f t="shared" si="22"/>
        <v>55525</v>
      </c>
      <c r="AP383" s="110">
        <f t="shared" si="24"/>
        <v>33.089988081048865</v>
      </c>
      <c r="AQ383" s="110">
        <f t="shared" si="23"/>
        <v>1.0027269115469355</v>
      </c>
      <c r="AR383" s="108">
        <v>121</v>
      </c>
      <c r="AS383" s="108">
        <v>22296</v>
      </c>
      <c r="AT383" s="108">
        <v>55374</v>
      </c>
    </row>
    <row r="384" spans="1:46" ht="13.5" thickBot="1" x14ac:dyDescent="0.25">
      <c r="A384" s="48" t="s">
        <v>594</v>
      </c>
      <c r="B384" s="47" t="s">
        <v>593</v>
      </c>
      <c r="C384" s="48" t="s">
        <v>54</v>
      </c>
      <c r="D384" s="48" t="s">
        <v>1648</v>
      </c>
      <c r="E384" s="48" t="s">
        <v>1648</v>
      </c>
      <c r="F384" s="108">
        <v>240</v>
      </c>
      <c r="G384" s="108">
        <v>13700</v>
      </c>
      <c r="H384" s="108">
        <v>73</v>
      </c>
      <c r="I384" s="108">
        <v>3824</v>
      </c>
      <c r="J384" s="108">
        <v>46</v>
      </c>
      <c r="K384" s="108">
        <v>4924</v>
      </c>
      <c r="L384" s="108">
        <v>15</v>
      </c>
      <c r="M384" s="108">
        <v>346</v>
      </c>
      <c r="N384" s="108">
        <v>2438</v>
      </c>
      <c r="O384" s="108">
        <v>381</v>
      </c>
      <c r="P384" s="108">
        <v>2819</v>
      </c>
      <c r="Q384" s="108">
        <v>30</v>
      </c>
      <c r="R384" s="108">
        <v>240</v>
      </c>
      <c r="S384" s="108">
        <v>286</v>
      </c>
      <c r="T384" s="108">
        <v>18624</v>
      </c>
      <c r="U384" s="109" t="s">
        <v>1648</v>
      </c>
      <c r="V384" s="108">
        <v>281</v>
      </c>
      <c r="W384" s="108">
        <v>12824</v>
      </c>
      <c r="X384" s="108">
        <v>15</v>
      </c>
      <c r="Y384" s="108">
        <v>46</v>
      </c>
      <c r="Z384" s="108">
        <v>88</v>
      </c>
      <c r="AA384" s="108">
        <v>4170</v>
      </c>
      <c r="AB384" s="108">
        <v>41</v>
      </c>
      <c r="AC384" s="108">
        <v>497</v>
      </c>
      <c r="AD384" s="108">
        <v>73</v>
      </c>
      <c r="AE384" s="108">
        <v>894</v>
      </c>
      <c r="AF384" s="108">
        <v>0</v>
      </c>
      <c r="AG384" s="108">
        <v>0</v>
      </c>
      <c r="AH384" s="108">
        <v>275</v>
      </c>
      <c r="AI384" s="108">
        <v>13454</v>
      </c>
      <c r="AJ384" s="108">
        <v>86</v>
      </c>
      <c r="AK384" s="108">
        <v>783</v>
      </c>
      <c r="AL384" s="108">
        <v>722</v>
      </c>
      <c r="AM384" s="108">
        <v>37142</v>
      </c>
      <c r="AN384" s="108">
        <f t="shared" si="21"/>
        <v>808</v>
      </c>
      <c r="AO384" s="108">
        <f t="shared" si="22"/>
        <v>37925</v>
      </c>
      <c r="AP384" s="110">
        <f t="shared" si="24"/>
        <v>46.936881188118811</v>
      </c>
      <c r="AQ384" s="110">
        <f t="shared" si="23"/>
        <v>0.72695035460992907</v>
      </c>
      <c r="AR384" s="108">
        <v>150</v>
      </c>
      <c r="AS384" s="108">
        <v>40268</v>
      </c>
      <c r="AT384" s="108">
        <v>52170</v>
      </c>
    </row>
    <row r="385" spans="1:46" ht="13.5" thickBot="1" x14ac:dyDescent="0.25">
      <c r="A385" s="48" t="s">
        <v>816</v>
      </c>
      <c r="B385" s="47" t="s">
        <v>815</v>
      </c>
      <c r="C385" s="48" t="s">
        <v>54</v>
      </c>
      <c r="D385" s="48" t="s">
        <v>1648</v>
      </c>
      <c r="E385" s="48" t="s">
        <v>1648</v>
      </c>
      <c r="F385" s="108">
        <v>175</v>
      </c>
      <c r="G385" s="108">
        <v>3638</v>
      </c>
      <c r="H385" s="108">
        <v>21</v>
      </c>
      <c r="I385" s="108">
        <v>90</v>
      </c>
      <c r="J385" s="108">
        <v>114</v>
      </c>
      <c r="K385" s="108">
        <v>1437</v>
      </c>
      <c r="L385" s="108">
        <v>35</v>
      </c>
      <c r="M385" s="108">
        <v>316</v>
      </c>
      <c r="N385" s="108">
        <v>483</v>
      </c>
      <c r="O385" s="108">
        <v>112</v>
      </c>
      <c r="P385" s="108">
        <v>595</v>
      </c>
      <c r="Q385" s="108">
        <v>140</v>
      </c>
      <c r="R385" s="108">
        <v>1247</v>
      </c>
      <c r="S385" s="108">
        <v>289</v>
      </c>
      <c r="T385" s="108">
        <v>5075</v>
      </c>
      <c r="U385" s="109" t="s">
        <v>1648</v>
      </c>
      <c r="V385" s="108">
        <v>140</v>
      </c>
      <c r="W385" s="108">
        <v>1962</v>
      </c>
      <c r="X385" s="108">
        <v>21</v>
      </c>
      <c r="Y385" s="108">
        <v>90</v>
      </c>
      <c r="Z385" s="108">
        <v>56</v>
      </c>
      <c r="AA385" s="108">
        <v>406</v>
      </c>
      <c r="AB385" s="108">
        <v>227</v>
      </c>
      <c r="AC385" s="108">
        <v>2061</v>
      </c>
      <c r="AD385" s="108">
        <v>381</v>
      </c>
      <c r="AE385" s="108">
        <v>3267</v>
      </c>
      <c r="AF385" s="108">
        <v>0</v>
      </c>
      <c r="AG385" s="108">
        <v>0</v>
      </c>
      <c r="AH385" s="108">
        <v>0</v>
      </c>
      <c r="AI385" s="108">
        <v>0</v>
      </c>
      <c r="AJ385" s="108">
        <v>388</v>
      </c>
      <c r="AK385" s="108">
        <v>3398</v>
      </c>
      <c r="AL385" s="108">
        <v>726</v>
      </c>
      <c r="AM385" s="108">
        <v>8748</v>
      </c>
      <c r="AN385" s="108">
        <f t="shared" si="21"/>
        <v>1114</v>
      </c>
      <c r="AO385" s="108">
        <f t="shared" si="22"/>
        <v>12146</v>
      </c>
      <c r="AP385" s="110">
        <f t="shared" si="24"/>
        <v>10.903052064631957</v>
      </c>
      <c r="AQ385" s="110">
        <f t="shared" si="23"/>
        <v>0.14638320437727481</v>
      </c>
      <c r="AR385" s="108">
        <v>151</v>
      </c>
      <c r="AS385" s="108">
        <v>4037</v>
      </c>
      <c r="AT385" s="108">
        <v>82974</v>
      </c>
    </row>
    <row r="386" spans="1:46" ht="13.5" thickBot="1" x14ac:dyDescent="0.25">
      <c r="A386" s="48" t="s">
        <v>788</v>
      </c>
      <c r="B386" s="47" t="s">
        <v>787</v>
      </c>
      <c r="C386" s="48" t="s">
        <v>54</v>
      </c>
      <c r="D386" s="48" t="s">
        <v>1648</v>
      </c>
      <c r="E386" s="48" t="s">
        <v>1648</v>
      </c>
      <c r="F386" s="108">
        <v>434</v>
      </c>
      <c r="G386" s="108">
        <v>21707</v>
      </c>
      <c r="H386" s="108">
        <v>188</v>
      </c>
      <c r="I386" s="108">
        <v>4775</v>
      </c>
      <c r="J386" s="108">
        <v>126</v>
      </c>
      <c r="K386" s="108">
        <v>14590</v>
      </c>
      <c r="L386" s="108">
        <v>70</v>
      </c>
      <c r="M386" s="108">
        <v>3068</v>
      </c>
      <c r="N386" s="108">
        <v>2708</v>
      </c>
      <c r="O386" s="108">
        <v>334</v>
      </c>
      <c r="P386" s="108">
        <v>3042</v>
      </c>
      <c r="Q386" s="108">
        <v>100</v>
      </c>
      <c r="R386" s="108">
        <v>2997</v>
      </c>
      <c r="S386" s="108">
        <v>560</v>
      </c>
      <c r="T386" s="108">
        <v>36297</v>
      </c>
      <c r="U386" s="109" t="s">
        <v>1648</v>
      </c>
      <c r="V386" s="108">
        <v>280</v>
      </c>
      <c r="W386" s="108">
        <v>10344</v>
      </c>
      <c r="X386" s="108">
        <v>2</v>
      </c>
      <c r="Y386" s="108">
        <v>17</v>
      </c>
      <c r="Z386" s="108">
        <v>258</v>
      </c>
      <c r="AA386" s="108">
        <v>7843</v>
      </c>
      <c r="AB386" s="108">
        <v>17</v>
      </c>
      <c r="AC386" s="108">
        <v>247</v>
      </c>
      <c r="AD386" s="108">
        <v>461</v>
      </c>
      <c r="AE386" s="108">
        <v>12060</v>
      </c>
      <c r="AF386" s="108">
        <v>0</v>
      </c>
      <c r="AG386" s="108">
        <v>0</v>
      </c>
      <c r="AH386" s="108">
        <v>0</v>
      </c>
      <c r="AI386" s="108">
        <v>0</v>
      </c>
      <c r="AJ386" s="108">
        <v>119</v>
      </c>
      <c r="AK386" s="108">
        <v>3261</v>
      </c>
      <c r="AL386" s="108">
        <v>1279</v>
      </c>
      <c r="AM386" s="108">
        <v>56200</v>
      </c>
      <c r="AN386" s="108">
        <f t="shared" si="21"/>
        <v>1398</v>
      </c>
      <c r="AO386" s="108">
        <f t="shared" si="22"/>
        <v>59461</v>
      </c>
      <c r="AP386" s="110">
        <f t="shared" si="24"/>
        <v>42.532904148783977</v>
      </c>
      <c r="AQ386" s="110">
        <f t="shared" si="23"/>
        <v>0.82866699184725801</v>
      </c>
      <c r="AR386" s="108">
        <v>164</v>
      </c>
      <c r="AS386" s="108">
        <v>2543</v>
      </c>
      <c r="AT386" s="108">
        <v>71755</v>
      </c>
    </row>
    <row r="387" spans="1:46" ht="13.5" thickBot="1" x14ac:dyDescent="0.25">
      <c r="A387" s="48" t="s">
        <v>508</v>
      </c>
      <c r="B387" s="47" t="s">
        <v>507</v>
      </c>
      <c r="C387" s="48" t="s">
        <v>54</v>
      </c>
      <c r="D387" s="48" t="s">
        <v>1648</v>
      </c>
      <c r="E387" s="48" t="s">
        <v>1648</v>
      </c>
      <c r="F387" s="108">
        <v>2891</v>
      </c>
      <c r="G387" s="108">
        <v>77580</v>
      </c>
      <c r="H387" s="108">
        <v>219</v>
      </c>
      <c r="I387" s="108">
        <v>4431</v>
      </c>
      <c r="J387" s="108">
        <v>247</v>
      </c>
      <c r="K387" s="108">
        <v>7797</v>
      </c>
      <c r="L387" s="108">
        <v>33</v>
      </c>
      <c r="M387" s="108">
        <v>357</v>
      </c>
      <c r="N387" s="108">
        <v>7797</v>
      </c>
      <c r="O387" s="108">
        <v>357</v>
      </c>
      <c r="P387" s="108">
        <v>8154</v>
      </c>
      <c r="Q387" s="108">
        <v>48</v>
      </c>
      <c r="R387" s="108">
        <v>11330</v>
      </c>
      <c r="S387" s="108">
        <v>3138</v>
      </c>
      <c r="T387" s="108">
        <v>85377</v>
      </c>
      <c r="U387" s="109" t="s">
        <v>1648</v>
      </c>
      <c r="V387" s="108">
        <v>2891</v>
      </c>
      <c r="W387" s="108">
        <v>77580</v>
      </c>
      <c r="X387" s="108">
        <v>16</v>
      </c>
      <c r="Y387" s="108">
        <v>1853</v>
      </c>
      <c r="Z387" s="108">
        <v>252</v>
      </c>
      <c r="AA387" s="108">
        <v>4788</v>
      </c>
      <c r="AB387" s="108">
        <v>51</v>
      </c>
      <c r="AC387" s="108">
        <v>377</v>
      </c>
      <c r="AD387" s="108">
        <v>1440</v>
      </c>
      <c r="AE387" s="108">
        <v>23795</v>
      </c>
      <c r="AF387" s="108">
        <v>55</v>
      </c>
      <c r="AG387" s="108">
        <v>2956</v>
      </c>
      <c r="AH387" s="108">
        <v>247</v>
      </c>
      <c r="AI387" s="108">
        <v>7797</v>
      </c>
      <c r="AJ387" s="108">
        <v>170</v>
      </c>
      <c r="AK387" s="108">
        <v>16516</v>
      </c>
      <c r="AL387" s="108">
        <v>5077</v>
      </c>
      <c r="AM387" s="108">
        <v>121757</v>
      </c>
      <c r="AN387" s="108">
        <f t="shared" si="21"/>
        <v>5247</v>
      </c>
      <c r="AO387" s="108">
        <f t="shared" si="22"/>
        <v>138273</v>
      </c>
      <c r="AP387" s="110">
        <f t="shared" si="24"/>
        <v>26.352773013150372</v>
      </c>
      <c r="AQ387" s="110">
        <f t="shared" si="23"/>
        <v>0.9220966289886966</v>
      </c>
      <c r="AR387" s="108">
        <v>170</v>
      </c>
      <c r="AS387" s="108">
        <v>16516</v>
      </c>
      <c r="AT387" s="108">
        <v>149955</v>
      </c>
    </row>
    <row r="388" spans="1:46" ht="13.5" thickBot="1" x14ac:dyDescent="0.25">
      <c r="A388" s="48" t="s">
        <v>222</v>
      </c>
      <c r="B388" s="47" t="s">
        <v>221</v>
      </c>
      <c r="C388" s="48" t="s">
        <v>54</v>
      </c>
      <c r="D388" s="48" t="s">
        <v>1648</v>
      </c>
      <c r="E388" s="48" t="s">
        <v>1648</v>
      </c>
      <c r="F388" s="108">
        <v>3479</v>
      </c>
      <c r="G388" s="108">
        <v>64778</v>
      </c>
      <c r="H388" s="108">
        <v>387</v>
      </c>
      <c r="I388" s="108">
        <v>7198</v>
      </c>
      <c r="J388" s="108">
        <v>1</v>
      </c>
      <c r="K388" s="108">
        <v>399</v>
      </c>
      <c r="L388" s="108">
        <v>1</v>
      </c>
      <c r="M388" s="108">
        <v>99</v>
      </c>
      <c r="N388" s="108">
        <v>399</v>
      </c>
      <c r="O388" s="108">
        <v>99</v>
      </c>
      <c r="P388" s="108">
        <v>498</v>
      </c>
      <c r="Q388" s="108">
        <v>18</v>
      </c>
      <c r="R388" s="108">
        <v>529</v>
      </c>
      <c r="S388" s="108">
        <v>3480</v>
      </c>
      <c r="T388" s="108">
        <v>65177</v>
      </c>
      <c r="U388" s="109" t="s">
        <v>1648</v>
      </c>
      <c r="V388" s="108">
        <v>348</v>
      </c>
      <c r="W388" s="108">
        <v>6478</v>
      </c>
      <c r="X388" s="108">
        <v>8</v>
      </c>
      <c r="Y388" s="108">
        <v>227</v>
      </c>
      <c r="Z388" s="108">
        <v>388</v>
      </c>
      <c r="AA388" s="108">
        <v>7297</v>
      </c>
      <c r="AB388" s="108">
        <v>29</v>
      </c>
      <c r="AC388" s="108">
        <v>700</v>
      </c>
      <c r="AD388" s="108">
        <v>10804</v>
      </c>
      <c r="AE388" s="108">
        <v>90254</v>
      </c>
      <c r="AF388" s="108">
        <v>3</v>
      </c>
      <c r="AG388" s="108">
        <v>73</v>
      </c>
      <c r="AH388" s="108">
        <v>440</v>
      </c>
      <c r="AI388" s="108">
        <v>4866</v>
      </c>
      <c r="AJ388" s="108">
        <v>58</v>
      </c>
      <c r="AK388" s="108">
        <v>1529</v>
      </c>
      <c r="AL388" s="108">
        <v>15112</v>
      </c>
      <c r="AM388" s="108">
        <v>167594</v>
      </c>
      <c r="AN388" s="108">
        <f t="shared" si="21"/>
        <v>15170</v>
      </c>
      <c r="AO388" s="108">
        <f t="shared" si="22"/>
        <v>169123</v>
      </c>
      <c r="AP388" s="110">
        <f t="shared" si="24"/>
        <v>11.148516809492419</v>
      </c>
      <c r="AQ388" s="110">
        <f t="shared" si="23"/>
        <v>0.23694094934412288</v>
      </c>
      <c r="AR388" s="108">
        <v>215</v>
      </c>
      <c r="AS388" s="108">
        <v>0</v>
      </c>
      <c r="AT388" s="108">
        <v>713777</v>
      </c>
    </row>
    <row r="389" spans="1:46" ht="13.5" thickBot="1" x14ac:dyDescent="0.25">
      <c r="A389" s="48" t="s">
        <v>656</v>
      </c>
      <c r="B389" s="47" t="s">
        <v>655</v>
      </c>
      <c r="C389" s="48" t="s">
        <v>54</v>
      </c>
      <c r="D389" s="48" t="s">
        <v>1649</v>
      </c>
      <c r="E389" s="48" t="s">
        <v>1649</v>
      </c>
      <c r="F389" s="108">
        <v>245</v>
      </c>
      <c r="G389" s="108">
        <v>11465</v>
      </c>
      <c r="H389" s="108">
        <v>11</v>
      </c>
      <c r="I389" s="108">
        <v>104</v>
      </c>
      <c r="J389" s="108">
        <v>20</v>
      </c>
      <c r="K389" s="108">
        <v>869</v>
      </c>
      <c r="L389" s="108">
        <v>3</v>
      </c>
      <c r="M389" s="108">
        <v>17</v>
      </c>
      <c r="N389" s="108">
        <v>674</v>
      </c>
      <c r="O389" s="108">
        <v>65</v>
      </c>
      <c r="P389" s="108">
        <v>739</v>
      </c>
      <c r="Q389" s="108">
        <v>0</v>
      </c>
      <c r="R389" s="108">
        <v>0</v>
      </c>
      <c r="S389" s="108">
        <v>265</v>
      </c>
      <c r="T389" s="108">
        <v>12334</v>
      </c>
      <c r="U389" s="109" t="s">
        <v>1648</v>
      </c>
      <c r="V389" s="108">
        <v>214</v>
      </c>
      <c r="W389" s="108">
        <v>11321</v>
      </c>
      <c r="X389" s="108">
        <v>0</v>
      </c>
      <c r="Y389" s="108">
        <v>0</v>
      </c>
      <c r="Z389" s="108">
        <v>14</v>
      </c>
      <c r="AA389" s="108">
        <v>121</v>
      </c>
      <c r="AB389" s="108">
        <v>0</v>
      </c>
      <c r="AC389" s="108">
        <v>0</v>
      </c>
      <c r="AD389" s="108">
        <v>139</v>
      </c>
      <c r="AE389" s="108">
        <v>2729</v>
      </c>
      <c r="AF389" s="108">
        <v>0</v>
      </c>
      <c r="AG389" s="108">
        <v>0</v>
      </c>
      <c r="AH389" s="108">
        <v>0</v>
      </c>
      <c r="AI389" s="108">
        <v>0</v>
      </c>
      <c r="AJ389" s="108">
        <v>0</v>
      </c>
      <c r="AK389" s="108">
        <v>0</v>
      </c>
      <c r="AL389" s="108">
        <v>418</v>
      </c>
      <c r="AM389" s="108">
        <v>15184</v>
      </c>
      <c r="AN389" s="108">
        <f t="shared" si="21"/>
        <v>418</v>
      </c>
      <c r="AO389" s="108">
        <f t="shared" si="22"/>
        <v>15184</v>
      </c>
      <c r="AP389" s="110">
        <f t="shared" si="24"/>
        <v>36.325358851674643</v>
      </c>
      <c r="AQ389" s="110">
        <f t="shared" si="23"/>
        <v>0.25427447040107176</v>
      </c>
      <c r="AR389" s="108">
        <v>245</v>
      </c>
      <c r="AS389" s="108">
        <v>0</v>
      </c>
      <c r="AT389" s="108">
        <v>59715</v>
      </c>
    </row>
    <row r="390" spans="1:46" ht="13.5" thickBot="1" x14ac:dyDescent="0.25">
      <c r="A390" s="48" t="s">
        <v>53</v>
      </c>
      <c r="B390" s="47" t="s">
        <v>52</v>
      </c>
      <c r="C390" s="48" t="s">
        <v>54</v>
      </c>
      <c r="D390" s="48" t="s">
        <v>1648</v>
      </c>
      <c r="E390" s="48" t="s">
        <v>1648</v>
      </c>
      <c r="F390" s="108">
        <v>1071</v>
      </c>
      <c r="G390" s="108">
        <v>63166</v>
      </c>
      <c r="H390" s="108">
        <v>23</v>
      </c>
      <c r="I390" s="108">
        <v>463</v>
      </c>
      <c r="J390" s="108">
        <v>355</v>
      </c>
      <c r="K390" s="108">
        <v>24102</v>
      </c>
      <c r="L390" s="108">
        <v>7</v>
      </c>
      <c r="M390" s="108">
        <v>1086</v>
      </c>
      <c r="N390" s="108">
        <v>2535</v>
      </c>
      <c r="O390" s="108">
        <v>3954</v>
      </c>
      <c r="P390" s="108">
        <v>6489</v>
      </c>
      <c r="Q390" s="108">
        <v>10</v>
      </c>
      <c r="R390" s="108">
        <v>7666</v>
      </c>
      <c r="S390" s="108">
        <v>1426</v>
      </c>
      <c r="T390" s="108">
        <v>87268</v>
      </c>
      <c r="U390" s="109" t="s">
        <v>1648</v>
      </c>
      <c r="V390" s="108">
        <v>545</v>
      </c>
      <c r="W390" s="108">
        <v>32155</v>
      </c>
      <c r="X390" s="108">
        <v>30</v>
      </c>
      <c r="Y390" s="108">
        <v>3079</v>
      </c>
      <c r="Z390" s="108">
        <v>30</v>
      </c>
      <c r="AA390" s="108">
        <v>1549</v>
      </c>
      <c r="AB390" s="108">
        <v>11</v>
      </c>
      <c r="AC390" s="108">
        <v>4555</v>
      </c>
      <c r="AD390" s="108">
        <v>658</v>
      </c>
      <c r="AE390" s="108">
        <v>30281</v>
      </c>
      <c r="AF390" s="108">
        <v>0</v>
      </c>
      <c r="AG390" s="108">
        <v>0</v>
      </c>
      <c r="AH390" s="108">
        <v>0</v>
      </c>
      <c r="AI390" s="108">
        <v>0</v>
      </c>
      <c r="AJ390" s="108">
        <v>51</v>
      </c>
      <c r="AK390" s="108">
        <v>15300</v>
      </c>
      <c r="AL390" s="108">
        <v>2114</v>
      </c>
      <c r="AM390" s="108">
        <v>119098</v>
      </c>
      <c r="AN390" s="108">
        <f t="shared" si="21"/>
        <v>2165</v>
      </c>
      <c r="AO390" s="108">
        <f t="shared" si="22"/>
        <v>134398</v>
      </c>
      <c r="AP390" s="110">
        <f t="shared" si="24"/>
        <v>62.07759815242494</v>
      </c>
      <c r="AQ390" s="110">
        <f t="shared" si="23"/>
        <v>0.82155388471177948</v>
      </c>
      <c r="AR390" s="108">
        <v>254</v>
      </c>
      <c r="AS390" s="108">
        <v>108391</v>
      </c>
      <c r="AT390" s="108">
        <v>163590</v>
      </c>
    </row>
    <row r="391" spans="1:46" ht="13.5" thickBot="1" x14ac:dyDescent="0.25">
      <c r="A391" s="48" t="s">
        <v>590</v>
      </c>
      <c r="B391" s="47" t="s">
        <v>589</v>
      </c>
      <c r="C391" s="48" t="s">
        <v>54</v>
      </c>
      <c r="D391" s="48" t="s">
        <v>1648</v>
      </c>
      <c r="E391" s="48" t="s">
        <v>1648</v>
      </c>
      <c r="F391" s="108">
        <v>400</v>
      </c>
      <c r="G391" s="108">
        <v>3247</v>
      </c>
      <c r="H391" s="108">
        <v>43</v>
      </c>
      <c r="I391" s="108">
        <v>1771</v>
      </c>
      <c r="J391" s="108">
        <v>33</v>
      </c>
      <c r="K391" s="108">
        <v>262</v>
      </c>
      <c r="L391" s="108">
        <v>16</v>
      </c>
      <c r="M391" s="108">
        <v>517</v>
      </c>
      <c r="N391" s="108">
        <v>127</v>
      </c>
      <c r="O391" s="108">
        <v>19</v>
      </c>
      <c r="P391" s="108">
        <v>146</v>
      </c>
      <c r="Q391" s="108">
        <v>368</v>
      </c>
      <c r="R391" s="108">
        <v>1741</v>
      </c>
      <c r="S391" s="108">
        <v>433</v>
      </c>
      <c r="T391" s="108">
        <v>3509</v>
      </c>
      <c r="U391" s="109" t="s">
        <v>1648</v>
      </c>
      <c r="V391" s="108">
        <v>23</v>
      </c>
      <c r="W391" s="108">
        <v>132</v>
      </c>
      <c r="X391" s="108">
        <v>33</v>
      </c>
      <c r="Y391" s="108">
        <v>150</v>
      </c>
      <c r="Z391" s="108">
        <v>59</v>
      </c>
      <c r="AA391" s="108">
        <v>2288</v>
      </c>
      <c r="AB391" s="108">
        <v>3</v>
      </c>
      <c r="AC391" s="108">
        <v>111</v>
      </c>
      <c r="AD391" s="108">
        <v>162</v>
      </c>
      <c r="AE391" s="108">
        <v>595</v>
      </c>
      <c r="AF391" s="108">
        <v>0</v>
      </c>
      <c r="AG391" s="108">
        <v>0</v>
      </c>
      <c r="AH391" s="108">
        <v>0</v>
      </c>
      <c r="AI391" s="108">
        <v>0</v>
      </c>
      <c r="AJ391" s="108">
        <v>404</v>
      </c>
      <c r="AK391" s="108">
        <v>2002</v>
      </c>
      <c r="AL391" s="108">
        <v>654</v>
      </c>
      <c r="AM391" s="108">
        <v>6392</v>
      </c>
      <c r="AN391" s="108">
        <f t="shared" si="21"/>
        <v>1058</v>
      </c>
      <c r="AO391" s="108">
        <f t="shared" si="22"/>
        <v>8394</v>
      </c>
      <c r="AP391" s="110">
        <f t="shared" si="24"/>
        <v>7.9338374291115308</v>
      </c>
      <c r="AQ391" s="110">
        <f t="shared" si="23"/>
        <v>0.14104007393094178</v>
      </c>
      <c r="AR391" s="108">
        <v>402</v>
      </c>
      <c r="AS391" s="108">
        <v>4929</v>
      </c>
      <c r="AT391" s="108">
        <v>59515</v>
      </c>
    </row>
    <row r="392" spans="1:46" ht="13.5" thickBot="1" x14ac:dyDescent="0.25">
      <c r="A392" s="48" t="s">
        <v>212</v>
      </c>
      <c r="B392" s="54" t="s">
        <v>211</v>
      </c>
      <c r="C392" s="48" t="s">
        <v>54</v>
      </c>
      <c r="D392" s="48" t="s">
        <v>1648</v>
      </c>
      <c r="E392" s="48" t="s">
        <v>1648</v>
      </c>
      <c r="F392" s="108">
        <v>146</v>
      </c>
      <c r="G392" s="108">
        <v>1460</v>
      </c>
      <c r="H392" s="108">
        <v>80</v>
      </c>
      <c r="I392" s="108">
        <v>401</v>
      </c>
      <c r="J392" s="108">
        <v>120</v>
      </c>
      <c r="K392" s="108">
        <v>1200</v>
      </c>
      <c r="L392" s="108">
        <v>10</v>
      </c>
      <c r="M392" s="108">
        <v>100</v>
      </c>
      <c r="N392" s="108">
        <v>743</v>
      </c>
      <c r="O392" s="108">
        <v>15</v>
      </c>
      <c r="P392" s="108">
        <v>758</v>
      </c>
      <c r="Q392" s="108">
        <v>27</v>
      </c>
      <c r="R392" s="108">
        <v>105</v>
      </c>
      <c r="S392" s="108">
        <v>266</v>
      </c>
      <c r="T392" s="108">
        <v>2660</v>
      </c>
      <c r="U392" s="109" t="s">
        <v>1648</v>
      </c>
      <c r="V392" s="108">
        <v>60</v>
      </c>
      <c r="W392" s="108">
        <v>604</v>
      </c>
      <c r="X392" s="108">
        <v>12</v>
      </c>
      <c r="Y392" s="108">
        <v>62</v>
      </c>
      <c r="Z392" s="108">
        <v>90</v>
      </c>
      <c r="AA392" s="108">
        <v>501</v>
      </c>
      <c r="AB392" s="108">
        <v>50</v>
      </c>
      <c r="AC392" s="108">
        <v>251</v>
      </c>
      <c r="AD392" s="108">
        <v>209</v>
      </c>
      <c r="AE392" s="108">
        <v>1002</v>
      </c>
      <c r="AF392" s="108">
        <v>0</v>
      </c>
      <c r="AG392" s="108">
        <v>0</v>
      </c>
      <c r="AH392" s="108">
        <v>733</v>
      </c>
      <c r="AI392" s="108">
        <v>3221</v>
      </c>
      <c r="AJ392" s="108">
        <v>89</v>
      </c>
      <c r="AK392" s="108">
        <v>418</v>
      </c>
      <c r="AL392" s="108">
        <v>1298</v>
      </c>
      <c r="AM392" s="108">
        <v>7384</v>
      </c>
      <c r="AN392" s="108">
        <f t="shared" si="21"/>
        <v>1387</v>
      </c>
      <c r="AO392" s="108">
        <f t="shared" si="22"/>
        <v>7802</v>
      </c>
      <c r="AP392" s="110">
        <f t="shared" si="24"/>
        <v>5.6250901225666903</v>
      </c>
      <c r="AQ392" s="110">
        <f t="shared" si="23"/>
        <v>0.13504344514833663</v>
      </c>
      <c r="AR392" s="108">
        <v>515</v>
      </c>
      <c r="AS392" s="108">
        <v>34501</v>
      </c>
      <c r="AT392" s="108">
        <v>57774</v>
      </c>
    </row>
    <row r="393" spans="1:46" ht="18.75" thickBot="1" x14ac:dyDescent="0.3">
      <c r="A393" s="60"/>
      <c r="B393" s="113" t="s">
        <v>1599</v>
      </c>
      <c r="C393" s="61">
        <f>SUBTOTAL(103,Table4[Library Class])</f>
        <v>389</v>
      </c>
    </row>
    <row r="395" spans="1:46" ht="13.5" thickBot="1" x14ac:dyDescent="0.25"/>
    <row r="396" spans="1:46" ht="79.5" thickBot="1" x14ac:dyDescent="0.3">
      <c r="A396" s="114"/>
      <c r="B396" s="118" t="s">
        <v>1703</v>
      </c>
      <c r="C396" s="118" t="s">
        <v>1704</v>
      </c>
      <c r="E396" s="115" t="s">
        <v>1620</v>
      </c>
      <c r="F396" s="116">
        <f>SUBTOTAL(109,Table4[Children''s Events (Non Summer Reading)])</f>
        <v>60436</v>
      </c>
      <c r="G396" s="116">
        <f>SUBTOTAL(109,Table4[Children''s Events Attendance (Non Summer Reading)])</f>
        <v>1630563</v>
      </c>
      <c r="H396" s="116">
        <f>SUBTOTAL(109,Table4[Teen Events (Non Summer Reading)])</f>
        <v>10711</v>
      </c>
      <c r="I396" s="116">
        <f>SUBTOTAL(109,Table4[Teen  Events Attendance(Non Summer Reading)])</f>
        <v>187344</v>
      </c>
      <c r="J396" s="116">
        <f>SUBTOTAL(109,Table4[Summer Reading Events Children Programs])</f>
        <v>11809</v>
      </c>
      <c r="K396" s="116">
        <f>SUBTOTAL(109,Table4[Summer Reading Events Children Attendance])</f>
        <v>463069</v>
      </c>
      <c r="L396" s="116">
        <f>SUBTOTAL(109,Table4[Summer Reading Events Teens Programs])</f>
        <v>2430</v>
      </c>
      <c r="M396" s="116">
        <f>SUBTOTAL(109,Table4[Summer Reading Events Teens Attendance])</f>
        <v>43407</v>
      </c>
      <c r="N396" s="116">
        <f>SUBTOTAL(109,Table4[How Many Children Signed Up For The Summer Reading Program])</f>
        <v>131043</v>
      </c>
      <c r="O396" s="116">
        <f>SUBTOTAL(109,Table4[How Many Teens Signed Up For The Summer Reading Program?])</f>
        <v>32139</v>
      </c>
      <c r="P396" s="116">
        <f>SUBTOTAL(109,Table4[Total Summer Reading Program Participation])</f>
        <v>163182</v>
      </c>
      <c r="Q396" s="116">
        <f>SUBTOTAL(109,Table4[(COVID-19) Children''s Virtual Programs Offered (Live Virtual Events Only)])</f>
        <v>5262</v>
      </c>
      <c r="R396" s="116">
        <f>SUBTOTAL(109,Table4[(COVID-19) Children''s Virtual Program Attendance (Live Virtual Events Only)])</f>
        <v>170690</v>
      </c>
      <c r="S396" s="116">
        <f>SUBTOTAL(109,Table4[Total Children''s Programs])</f>
        <v>72245</v>
      </c>
      <c r="T396" s="116">
        <f>SUBTOTAL(109,Table4[Total Children''s Program Attendance])</f>
        <v>2093632</v>
      </c>
      <c r="U396" s="116">
        <f>SUBTOTAL(109,Table4[Do any of your programs focus on early literacy for ages 0-5?])</f>
        <v>0</v>
      </c>
      <c r="V396" s="116">
        <f>SUBTOTAL(109,Table4[ Early Literacy Programs (Subset of Children''s programming)])</f>
        <v>33287</v>
      </c>
      <c r="W396" s="116">
        <f>SUBTOTAL(109,Table4[ Early Literacy Program Attendance (Subset of Children''s programming)])</f>
        <v>754090</v>
      </c>
      <c r="X396" s="116">
        <f>SUBTOTAL(109,Table4[(COVID-19) Teen Virtual Programs Offered (Virtual Live Events Only)])</f>
        <v>1186</v>
      </c>
      <c r="Y396" s="116">
        <f>SUBTOTAL(109,Table4[(COVID-19) Teen Virtual Program Attendance (Virtual Live Events Only)])</f>
        <v>23955</v>
      </c>
      <c r="Z396" s="116">
        <f>SUBTOTAL(109,Table4[Total Teen Programs])</f>
        <v>13141</v>
      </c>
      <c r="AA396" s="116">
        <f>SUBTOTAL(109,Table4[Total Teen Program Attendance])</f>
        <v>230751</v>
      </c>
      <c r="AB396" s="116">
        <f>SUBTOTAL(109,Table4[(COVID-19) Adult Virtual Programs Offered (Virtual Live Events Only)])</f>
        <v>2889</v>
      </c>
      <c r="AC396" s="116">
        <f>SUBTOTAL(109,Table4[(COVID-19) Adult Virtual Program Attendance (Virtual Live Events Only)])</f>
        <v>94697</v>
      </c>
      <c r="AD396" s="116">
        <f>SUBTOTAL(109,Table4[Adult Programs])</f>
        <v>49632</v>
      </c>
      <c r="AE396" s="116">
        <f>SUBTOTAL(109,Table4[Adult Program Attendance])</f>
        <v>710967</v>
      </c>
      <c r="AF396" s="116">
        <f>SUBTOTAL(109,Table4[(COVID-19) General Virtual Programs Offered (Virtual Live Events Only)])</f>
        <v>3695</v>
      </c>
      <c r="AG396" s="116">
        <f>SUBTOTAL(109,Table4[(COVID-19) General Virtual Programs Attendance (Virtual Live Events Only)])</f>
        <v>320984</v>
      </c>
      <c r="AH396" s="116">
        <f>SUBTOTAL(109,Table4[General Programs])</f>
        <v>14783</v>
      </c>
      <c r="AI396" s="116">
        <f>SUBTOTAL(109,Table4[General Program Attendance])</f>
        <v>520699</v>
      </c>
      <c r="AJ396" s="116">
        <f>SUBTOTAL(109,Table4[(COVID-19) Total Virtual Programs Offered (Live Virtual Events Only)])</f>
        <v>13031</v>
      </c>
      <c r="AK396" s="116">
        <f>SUBTOTAL(109,Table4[(COVID-19) Total Virtual Programs Attendance (Live Virtual Events Only)])</f>
        <v>610325</v>
      </c>
      <c r="AL396" s="116">
        <f>SUBTOTAL(109,Table4[[Total Physical in Person Programs ]])</f>
        <v>149801</v>
      </c>
      <c r="AM396" s="116">
        <f>SUBTOTAL(109,Table4[Total Physical in Person Program Attendance])</f>
        <v>3556049</v>
      </c>
      <c r="AN396" s="116">
        <f>SUBTOTAL(109,Table4[Total Programs (Virtual + Physical)])</f>
        <v>162832</v>
      </c>
      <c r="AO396" s="116">
        <f>SUBTOTAL(109,Table4[Total Programs Attendance (Virtual + Physical)])</f>
        <v>4166374</v>
      </c>
      <c r="AP396" s="116"/>
      <c r="AQ396" s="116"/>
      <c r="AR396" s="116">
        <f>SUBTOTAL(109,Table4[(COVID-19) The number of Library Created Virtual Recorded Program Content Offered due to the COVID-19 Pandemic])</f>
        <v>10810</v>
      </c>
      <c r="AS396" s="116">
        <f>SUBTOTAL(109,Table4[(COVID-19) Total Library Created Virtual Program Content Recorded Views])</f>
        <v>1457880</v>
      </c>
      <c r="AT396" s="117">
        <f>SUBTOTAL(109,Table4[Total Population Served])</f>
        <v>9842571</v>
      </c>
    </row>
    <row r="397" spans="1:46" ht="18.75" thickBot="1" x14ac:dyDescent="0.3">
      <c r="A397" s="121" t="s">
        <v>1705</v>
      </c>
      <c r="B397" s="119">
        <v>0.2878787878787879</v>
      </c>
      <c r="C397" s="119">
        <v>0.33333333333333331</v>
      </c>
      <c r="E397" s="115" t="s">
        <v>1621</v>
      </c>
      <c r="F397" s="116">
        <f>SUBTOTAL(101,Table4[Children''s Events (Non Summer Reading)])</f>
        <v>155.3624678663239</v>
      </c>
      <c r="G397" s="116">
        <f>SUBTOTAL(101,Table4[Children''s Events Attendance (Non Summer Reading)])</f>
        <v>4191.6786632390749</v>
      </c>
      <c r="H397" s="116">
        <f>SUBTOTAL(101,Table4[Teen Events (Non Summer Reading)])</f>
        <v>27.534704370179949</v>
      </c>
      <c r="I397" s="116">
        <f>SUBTOTAL(101,Table4[Teen  Events Attendance(Non Summer Reading)])</f>
        <v>481.60411311053986</v>
      </c>
      <c r="J397" s="116">
        <f>SUBTOTAL(101,Table4[Summer Reading Events Children Programs])</f>
        <v>30.357326478149101</v>
      </c>
      <c r="K397" s="116">
        <f>SUBTOTAL(101,Table4[Summer Reading Events Children Attendance])</f>
        <v>1190.4087403598971</v>
      </c>
      <c r="L397" s="116">
        <f>SUBTOTAL(101,Table4[Summer Reading Events Teens Programs])</f>
        <v>6.2467866323907453</v>
      </c>
      <c r="M397" s="116">
        <f>SUBTOTAL(101,Table4[Summer Reading Events Teens Attendance])</f>
        <v>111.58611825192801</v>
      </c>
      <c r="N397" s="116">
        <f>SUBTOTAL(101,Table4[How Many Children Signed Up For The Summer Reading Program])</f>
        <v>336.87146529562983</v>
      </c>
      <c r="O397" s="116">
        <f>SUBTOTAL(101,Table4[How Many Teens Signed Up For The Summer Reading Program?])</f>
        <v>82.61953727506426</v>
      </c>
      <c r="P397" s="116">
        <f>SUBTOTAL(101,Table4[Total Summer Reading Program Participation])</f>
        <v>419.49100257069409</v>
      </c>
      <c r="Q397" s="116">
        <f>SUBTOTAL(101,Table4[(COVID-19) Children''s Virtual Programs Offered (Live Virtual Events Only)])</f>
        <v>13.526992287917738</v>
      </c>
      <c r="R397" s="116">
        <f>SUBTOTAL(101,Table4[(COVID-19) Children''s Virtual Program Attendance (Live Virtual Events Only)])</f>
        <v>438.79177377892029</v>
      </c>
      <c r="S397" s="116">
        <f>SUBTOTAL(101,Table4[Total Children''s Programs])</f>
        <v>185.719794344473</v>
      </c>
      <c r="T397" s="116">
        <f>SUBTOTAL(101,Table4[Total Children''s Program Attendance])</f>
        <v>5382.0874035989718</v>
      </c>
      <c r="U397" s="116" t="e">
        <f>SUBTOTAL(101,Table4[Do any of your programs focus on early literacy for ages 0-5?])</f>
        <v>#DIV/0!</v>
      </c>
      <c r="V397" s="116">
        <f>SUBTOTAL(101,Table4[ Early Literacy Programs (Subset of Children''s programming)])</f>
        <v>85.570694087403595</v>
      </c>
      <c r="W397" s="116">
        <f>SUBTOTAL(101,Table4[ Early Literacy Program Attendance (Subset of Children''s programming)])</f>
        <v>1938.53470437018</v>
      </c>
      <c r="X397" s="116">
        <f>SUBTOTAL(101,Table4[(COVID-19) Teen Virtual Programs Offered (Virtual Live Events Only)])</f>
        <v>3.0488431876606685</v>
      </c>
      <c r="Y397" s="116">
        <f>SUBTOTAL(101,Table4[(COVID-19) Teen Virtual Program Attendance (Virtual Live Events Only)])</f>
        <v>61.580976863753214</v>
      </c>
      <c r="Z397" s="116">
        <f>SUBTOTAL(101,Table4[Total Teen Programs])</f>
        <v>33.781491002570696</v>
      </c>
      <c r="AA397" s="116">
        <f>SUBTOTAL(101,Table4[Total Teen Program Attendance])</f>
        <v>593.1902313624679</v>
      </c>
      <c r="AB397" s="116">
        <f>SUBTOTAL(101,Table4[(COVID-19) Adult Virtual Programs Offered (Virtual Live Events Only)])</f>
        <v>7.4267352185089974</v>
      </c>
      <c r="AC397" s="116">
        <f>SUBTOTAL(101,Table4[(COVID-19) Adult Virtual Program Attendance (Virtual Live Events Only)])</f>
        <v>243.43701799485862</v>
      </c>
      <c r="AD397" s="116">
        <f>SUBTOTAL(101,Table4[Adult Programs])</f>
        <v>127.58868894601542</v>
      </c>
      <c r="AE397" s="116">
        <f>SUBTOTAL(101,Table4[Adult Program Attendance])</f>
        <v>1827.6786632390745</v>
      </c>
      <c r="AF397" s="116">
        <f>SUBTOTAL(101,Table4[(COVID-19) General Virtual Programs Offered (Virtual Live Events Only)])</f>
        <v>9.4987146529562985</v>
      </c>
      <c r="AG397" s="116">
        <f>SUBTOTAL(101,Table4[(COVID-19) General Virtual Programs Attendance (Virtual Live Events Only)])</f>
        <v>825.1516709511568</v>
      </c>
      <c r="AH397" s="116">
        <f>SUBTOTAL(101,Table4[General Programs])</f>
        <v>38.002570694087403</v>
      </c>
      <c r="AI397" s="116">
        <f>SUBTOTAL(101,Table4[General Program Attendance])</f>
        <v>1338.5578406169666</v>
      </c>
      <c r="AJ397" s="116">
        <f>SUBTOTAL(101,Table4[(COVID-19) Total Virtual Programs Offered (Live Virtual Events Only)])</f>
        <v>33.498714652956295</v>
      </c>
      <c r="AK397" s="116">
        <f>SUBTOTAL(101,Table4[(COVID-19) Total Virtual Programs Attendance (Live Virtual Events Only)])</f>
        <v>1568.9588688946014</v>
      </c>
      <c r="AL397" s="116">
        <f>SUBTOTAL(101,Table4[[Total Physical in Person Programs ]])</f>
        <v>385.09254498714654</v>
      </c>
      <c r="AM397" s="116">
        <f>SUBTOTAL(101,Table4[Total Physical in Person Program Attendance])</f>
        <v>9141.5141388174816</v>
      </c>
      <c r="AN397" s="116">
        <f>SUBTOTAL(101,Table4[Total Programs (Virtual + Physical)])</f>
        <v>418.59125964010281</v>
      </c>
      <c r="AO397" s="116">
        <f>SUBTOTAL(101,Table4[Total Programs Attendance (Virtual + Physical)])</f>
        <v>10710.473007712082</v>
      </c>
      <c r="AP397" s="128">
        <f>SUBTOTAL(101,Table4[Attend Per Program])</f>
        <v>24.25845929079167</v>
      </c>
      <c r="AQ397" s="128">
        <f>SUBTOTAL(101,Table4[Attend Per Capita])</f>
        <v>0.38882436974051682</v>
      </c>
      <c r="AR397" s="116">
        <f>SUBTOTAL(101,Table4[(COVID-19) The number of Library Created Virtual Recorded Program Content Offered due to the COVID-19 Pandemic])</f>
        <v>27.789203084832906</v>
      </c>
      <c r="AS397" s="116">
        <f>SUBTOTAL(101,Table4[(COVID-19) Total Library Created Virtual Program Content Recorded Views])</f>
        <v>3747.7634961439589</v>
      </c>
      <c r="AT397" s="117">
        <f>SUBTOTAL(101,Table4[Total Population Served])</f>
        <v>25302.239074550129</v>
      </c>
    </row>
    <row r="398" spans="1:46" ht="15" x14ac:dyDescent="0.2">
      <c r="A398" s="124" t="s">
        <v>1706</v>
      </c>
      <c r="B398" s="125">
        <v>0.53846153846153844</v>
      </c>
      <c r="C398" s="125">
        <v>0.35897435897435898</v>
      </c>
    </row>
    <row r="399" spans="1:46" ht="15" x14ac:dyDescent="0.2">
      <c r="A399" s="122" t="s">
        <v>1707</v>
      </c>
      <c r="B399" s="120">
        <v>0.51282051282051277</v>
      </c>
      <c r="C399" s="120">
        <v>0.57692307692307687</v>
      </c>
    </row>
    <row r="400" spans="1:46" ht="15" x14ac:dyDescent="0.2">
      <c r="A400" s="124" t="s">
        <v>1708</v>
      </c>
      <c r="B400" s="125">
        <v>0.759493670886076</v>
      </c>
      <c r="C400" s="125">
        <v>0.74683544303797467</v>
      </c>
    </row>
    <row r="401" spans="1:3" ht="15" x14ac:dyDescent="0.2">
      <c r="A401" s="123" t="s">
        <v>1709</v>
      </c>
      <c r="B401" s="120">
        <v>0.83720930232558144</v>
      </c>
      <c r="C401" s="120">
        <v>0.86046511627906974</v>
      </c>
    </row>
    <row r="402" spans="1:3" ht="15.75" thickBot="1" x14ac:dyDescent="0.25">
      <c r="A402" s="126" t="s">
        <v>1710</v>
      </c>
      <c r="B402" s="127">
        <v>0.91111111111111109</v>
      </c>
      <c r="C402" s="127">
        <v>0.91111111111111109</v>
      </c>
    </row>
    <row r="404" spans="1:3" ht="15" x14ac:dyDescent="0.25">
      <c r="A404" s="369" t="s">
        <v>3736</v>
      </c>
    </row>
  </sheetData>
  <sortState xmlns:xlrd2="http://schemas.microsoft.com/office/spreadsheetml/2017/richdata2" ref="A4:AT392">
    <sortCondition ref="AR4:AR392"/>
  </sortState>
  <hyperlinks>
    <hyperlink ref="F1" location="'Table of Contents'!A1" display="Return to Table of Contents" xr:uid="{D0C79B48-36A6-4DA5-A744-5ED80862963C}"/>
  </hyperlinks>
  <pageMargins left="0.7" right="0.7" top="0.75" bottom="0.75" header="0.3" footer="0.3"/>
  <pageSetup orientation="portrait" horizontalDpi="1200" verticalDpi="120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442CF-62AD-4D79-BC0E-E38A9A0FE68B}">
  <sheetPr>
    <tabColor rgb="FF8CC6D4"/>
  </sheetPr>
  <dimension ref="A1:Q406"/>
  <sheetViews>
    <sheetView workbookViewId="0">
      <pane xSplit="3" ySplit="3" topLeftCell="D4" activePane="bottomRight" state="frozen"/>
      <selection pane="topRight" activeCell="D1" sqref="D1"/>
      <selection pane="bottomLeft" activeCell="A2" sqref="A2"/>
      <selection pane="bottomRight" activeCell="C1" sqref="C1"/>
    </sheetView>
  </sheetViews>
  <sheetFormatPr defaultRowHeight="12.75" x14ac:dyDescent="0.2"/>
  <cols>
    <col min="1" max="1" width="15.28515625" customWidth="1"/>
    <col min="2" max="2" width="46.85546875" customWidth="1"/>
    <col min="3" max="3" width="25.140625" customWidth="1"/>
    <col min="4" max="9" width="20.7109375" customWidth="1"/>
    <col min="10" max="10" width="28.140625" customWidth="1"/>
    <col min="11" max="15" width="20.7109375" customWidth="1"/>
    <col min="16" max="16" width="21.28515625" customWidth="1"/>
    <col min="17" max="17" width="24.85546875" customWidth="1"/>
  </cols>
  <sheetData>
    <row r="1" spans="1:17" ht="18.75" x14ac:dyDescent="0.3">
      <c r="A1" s="362" t="s">
        <v>3729</v>
      </c>
      <c r="B1" s="365"/>
      <c r="D1" s="364" t="s">
        <v>1590</v>
      </c>
      <c r="F1" s="360" t="s">
        <v>3727</v>
      </c>
    </row>
    <row r="3" spans="1:17" s="34" customFormat="1" ht="114.75" customHeight="1" thickBot="1" x14ac:dyDescent="0.25">
      <c r="A3" s="164" t="s">
        <v>1</v>
      </c>
      <c r="B3" s="51" t="s">
        <v>0</v>
      </c>
      <c r="C3" s="164" t="s">
        <v>4</v>
      </c>
      <c r="D3" s="164" t="s">
        <v>1712</v>
      </c>
      <c r="E3" s="164" t="s">
        <v>1713</v>
      </c>
      <c r="F3" s="164" t="s">
        <v>1714</v>
      </c>
      <c r="G3" s="164" t="s">
        <v>1722</v>
      </c>
      <c r="H3" s="164" t="s">
        <v>1715</v>
      </c>
      <c r="I3" s="164" t="s">
        <v>1716</v>
      </c>
      <c r="J3" s="164" t="s">
        <v>1717</v>
      </c>
      <c r="K3" s="164" t="s">
        <v>1718</v>
      </c>
      <c r="L3" s="164" t="s">
        <v>1719</v>
      </c>
      <c r="M3" s="164" t="s">
        <v>1720</v>
      </c>
      <c r="N3" s="164" t="s">
        <v>1721</v>
      </c>
      <c r="O3" s="164" t="s">
        <v>3002</v>
      </c>
      <c r="P3" s="164" t="s">
        <v>3000</v>
      </c>
      <c r="Q3" s="164" t="s">
        <v>3001</v>
      </c>
    </row>
    <row r="4" spans="1:17" ht="13.5" thickBot="1" x14ac:dyDescent="0.25">
      <c r="A4" s="165" t="s">
        <v>33</v>
      </c>
      <c r="B4" s="168" t="s">
        <v>32</v>
      </c>
      <c r="C4" s="165" t="s">
        <v>34</v>
      </c>
      <c r="D4" s="166">
        <v>6</v>
      </c>
      <c r="E4" s="166">
        <v>9</v>
      </c>
      <c r="F4" s="165" t="s">
        <v>1648</v>
      </c>
      <c r="G4" s="167">
        <v>800</v>
      </c>
      <c r="H4" s="165" t="s">
        <v>1730</v>
      </c>
      <c r="I4" s="165" t="s">
        <v>1648</v>
      </c>
      <c r="J4" s="165" t="s">
        <v>1730</v>
      </c>
      <c r="K4" s="165" t="s">
        <v>1648</v>
      </c>
      <c r="L4" s="165" t="s">
        <v>1648</v>
      </c>
      <c r="M4" s="165" t="s">
        <v>1649</v>
      </c>
      <c r="N4" s="165" t="s">
        <v>1649</v>
      </c>
      <c r="O4" s="165" t="s">
        <v>1648</v>
      </c>
      <c r="P4" s="165" t="s">
        <v>1648</v>
      </c>
      <c r="Q4" s="165" t="s">
        <v>1649</v>
      </c>
    </row>
    <row r="5" spans="1:17" ht="13.5" thickBot="1" x14ac:dyDescent="0.25">
      <c r="A5" s="165" t="s">
        <v>58</v>
      </c>
      <c r="B5" s="168" t="s">
        <v>57</v>
      </c>
      <c r="C5" s="165" t="s">
        <v>34</v>
      </c>
      <c r="D5" s="166">
        <v>2</v>
      </c>
      <c r="E5" s="166">
        <v>12</v>
      </c>
      <c r="F5" s="165" t="s">
        <v>1648</v>
      </c>
      <c r="G5" s="167">
        <v>675</v>
      </c>
      <c r="H5" s="165" t="s">
        <v>1742</v>
      </c>
      <c r="I5" s="165" t="s">
        <v>1648</v>
      </c>
      <c r="J5" s="165" t="s">
        <v>1743</v>
      </c>
      <c r="K5" s="165" t="s">
        <v>1648</v>
      </c>
      <c r="L5" s="165" t="s">
        <v>1648</v>
      </c>
      <c r="M5" s="165" t="s">
        <v>1649</v>
      </c>
      <c r="N5" s="165" t="s">
        <v>1649</v>
      </c>
      <c r="O5" s="165" t="s">
        <v>1648</v>
      </c>
      <c r="P5" s="165" t="s">
        <v>1648</v>
      </c>
      <c r="Q5" s="165" t="s">
        <v>1648</v>
      </c>
    </row>
    <row r="6" spans="1:17" ht="13.5" thickBot="1" x14ac:dyDescent="0.25">
      <c r="A6" s="165" t="s">
        <v>80</v>
      </c>
      <c r="B6" s="168" t="s">
        <v>79</v>
      </c>
      <c r="C6" s="165" t="s">
        <v>34</v>
      </c>
      <c r="D6" s="166">
        <v>3</v>
      </c>
      <c r="E6" s="166">
        <v>4</v>
      </c>
      <c r="F6" s="165" t="s">
        <v>1648</v>
      </c>
      <c r="G6" s="167">
        <v>5500</v>
      </c>
      <c r="H6" s="165" t="s">
        <v>1754</v>
      </c>
      <c r="I6" s="165" t="s">
        <v>1648</v>
      </c>
      <c r="J6" s="165" t="s">
        <v>1755</v>
      </c>
      <c r="K6" s="165" t="s">
        <v>1649</v>
      </c>
      <c r="L6" s="165" t="s">
        <v>1648</v>
      </c>
      <c r="M6" s="165" t="s">
        <v>1649</v>
      </c>
      <c r="N6" s="165" t="s">
        <v>1649</v>
      </c>
      <c r="O6" s="165" t="s">
        <v>1648</v>
      </c>
      <c r="P6" s="165" t="s">
        <v>1648</v>
      </c>
      <c r="Q6" s="165" t="s">
        <v>1648</v>
      </c>
    </row>
    <row r="7" spans="1:17" ht="13.5" thickBot="1" x14ac:dyDescent="0.25">
      <c r="A7" s="165" t="s">
        <v>82</v>
      </c>
      <c r="B7" s="168" t="s">
        <v>81</v>
      </c>
      <c r="C7" s="165" t="s">
        <v>34</v>
      </c>
      <c r="D7" s="166">
        <v>3</v>
      </c>
      <c r="E7" s="166">
        <v>8</v>
      </c>
      <c r="F7" s="165" t="s">
        <v>1648</v>
      </c>
      <c r="G7" s="167">
        <v>5000</v>
      </c>
      <c r="H7" s="165" t="s">
        <v>1756</v>
      </c>
      <c r="I7" s="165" t="s">
        <v>1648</v>
      </c>
      <c r="J7" s="165" t="s">
        <v>1756</v>
      </c>
      <c r="K7" s="165" t="s">
        <v>1648</v>
      </c>
      <c r="L7" s="165" t="s">
        <v>1648</v>
      </c>
      <c r="M7" s="165" t="s">
        <v>1648</v>
      </c>
      <c r="N7" s="165" t="s">
        <v>1649</v>
      </c>
      <c r="O7" s="165" t="s">
        <v>1648</v>
      </c>
      <c r="P7" s="165" t="s">
        <v>1648</v>
      </c>
      <c r="Q7" s="165" t="s">
        <v>1648</v>
      </c>
    </row>
    <row r="8" spans="1:17" ht="13.5" thickBot="1" x14ac:dyDescent="0.25">
      <c r="A8" s="165" t="s">
        <v>86</v>
      </c>
      <c r="B8" s="168" t="s">
        <v>85</v>
      </c>
      <c r="C8" s="165" t="s">
        <v>34</v>
      </c>
      <c r="D8" s="166">
        <v>1</v>
      </c>
      <c r="E8" s="166">
        <v>5</v>
      </c>
      <c r="F8" s="165" t="s">
        <v>1648</v>
      </c>
      <c r="G8" s="167">
        <v>2247</v>
      </c>
      <c r="H8" s="165" t="s">
        <v>1757</v>
      </c>
      <c r="I8" s="165" t="s">
        <v>1648</v>
      </c>
      <c r="J8" s="165" t="s">
        <v>1757</v>
      </c>
      <c r="K8" s="165" t="s">
        <v>1648</v>
      </c>
      <c r="L8" s="165" t="s">
        <v>1648</v>
      </c>
      <c r="M8" s="165" t="s">
        <v>1649</v>
      </c>
      <c r="N8" s="165" t="s">
        <v>1648</v>
      </c>
      <c r="O8" s="165" t="s">
        <v>1648</v>
      </c>
      <c r="P8" s="165" t="s">
        <v>1648</v>
      </c>
      <c r="Q8" s="165" t="s">
        <v>1648</v>
      </c>
    </row>
    <row r="9" spans="1:17" ht="13.5" thickBot="1" x14ac:dyDescent="0.25">
      <c r="A9" s="165" t="s">
        <v>90</v>
      </c>
      <c r="B9" s="168" t="s">
        <v>89</v>
      </c>
      <c r="C9" s="165" t="s">
        <v>34</v>
      </c>
      <c r="D9" s="166">
        <v>10</v>
      </c>
      <c r="E9" s="166">
        <v>11</v>
      </c>
      <c r="F9" s="165" t="s">
        <v>1648</v>
      </c>
      <c r="G9" s="167">
        <v>1800</v>
      </c>
      <c r="H9" s="165" t="s">
        <v>1759</v>
      </c>
      <c r="I9" s="165" t="s">
        <v>1648</v>
      </c>
      <c r="J9" s="165" t="s">
        <v>1759</v>
      </c>
      <c r="K9" s="165" t="s">
        <v>1648</v>
      </c>
      <c r="L9" s="165" t="s">
        <v>1648</v>
      </c>
      <c r="M9" s="165" t="s">
        <v>1649</v>
      </c>
      <c r="N9" s="165" t="s">
        <v>1649</v>
      </c>
      <c r="O9" s="165" t="s">
        <v>1648</v>
      </c>
      <c r="P9" s="165" t="s">
        <v>1648</v>
      </c>
      <c r="Q9" s="165" t="s">
        <v>1648</v>
      </c>
    </row>
    <row r="10" spans="1:17" ht="13.5" thickBot="1" x14ac:dyDescent="0.25">
      <c r="A10" s="165" t="s">
        <v>92</v>
      </c>
      <c r="B10" s="168" t="s">
        <v>91</v>
      </c>
      <c r="C10" s="165" t="s">
        <v>34</v>
      </c>
      <c r="D10" s="166">
        <v>3</v>
      </c>
      <c r="E10" s="166">
        <v>7</v>
      </c>
      <c r="F10" s="165" t="s">
        <v>1648</v>
      </c>
      <c r="G10" s="167">
        <v>1700</v>
      </c>
      <c r="H10" s="165" t="s">
        <v>1756</v>
      </c>
      <c r="I10" s="165" t="s">
        <v>1648</v>
      </c>
      <c r="J10" s="165" t="s">
        <v>1760</v>
      </c>
      <c r="K10" s="165" t="s">
        <v>1648</v>
      </c>
      <c r="L10" s="165" t="s">
        <v>1648</v>
      </c>
      <c r="M10" s="165" t="s">
        <v>1649</v>
      </c>
      <c r="N10" s="165" t="s">
        <v>1649</v>
      </c>
      <c r="O10" s="165" t="s">
        <v>1648</v>
      </c>
      <c r="P10" s="165" t="s">
        <v>1648</v>
      </c>
      <c r="Q10" s="165" t="s">
        <v>1648</v>
      </c>
    </row>
    <row r="11" spans="1:17" ht="13.5" thickBot="1" x14ac:dyDescent="0.25">
      <c r="A11" s="165" t="s">
        <v>100</v>
      </c>
      <c r="B11" s="168" t="s">
        <v>99</v>
      </c>
      <c r="C11" s="165" t="s">
        <v>34</v>
      </c>
      <c r="D11" s="166">
        <v>2</v>
      </c>
      <c r="E11" s="166">
        <v>8</v>
      </c>
      <c r="F11" s="165" t="s">
        <v>1648</v>
      </c>
      <c r="G11" s="167">
        <v>2706</v>
      </c>
      <c r="H11" s="165" t="s">
        <v>1763</v>
      </c>
      <c r="I11" s="165" t="s">
        <v>1648</v>
      </c>
      <c r="J11" s="165" t="s">
        <v>1763</v>
      </c>
      <c r="K11" s="165" t="s">
        <v>1648</v>
      </c>
      <c r="L11" s="165" t="s">
        <v>1648</v>
      </c>
      <c r="M11" s="165" t="s">
        <v>1649</v>
      </c>
      <c r="N11" s="165" t="s">
        <v>1649</v>
      </c>
      <c r="O11" s="165" t="s">
        <v>1648</v>
      </c>
      <c r="P11" s="165" t="s">
        <v>1648</v>
      </c>
      <c r="Q11" s="165" t="s">
        <v>1648</v>
      </c>
    </row>
    <row r="12" spans="1:17" ht="13.5" thickBot="1" x14ac:dyDescent="0.25">
      <c r="A12" s="165" t="s">
        <v>132</v>
      </c>
      <c r="B12" s="168" t="s">
        <v>131</v>
      </c>
      <c r="C12" s="165" t="s">
        <v>34</v>
      </c>
      <c r="D12" s="166">
        <v>2</v>
      </c>
      <c r="E12" s="166">
        <v>5</v>
      </c>
      <c r="F12" s="165" t="s">
        <v>1648</v>
      </c>
      <c r="G12" s="167">
        <v>1100</v>
      </c>
      <c r="H12" s="165" t="s">
        <v>1771</v>
      </c>
      <c r="I12" s="165" t="s">
        <v>1648</v>
      </c>
      <c r="J12" s="165" t="s">
        <v>1771</v>
      </c>
      <c r="K12" s="165" t="s">
        <v>1648</v>
      </c>
      <c r="L12" s="165" t="s">
        <v>1649</v>
      </c>
      <c r="M12" s="165" t="s">
        <v>1649</v>
      </c>
      <c r="N12" s="165" t="s">
        <v>1649</v>
      </c>
      <c r="O12" s="165" t="s">
        <v>1648</v>
      </c>
      <c r="P12" s="165" t="s">
        <v>1648</v>
      </c>
      <c r="Q12" s="165" t="s">
        <v>1649</v>
      </c>
    </row>
    <row r="13" spans="1:17" ht="13.5" thickBot="1" x14ac:dyDescent="0.25">
      <c r="A13" s="165" t="s">
        <v>146</v>
      </c>
      <c r="B13" s="168" t="s">
        <v>145</v>
      </c>
      <c r="C13" s="165" t="s">
        <v>34</v>
      </c>
      <c r="D13" s="166">
        <v>1</v>
      </c>
      <c r="E13" s="166">
        <v>7</v>
      </c>
      <c r="F13" s="165" t="s">
        <v>1648</v>
      </c>
      <c r="G13" s="167">
        <v>1773</v>
      </c>
      <c r="H13" s="165" t="s">
        <v>1728</v>
      </c>
      <c r="I13" s="165" t="s">
        <v>1648</v>
      </c>
      <c r="J13" s="165" t="s">
        <v>1762</v>
      </c>
      <c r="K13" s="165" t="s">
        <v>1649</v>
      </c>
      <c r="L13" s="165" t="s">
        <v>1648</v>
      </c>
      <c r="M13" s="165" t="s">
        <v>1649</v>
      </c>
      <c r="N13" s="165" t="s">
        <v>1648</v>
      </c>
      <c r="O13" s="165" t="s">
        <v>1648</v>
      </c>
      <c r="P13" s="165" t="s">
        <v>1648</v>
      </c>
      <c r="Q13" s="165" t="s">
        <v>1648</v>
      </c>
    </row>
    <row r="14" spans="1:17" ht="13.5" thickBot="1" x14ac:dyDescent="0.25">
      <c r="A14" s="165" t="s">
        <v>156</v>
      </c>
      <c r="B14" s="168" t="s">
        <v>155</v>
      </c>
      <c r="C14" s="165" t="s">
        <v>34</v>
      </c>
      <c r="D14" s="166">
        <v>4</v>
      </c>
      <c r="E14" s="166">
        <v>9</v>
      </c>
      <c r="F14" s="165" t="s">
        <v>1648</v>
      </c>
      <c r="G14" s="167">
        <v>7000</v>
      </c>
      <c r="H14" s="165" t="s">
        <v>1774</v>
      </c>
      <c r="I14" s="165" t="s">
        <v>1648</v>
      </c>
      <c r="J14" s="165" t="s">
        <v>1774</v>
      </c>
      <c r="K14" s="165" t="s">
        <v>1648</v>
      </c>
      <c r="L14" s="165" t="s">
        <v>1648</v>
      </c>
      <c r="M14" s="165" t="s">
        <v>1649</v>
      </c>
      <c r="N14" s="165" t="s">
        <v>1649</v>
      </c>
      <c r="O14" s="165" t="s">
        <v>1648</v>
      </c>
      <c r="P14" s="165" t="s">
        <v>1649</v>
      </c>
      <c r="Q14" s="165" t="s">
        <v>1649</v>
      </c>
    </row>
    <row r="15" spans="1:17" ht="13.5" thickBot="1" x14ac:dyDescent="0.25">
      <c r="A15" s="165" t="s">
        <v>164</v>
      </c>
      <c r="B15" s="168" t="s">
        <v>163</v>
      </c>
      <c r="C15" s="165" t="s">
        <v>34</v>
      </c>
      <c r="D15" s="166">
        <v>2</v>
      </c>
      <c r="E15" s="166">
        <v>9</v>
      </c>
      <c r="F15" s="165" t="s">
        <v>1649</v>
      </c>
      <c r="G15" s="167">
        <v>0</v>
      </c>
      <c r="H15" s="165" t="s">
        <v>1613</v>
      </c>
      <c r="I15" s="165" t="s">
        <v>1649</v>
      </c>
      <c r="J15" s="165" t="s">
        <v>1613</v>
      </c>
      <c r="K15" s="165" t="s">
        <v>1649</v>
      </c>
      <c r="L15" s="165" t="s">
        <v>1649</v>
      </c>
      <c r="M15" s="165" t="s">
        <v>1649</v>
      </c>
      <c r="N15" s="165" t="s">
        <v>1649</v>
      </c>
      <c r="O15" s="165" t="s">
        <v>1648</v>
      </c>
      <c r="P15" s="165" t="s">
        <v>1648</v>
      </c>
      <c r="Q15" s="165" t="s">
        <v>1648</v>
      </c>
    </row>
    <row r="16" spans="1:17" ht="13.5" thickBot="1" x14ac:dyDescent="0.25">
      <c r="A16" s="165" t="s">
        <v>176</v>
      </c>
      <c r="B16" s="168" t="s">
        <v>175</v>
      </c>
      <c r="C16" s="165" t="s">
        <v>34</v>
      </c>
      <c r="D16" s="166">
        <v>4</v>
      </c>
      <c r="E16" s="166">
        <v>11</v>
      </c>
      <c r="F16" s="165" t="s">
        <v>1648</v>
      </c>
      <c r="G16" s="167">
        <v>3400</v>
      </c>
      <c r="H16" s="165" t="s">
        <v>1780</v>
      </c>
      <c r="I16" s="165" t="s">
        <v>1648</v>
      </c>
      <c r="J16" s="165" t="s">
        <v>1780</v>
      </c>
      <c r="K16" s="165" t="s">
        <v>1648</v>
      </c>
      <c r="L16" s="165" t="s">
        <v>1648</v>
      </c>
      <c r="M16" s="165" t="s">
        <v>1649</v>
      </c>
      <c r="N16" s="165" t="s">
        <v>1649</v>
      </c>
      <c r="O16" s="165" t="s">
        <v>1648</v>
      </c>
      <c r="P16" s="165" t="s">
        <v>1648</v>
      </c>
      <c r="Q16" s="165" t="s">
        <v>1648</v>
      </c>
    </row>
    <row r="17" spans="1:17" ht="13.5" thickBot="1" x14ac:dyDescent="0.25">
      <c r="A17" s="165" t="s">
        <v>184</v>
      </c>
      <c r="B17" s="168" t="s">
        <v>183</v>
      </c>
      <c r="C17" s="165" t="s">
        <v>34</v>
      </c>
      <c r="D17" s="166">
        <v>3</v>
      </c>
      <c r="E17" s="166">
        <v>8</v>
      </c>
      <c r="F17" s="165" t="s">
        <v>1648</v>
      </c>
      <c r="G17" s="167">
        <v>1190</v>
      </c>
      <c r="H17" s="165" t="s">
        <v>1783</v>
      </c>
      <c r="I17" s="165" t="s">
        <v>1648</v>
      </c>
      <c r="J17" s="165" t="s">
        <v>1783</v>
      </c>
      <c r="K17" s="165" t="s">
        <v>1648</v>
      </c>
      <c r="L17" s="165" t="s">
        <v>1648</v>
      </c>
      <c r="M17" s="165" t="s">
        <v>1649</v>
      </c>
      <c r="N17" s="165" t="s">
        <v>1649</v>
      </c>
      <c r="O17" s="165" t="s">
        <v>1648</v>
      </c>
      <c r="P17" s="165" t="s">
        <v>1648</v>
      </c>
      <c r="Q17" s="165" t="s">
        <v>1648</v>
      </c>
    </row>
    <row r="18" spans="1:17" ht="13.5" thickBot="1" x14ac:dyDescent="0.25">
      <c r="A18" s="165" t="s">
        <v>186</v>
      </c>
      <c r="B18" s="168" t="s">
        <v>185</v>
      </c>
      <c r="C18" s="165" t="s">
        <v>34</v>
      </c>
      <c r="D18" s="166">
        <v>3</v>
      </c>
      <c r="E18" s="166">
        <v>9</v>
      </c>
      <c r="F18" s="165" t="s">
        <v>1648</v>
      </c>
      <c r="G18" s="167">
        <v>1100</v>
      </c>
      <c r="H18" s="165" t="s">
        <v>1745</v>
      </c>
      <c r="I18" s="165" t="s">
        <v>1648</v>
      </c>
      <c r="J18" s="165" t="s">
        <v>1745</v>
      </c>
      <c r="K18" s="165" t="s">
        <v>1648</v>
      </c>
      <c r="L18" s="165" t="s">
        <v>1648</v>
      </c>
      <c r="M18" s="165" t="s">
        <v>1649</v>
      </c>
      <c r="N18" s="165" t="s">
        <v>1649</v>
      </c>
      <c r="O18" s="165" t="s">
        <v>1648</v>
      </c>
      <c r="P18" s="165" t="s">
        <v>1648</v>
      </c>
      <c r="Q18" s="165" t="s">
        <v>1649</v>
      </c>
    </row>
    <row r="19" spans="1:17" ht="13.5" thickBot="1" x14ac:dyDescent="0.25">
      <c r="A19" s="165" t="s">
        <v>202</v>
      </c>
      <c r="B19" s="168" t="s">
        <v>201</v>
      </c>
      <c r="C19" s="165" t="s">
        <v>34</v>
      </c>
      <c r="D19" s="166">
        <v>4</v>
      </c>
      <c r="E19" s="166">
        <v>8</v>
      </c>
      <c r="F19" s="165" t="s">
        <v>1648</v>
      </c>
      <c r="G19" s="167">
        <v>4902</v>
      </c>
      <c r="H19" s="165" t="s">
        <v>1737</v>
      </c>
      <c r="I19" s="165" t="s">
        <v>1648</v>
      </c>
      <c r="J19" s="165" t="s">
        <v>1737</v>
      </c>
      <c r="K19" s="165" t="s">
        <v>1648</v>
      </c>
      <c r="L19" s="165" t="s">
        <v>1648</v>
      </c>
      <c r="M19" s="165" t="s">
        <v>1649</v>
      </c>
      <c r="N19" s="165" t="s">
        <v>1648</v>
      </c>
      <c r="O19" s="165" t="s">
        <v>1648</v>
      </c>
      <c r="P19" s="165" t="s">
        <v>1648</v>
      </c>
      <c r="Q19" s="165" t="s">
        <v>1648</v>
      </c>
    </row>
    <row r="20" spans="1:17" ht="13.5" thickBot="1" x14ac:dyDescent="0.25">
      <c r="A20" s="165" t="s">
        <v>204</v>
      </c>
      <c r="B20" s="168" t="s">
        <v>203</v>
      </c>
      <c r="C20" s="165" t="s">
        <v>34</v>
      </c>
      <c r="D20" s="166">
        <v>5</v>
      </c>
      <c r="E20" s="166">
        <v>9</v>
      </c>
      <c r="F20" s="165" t="s">
        <v>1648</v>
      </c>
      <c r="G20" s="167">
        <v>12000</v>
      </c>
      <c r="H20" s="165" t="s">
        <v>1738</v>
      </c>
      <c r="I20" s="165" t="s">
        <v>1648</v>
      </c>
      <c r="J20" s="165" t="s">
        <v>1738</v>
      </c>
      <c r="K20" s="165" t="s">
        <v>1648</v>
      </c>
      <c r="L20" s="165" t="s">
        <v>1648</v>
      </c>
      <c r="M20" s="165" t="s">
        <v>1649</v>
      </c>
      <c r="N20" s="165" t="s">
        <v>1648</v>
      </c>
      <c r="O20" s="165" t="s">
        <v>1648</v>
      </c>
      <c r="P20" s="165" t="s">
        <v>1648</v>
      </c>
      <c r="Q20" s="165" t="s">
        <v>1648</v>
      </c>
    </row>
    <row r="21" spans="1:17" ht="13.5" thickBot="1" x14ac:dyDescent="0.25">
      <c r="A21" s="165" t="s">
        <v>206</v>
      </c>
      <c r="B21" s="168" t="s">
        <v>205</v>
      </c>
      <c r="C21" s="165" t="s">
        <v>34</v>
      </c>
      <c r="D21" s="166">
        <v>4</v>
      </c>
      <c r="E21" s="166">
        <v>17</v>
      </c>
      <c r="F21" s="165" t="s">
        <v>1648</v>
      </c>
      <c r="G21" s="167">
        <v>2600</v>
      </c>
      <c r="H21" s="165" t="s">
        <v>1776</v>
      </c>
      <c r="I21" s="165" t="s">
        <v>1648</v>
      </c>
      <c r="J21" s="165" t="s">
        <v>1776</v>
      </c>
      <c r="K21" s="165" t="s">
        <v>1649</v>
      </c>
      <c r="L21" s="165" t="s">
        <v>1648</v>
      </c>
      <c r="M21" s="165" t="s">
        <v>1649</v>
      </c>
      <c r="N21" s="165" t="s">
        <v>1648</v>
      </c>
      <c r="O21" s="165" t="s">
        <v>1648</v>
      </c>
      <c r="P21" s="165" t="s">
        <v>1648</v>
      </c>
      <c r="Q21" s="165" t="s">
        <v>1649</v>
      </c>
    </row>
    <row r="22" spans="1:17" ht="13.5" thickBot="1" x14ac:dyDescent="0.25">
      <c r="A22" s="165" t="s">
        <v>208</v>
      </c>
      <c r="B22" s="168" t="s">
        <v>207</v>
      </c>
      <c r="C22" s="165" t="s">
        <v>34</v>
      </c>
      <c r="D22" s="166">
        <v>3</v>
      </c>
      <c r="E22" s="166">
        <v>8</v>
      </c>
      <c r="F22" s="165" t="s">
        <v>1648</v>
      </c>
      <c r="G22" s="167">
        <v>2400</v>
      </c>
      <c r="H22" s="165" t="s">
        <v>1789</v>
      </c>
      <c r="I22" s="165" t="s">
        <v>1648</v>
      </c>
      <c r="J22" s="165" t="s">
        <v>1737</v>
      </c>
      <c r="K22" s="165" t="s">
        <v>1648</v>
      </c>
      <c r="L22" s="165" t="s">
        <v>1648</v>
      </c>
      <c r="M22" s="165" t="s">
        <v>1649</v>
      </c>
      <c r="N22" s="165" t="s">
        <v>1648</v>
      </c>
      <c r="O22" s="165" t="s">
        <v>1648</v>
      </c>
      <c r="P22" s="165" t="s">
        <v>1648</v>
      </c>
      <c r="Q22" s="165" t="s">
        <v>1648</v>
      </c>
    </row>
    <row r="23" spans="1:17" ht="13.5" thickBot="1" x14ac:dyDescent="0.25">
      <c r="A23" s="165" t="s">
        <v>210</v>
      </c>
      <c r="B23" s="168" t="s">
        <v>209</v>
      </c>
      <c r="C23" s="165" t="s">
        <v>34</v>
      </c>
      <c r="D23" s="166">
        <v>6</v>
      </c>
      <c r="E23" s="166">
        <v>7</v>
      </c>
      <c r="F23" s="165" t="s">
        <v>1648</v>
      </c>
      <c r="G23" s="167">
        <v>1500</v>
      </c>
      <c r="H23" s="165" t="s">
        <v>1756</v>
      </c>
      <c r="I23" s="165" t="s">
        <v>1648</v>
      </c>
      <c r="J23" s="165" t="s">
        <v>1745</v>
      </c>
      <c r="K23" s="165" t="s">
        <v>1648</v>
      </c>
      <c r="L23" s="165" t="s">
        <v>1648</v>
      </c>
      <c r="M23" s="165" t="s">
        <v>1649</v>
      </c>
      <c r="N23" s="165" t="s">
        <v>1648</v>
      </c>
      <c r="O23" s="165" t="s">
        <v>1648</v>
      </c>
      <c r="P23" s="165" t="s">
        <v>1648</v>
      </c>
      <c r="Q23" s="165" t="s">
        <v>1649</v>
      </c>
    </row>
    <row r="24" spans="1:17" ht="13.5" thickBot="1" x14ac:dyDescent="0.25">
      <c r="A24" s="165" t="s">
        <v>256</v>
      </c>
      <c r="B24" s="168" t="s">
        <v>255</v>
      </c>
      <c r="C24" s="165" t="s">
        <v>34</v>
      </c>
      <c r="D24" s="166">
        <v>1</v>
      </c>
      <c r="E24" s="166">
        <v>2</v>
      </c>
      <c r="F24" s="165" t="s">
        <v>1649</v>
      </c>
      <c r="G24" s="167">
        <v>0</v>
      </c>
      <c r="H24" s="165" t="s">
        <v>1615</v>
      </c>
      <c r="I24" s="165" t="s">
        <v>1649</v>
      </c>
      <c r="J24" s="165" t="s">
        <v>1615</v>
      </c>
      <c r="K24" s="165" t="s">
        <v>1648</v>
      </c>
      <c r="L24" s="165" t="s">
        <v>1649</v>
      </c>
      <c r="M24" s="165" t="s">
        <v>1649</v>
      </c>
      <c r="N24" s="165" t="s">
        <v>1649</v>
      </c>
      <c r="O24" s="165" t="s">
        <v>1648</v>
      </c>
      <c r="P24" s="165" t="s">
        <v>1649</v>
      </c>
      <c r="Q24" s="165" t="s">
        <v>1649</v>
      </c>
    </row>
    <row r="25" spans="1:17" ht="13.5" thickBot="1" x14ac:dyDescent="0.25">
      <c r="A25" s="165" t="s">
        <v>258</v>
      </c>
      <c r="B25" s="168" t="s">
        <v>257</v>
      </c>
      <c r="C25" s="165" t="s">
        <v>34</v>
      </c>
      <c r="D25" s="166">
        <v>4</v>
      </c>
      <c r="E25" s="166">
        <v>5</v>
      </c>
      <c r="F25" s="165" t="s">
        <v>1648</v>
      </c>
      <c r="G25" s="167">
        <v>3000</v>
      </c>
      <c r="H25" s="165" t="s">
        <v>1770</v>
      </c>
      <c r="I25" s="165" t="s">
        <v>1648</v>
      </c>
      <c r="J25" s="165" t="s">
        <v>1799</v>
      </c>
      <c r="K25" s="165" t="s">
        <v>1648</v>
      </c>
      <c r="L25" s="165" t="s">
        <v>1648</v>
      </c>
      <c r="M25" s="165" t="s">
        <v>1649</v>
      </c>
      <c r="N25" s="165" t="s">
        <v>1648</v>
      </c>
      <c r="O25" s="165" t="s">
        <v>1648</v>
      </c>
      <c r="P25" s="165" t="s">
        <v>1648</v>
      </c>
      <c r="Q25" s="165" t="s">
        <v>1648</v>
      </c>
    </row>
    <row r="26" spans="1:17" ht="13.5" thickBot="1" x14ac:dyDescent="0.25">
      <c r="A26" s="165" t="s">
        <v>264</v>
      </c>
      <c r="B26" s="168" t="s">
        <v>263</v>
      </c>
      <c r="C26" s="165" t="s">
        <v>34</v>
      </c>
      <c r="D26" s="166">
        <v>3</v>
      </c>
      <c r="E26" s="166">
        <v>8</v>
      </c>
      <c r="F26" s="165" t="s">
        <v>1648</v>
      </c>
      <c r="G26" s="167">
        <v>6700</v>
      </c>
      <c r="H26" s="165" t="s">
        <v>1801</v>
      </c>
      <c r="I26" s="165" t="s">
        <v>1648</v>
      </c>
      <c r="J26" s="165" t="s">
        <v>1801</v>
      </c>
      <c r="K26" s="165" t="s">
        <v>1649</v>
      </c>
      <c r="L26" s="165" t="s">
        <v>1649</v>
      </c>
      <c r="M26" s="165" t="s">
        <v>1649</v>
      </c>
      <c r="N26" s="165" t="s">
        <v>1649</v>
      </c>
      <c r="O26" s="165" t="s">
        <v>1648</v>
      </c>
      <c r="P26" s="165" t="s">
        <v>1648</v>
      </c>
      <c r="Q26" s="165" t="s">
        <v>1648</v>
      </c>
    </row>
    <row r="27" spans="1:17" ht="13.5" thickBot="1" x14ac:dyDescent="0.25">
      <c r="A27" s="165" t="s">
        <v>272</v>
      </c>
      <c r="B27" s="168" t="s">
        <v>271</v>
      </c>
      <c r="C27" s="165" t="s">
        <v>34</v>
      </c>
      <c r="D27" s="166">
        <v>5</v>
      </c>
      <c r="E27" s="166">
        <v>7</v>
      </c>
      <c r="F27" s="165" t="s">
        <v>1648</v>
      </c>
      <c r="G27" s="167">
        <v>0</v>
      </c>
      <c r="H27" s="165" t="s">
        <v>1740</v>
      </c>
      <c r="I27" s="165" t="s">
        <v>1648</v>
      </c>
      <c r="J27" s="165" t="s">
        <v>1740</v>
      </c>
      <c r="K27" s="165" t="s">
        <v>1648</v>
      </c>
      <c r="L27" s="165" t="s">
        <v>1648</v>
      </c>
      <c r="M27" s="165" t="s">
        <v>1649</v>
      </c>
      <c r="N27" s="165" t="s">
        <v>1648</v>
      </c>
      <c r="O27" s="165" t="s">
        <v>1648</v>
      </c>
      <c r="P27" s="165" t="s">
        <v>1648</v>
      </c>
      <c r="Q27" s="165" t="s">
        <v>1648</v>
      </c>
    </row>
    <row r="28" spans="1:17" ht="13.5" thickBot="1" x14ac:dyDescent="0.25">
      <c r="A28" s="165" t="s">
        <v>286</v>
      </c>
      <c r="B28" s="168" t="s">
        <v>285</v>
      </c>
      <c r="C28" s="165" t="s">
        <v>34</v>
      </c>
      <c r="D28" s="166">
        <v>3</v>
      </c>
      <c r="E28" s="166">
        <v>4</v>
      </c>
      <c r="F28" s="165" t="s">
        <v>1648</v>
      </c>
      <c r="G28" s="167">
        <v>24991</v>
      </c>
      <c r="H28" s="165" t="s">
        <v>1723</v>
      </c>
      <c r="I28" s="165" t="s">
        <v>1648</v>
      </c>
      <c r="J28" s="165" t="s">
        <v>1723</v>
      </c>
      <c r="K28" s="165" t="s">
        <v>1648</v>
      </c>
      <c r="L28" s="165" t="s">
        <v>1648</v>
      </c>
      <c r="M28" s="165" t="s">
        <v>1649</v>
      </c>
      <c r="N28" s="165" t="s">
        <v>1648</v>
      </c>
      <c r="O28" s="165" t="s">
        <v>1648</v>
      </c>
      <c r="P28" s="165" t="s">
        <v>1649</v>
      </c>
      <c r="Q28" s="165" t="s">
        <v>1649</v>
      </c>
    </row>
    <row r="29" spans="1:17" ht="13.5" thickBot="1" x14ac:dyDescent="0.25">
      <c r="A29" s="165" t="s">
        <v>298</v>
      </c>
      <c r="B29" s="168" t="s">
        <v>297</v>
      </c>
      <c r="C29" s="165" t="s">
        <v>34</v>
      </c>
      <c r="D29" s="166">
        <v>2</v>
      </c>
      <c r="E29" s="166">
        <v>8</v>
      </c>
      <c r="F29" s="165" t="s">
        <v>1648</v>
      </c>
      <c r="G29" s="167">
        <v>550</v>
      </c>
      <c r="H29" s="165" t="s">
        <v>1811</v>
      </c>
      <c r="I29" s="165" t="s">
        <v>1648</v>
      </c>
      <c r="J29" s="165" t="s">
        <v>1811</v>
      </c>
      <c r="K29" s="165" t="s">
        <v>1648</v>
      </c>
      <c r="L29" s="165" t="s">
        <v>1648</v>
      </c>
      <c r="M29" s="165" t="s">
        <v>1649</v>
      </c>
      <c r="N29" s="165" t="s">
        <v>1649</v>
      </c>
      <c r="O29" s="165" t="s">
        <v>1648</v>
      </c>
      <c r="P29" s="165" t="s">
        <v>1648</v>
      </c>
      <c r="Q29" s="165" t="s">
        <v>1648</v>
      </c>
    </row>
    <row r="30" spans="1:17" ht="13.5" thickBot="1" x14ac:dyDescent="0.25">
      <c r="A30" s="165" t="s">
        <v>306</v>
      </c>
      <c r="B30" s="168" t="s">
        <v>305</v>
      </c>
      <c r="C30" s="165" t="s">
        <v>34</v>
      </c>
      <c r="D30" s="166">
        <v>1</v>
      </c>
      <c r="E30" s="166">
        <v>1</v>
      </c>
      <c r="F30" s="165" t="s">
        <v>1648</v>
      </c>
      <c r="G30" s="167">
        <v>95</v>
      </c>
      <c r="H30" s="165" t="s">
        <v>1813</v>
      </c>
      <c r="I30" s="165" t="s">
        <v>1648</v>
      </c>
      <c r="J30" s="165" t="s">
        <v>1813</v>
      </c>
      <c r="K30" s="165" t="s">
        <v>1648</v>
      </c>
      <c r="L30" s="165" t="s">
        <v>1649</v>
      </c>
      <c r="M30" s="165" t="s">
        <v>1649</v>
      </c>
      <c r="N30" s="165" t="s">
        <v>1649</v>
      </c>
      <c r="O30" s="165" t="s">
        <v>1648</v>
      </c>
      <c r="P30" s="165" t="s">
        <v>1648</v>
      </c>
      <c r="Q30" s="165" t="s">
        <v>1648</v>
      </c>
    </row>
    <row r="31" spans="1:17" ht="13.5" thickBot="1" x14ac:dyDescent="0.25">
      <c r="A31" s="165" t="s">
        <v>314</v>
      </c>
      <c r="B31" s="168" t="s">
        <v>313</v>
      </c>
      <c r="C31" s="165" t="s">
        <v>34</v>
      </c>
      <c r="D31" s="166">
        <v>3</v>
      </c>
      <c r="E31" s="166">
        <v>4</v>
      </c>
      <c r="F31" s="165" t="s">
        <v>1648</v>
      </c>
      <c r="G31" s="167">
        <v>2400</v>
      </c>
      <c r="H31" s="165" t="s">
        <v>1815</v>
      </c>
      <c r="I31" s="165" t="s">
        <v>1648</v>
      </c>
      <c r="J31" s="165" t="s">
        <v>1815</v>
      </c>
      <c r="K31" s="165" t="s">
        <v>1648</v>
      </c>
      <c r="L31" s="165" t="s">
        <v>1648</v>
      </c>
      <c r="M31" s="165" t="s">
        <v>1649</v>
      </c>
      <c r="N31" s="165" t="s">
        <v>1649</v>
      </c>
      <c r="O31" s="165" t="s">
        <v>1648</v>
      </c>
      <c r="P31" s="165" t="s">
        <v>1648</v>
      </c>
      <c r="Q31" s="165" t="s">
        <v>1648</v>
      </c>
    </row>
    <row r="32" spans="1:17" ht="13.5" thickBot="1" x14ac:dyDescent="0.25">
      <c r="A32" s="165" t="s">
        <v>316</v>
      </c>
      <c r="B32" s="168" t="s">
        <v>315</v>
      </c>
      <c r="C32" s="165" t="s">
        <v>34</v>
      </c>
      <c r="D32" s="166">
        <v>1</v>
      </c>
      <c r="E32" s="166">
        <v>2</v>
      </c>
      <c r="F32" s="165" t="s">
        <v>1648</v>
      </c>
      <c r="G32" s="167">
        <v>3000</v>
      </c>
      <c r="H32" s="165" t="s">
        <v>1816</v>
      </c>
      <c r="I32" s="165" t="s">
        <v>1648</v>
      </c>
      <c r="J32" s="165" t="s">
        <v>1817</v>
      </c>
      <c r="K32" s="165" t="s">
        <v>1649</v>
      </c>
      <c r="L32" s="165" t="s">
        <v>1648</v>
      </c>
      <c r="M32" s="165" t="s">
        <v>1649</v>
      </c>
      <c r="N32" s="165" t="s">
        <v>1649</v>
      </c>
      <c r="O32" s="165" t="s">
        <v>1648</v>
      </c>
      <c r="P32" s="165" t="s">
        <v>1648</v>
      </c>
      <c r="Q32" s="165" t="s">
        <v>1648</v>
      </c>
    </row>
    <row r="33" spans="1:17" ht="13.5" thickBot="1" x14ac:dyDescent="0.25">
      <c r="A33" s="165" t="s">
        <v>364</v>
      </c>
      <c r="B33" s="168" t="s">
        <v>363</v>
      </c>
      <c r="C33" s="165" t="s">
        <v>34</v>
      </c>
      <c r="D33" s="166">
        <v>5</v>
      </c>
      <c r="E33" s="166">
        <v>14</v>
      </c>
      <c r="F33" s="165" t="s">
        <v>1648</v>
      </c>
      <c r="G33" s="167">
        <v>622</v>
      </c>
      <c r="H33" s="165" t="s">
        <v>1744</v>
      </c>
      <c r="I33" s="165" t="s">
        <v>1648</v>
      </c>
      <c r="J33" s="165" t="s">
        <v>1744</v>
      </c>
      <c r="K33" s="165" t="s">
        <v>1648</v>
      </c>
      <c r="L33" s="165" t="s">
        <v>1648</v>
      </c>
      <c r="M33" s="165" t="s">
        <v>1649</v>
      </c>
      <c r="N33" s="165" t="s">
        <v>1649</v>
      </c>
      <c r="O33" s="165" t="s">
        <v>1648</v>
      </c>
      <c r="P33" s="165" t="s">
        <v>1648</v>
      </c>
      <c r="Q33" s="165" t="s">
        <v>1648</v>
      </c>
    </row>
    <row r="34" spans="1:17" ht="13.5" thickBot="1" x14ac:dyDescent="0.25">
      <c r="A34" s="165" t="s">
        <v>380</v>
      </c>
      <c r="B34" s="168" t="s">
        <v>379</v>
      </c>
      <c r="C34" s="165" t="s">
        <v>34</v>
      </c>
      <c r="D34" s="166">
        <v>3</v>
      </c>
      <c r="E34" s="166">
        <v>4</v>
      </c>
      <c r="F34" s="165" t="s">
        <v>1648</v>
      </c>
      <c r="G34" s="167">
        <v>2500</v>
      </c>
      <c r="H34" s="165" t="s">
        <v>1834</v>
      </c>
      <c r="I34" s="165" t="s">
        <v>1648</v>
      </c>
      <c r="J34" s="165" t="s">
        <v>1834</v>
      </c>
      <c r="K34" s="165" t="s">
        <v>1648</v>
      </c>
      <c r="L34" s="165" t="s">
        <v>1648</v>
      </c>
      <c r="M34" s="165" t="s">
        <v>1649</v>
      </c>
      <c r="N34" s="165" t="s">
        <v>1649</v>
      </c>
      <c r="O34" s="165" t="s">
        <v>1648</v>
      </c>
      <c r="P34" s="165" t="s">
        <v>1648</v>
      </c>
      <c r="Q34" s="165" t="s">
        <v>1649</v>
      </c>
    </row>
    <row r="35" spans="1:17" ht="13.5" thickBot="1" x14ac:dyDescent="0.25">
      <c r="A35" s="165" t="s">
        <v>412</v>
      </c>
      <c r="B35" s="168" t="s">
        <v>411</v>
      </c>
      <c r="C35" s="165" t="s">
        <v>34</v>
      </c>
      <c r="D35" s="166">
        <v>2</v>
      </c>
      <c r="E35" s="166">
        <v>16</v>
      </c>
      <c r="F35" s="165" t="s">
        <v>1648</v>
      </c>
      <c r="G35" s="167">
        <v>5000</v>
      </c>
      <c r="H35" s="165" t="s">
        <v>1776</v>
      </c>
      <c r="I35" s="165" t="s">
        <v>1648</v>
      </c>
      <c r="J35" s="165" t="s">
        <v>1776</v>
      </c>
      <c r="K35" s="165" t="s">
        <v>1648</v>
      </c>
      <c r="L35" s="165" t="s">
        <v>1648</v>
      </c>
      <c r="M35" s="165" t="s">
        <v>1649</v>
      </c>
      <c r="N35" s="165" t="s">
        <v>1648</v>
      </c>
      <c r="O35" s="165" t="s">
        <v>1648</v>
      </c>
      <c r="P35" s="165" t="s">
        <v>1648</v>
      </c>
      <c r="Q35" s="165" t="s">
        <v>1648</v>
      </c>
    </row>
    <row r="36" spans="1:17" ht="13.5" thickBot="1" x14ac:dyDescent="0.25">
      <c r="A36" s="165" t="s">
        <v>419</v>
      </c>
      <c r="B36" s="168" t="s">
        <v>418</v>
      </c>
      <c r="C36" s="165" t="s">
        <v>34</v>
      </c>
      <c r="D36" s="166">
        <v>3</v>
      </c>
      <c r="E36" s="166">
        <v>2</v>
      </c>
      <c r="F36" s="165" t="s">
        <v>1648</v>
      </c>
      <c r="G36" s="167">
        <v>450</v>
      </c>
      <c r="H36" s="165" t="s">
        <v>1846</v>
      </c>
      <c r="I36" s="165" t="s">
        <v>1648</v>
      </c>
      <c r="J36" s="165" t="s">
        <v>1846</v>
      </c>
      <c r="K36" s="165" t="s">
        <v>1649</v>
      </c>
      <c r="L36" s="165" t="s">
        <v>1648</v>
      </c>
      <c r="M36" s="165" t="s">
        <v>1649</v>
      </c>
      <c r="N36" s="165" t="s">
        <v>1649</v>
      </c>
      <c r="O36" s="165" t="s">
        <v>1648</v>
      </c>
      <c r="P36" s="165" t="s">
        <v>1648</v>
      </c>
      <c r="Q36" s="165" t="s">
        <v>1648</v>
      </c>
    </row>
    <row r="37" spans="1:17" ht="13.5" thickBot="1" x14ac:dyDescent="0.25">
      <c r="A37" s="165" t="s">
        <v>421</v>
      </c>
      <c r="B37" s="168" t="s">
        <v>420</v>
      </c>
      <c r="C37" s="165" t="s">
        <v>34</v>
      </c>
      <c r="D37" s="166">
        <v>4</v>
      </c>
      <c r="E37" s="166">
        <v>7</v>
      </c>
      <c r="F37" s="165" t="s">
        <v>1648</v>
      </c>
      <c r="G37" s="167">
        <v>5000</v>
      </c>
      <c r="H37" s="165" t="s">
        <v>1847</v>
      </c>
      <c r="I37" s="165" t="s">
        <v>1648</v>
      </c>
      <c r="J37" s="165" t="s">
        <v>1848</v>
      </c>
      <c r="K37" s="165" t="s">
        <v>1648</v>
      </c>
      <c r="L37" s="165" t="s">
        <v>1648</v>
      </c>
      <c r="M37" s="165" t="s">
        <v>1649</v>
      </c>
      <c r="N37" s="165" t="s">
        <v>1649</v>
      </c>
      <c r="O37" s="165" t="s">
        <v>1648</v>
      </c>
      <c r="P37" s="165" t="s">
        <v>1648</v>
      </c>
      <c r="Q37" s="165" t="s">
        <v>1648</v>
      </c>
    </row>
    <row r="38" spans="1:17" ht="13.5" thickBot="1" x14ac:dyDescent="0.25">
      <c r="A38" s="165" t="s">
        <v>425</v>
      </c>
      <c r="B38" s="168" t="s">
        <v>424</v>
      </c>
      <c r="C38" s="165" t="s">
        <v>34</v>
      </c>
      <c r="D38" s="166">
        <v>4</v>
      </c>
      <c r="E38" s="166">
        <v>8</v>
      </c>
      <c r="F38" s="165" t="s">
        <v>1648</v>
      </c>
      <c r="G38" s="167">
        <v>3699</v>
      </c>
      <c r="H38" s="165" t="s">
        <v>1756</v>
      </c>
      <c r="I38" s="165" t="s">
        <v>1648</v>
      </c>
      <c r="J38" s="165" t="s">
        <v>1756</v>
      </c>
      <c r="K38" s="165" t="s">
        <v>1648</v>
      </c>
      <c r="L38" s="165" t="s">
        <v>1648</v>
      </c>
      <c r="M38" s="165" t="s">
        <v>1649</v>
      </c>
      <c r="N38" s="165" t="s">
        <v>1649</v>
      </c>
      <c r="O38" s="165" t="s">
        <v>1648</v>
      </c>
      <c r="P38" s="165" t="s">
        <v>1648</v>
      </c>
      <c r="Q38" s="165" t="s">
        <v>1648</v>
      </c>
    </row>
    <row r="39" spans="1:17" ht="13.5" thickBot="1" x14ac:dyDescent="0.25">
      <c r="A39" s="165" t="s">
        <v>435</v>
      </c>
      <c r="B39" s="168" t="s">
        <v>434</v>
      </c>
      <c r="C39" s="165" t="s">
        <v>34</v>
      </c>
      <c r="D39" s="166">
        <v>1</v>
      </c>
      <c r="E39" s="166">
        <v>4</v>
      </c>
      <c r="F39" s="165" t="s">
        <v>1648</v>
      </c>
      <c r="G39" s="167">
        <v>2551</v>
      </c>
      <c r="H39" s="165" t="s">
        <v>1791</v>
      </c>
      <c r="I39" s="165" t="s">
        <v>1648</v>
      </c>
      <c r="J39" s="165" t="s">
        <v>1791</v>
      </c>
      <c r="K39" s="165" t="s">
        <v>1649</v>
      </c>
      <c r="L39" s="165" t="s">
        <v>1648</v>
      </c>
      <c r="M39" s="165" t="s">
        <v>1649</v>
      </c>
      <c r="N39" s="165" t="s">
        <v>1649</v>
      </c>
      <c r="O39" s="165" t="s">
        <v>1648</v>
      </c>
      <c r="P39" s="165" t="s">
        <v>1648</v>
      </c>
      <c r="Q39" s="165" t="s">
        <v>1648</v>
      </c>
    </row>
    <row r="40" spans="1:17" ht="13.5" thickBot="1" x14ac:dyDescent="0.25">
      <c r="A40" s="165" t="s">
        <v>441</v>
      </c>
      <c r="B40" s="168" t="s">
        <v>440</v>
      </c>
      <c r="C40" s="165" t="s">
        <v>34</v>
      </c>
      <c r="D40" s="166">
        <v>3</v>
      </c>
      <c r="E40" s="166">
        <v>5</v>
      </c>
      <c r="F40" s="165" t="s">
        <v>1648</v>
      </c>
      <c r="G40" s="167">
        <v>2000</v>
      </c>
      <c r="H40" s="165" t="s">
        <v>1811</v>
      </c>
      <c r="I40" s="165" t="s">
        <v>1648</v>
      </c>
      <c r="J40" s="165" t="s">
        <v>1811</v>
      </c>
      <c r="K40" s="165" t="s">
        <v>1649</v>
      </c>
      <c r="L40" s="165" t="s">
        <v>1648</v>
      </c>
      <c r="M40" s="165" t="s">
        <v>1649</v>
      </c>
      <c r="N40" s="165" t="s">
        <v>1649</v>
      </c>
      <c r="O40" s="165" t="s">
        <v>1648</v>
      </c>
      <c r="P40" s="165" t="s">
        <v>1648</v>
      </c>
      <c r="Q40" s="165" t="s">
        <v>1648</v>
      </c>
    </row>
    <row r="41" spans="1:17" ht="13.5" thickBot="1" x14ac:dyDescent="0.25">
      <c r="A41" s="165" t="s">
        <v>454</v>
      </c>
      <c r="B41" s="168" t="s">
        <v>453</v>
      </c>
      <c r="C41" s="165" t="s">
        <v>34</v>
      </c>
      <c r="D41" s="166">
        <v>4</v>
      </c>
      <c r="E41" s="166">
        <v>5</v>
      </c>
      <c r="F41" s="165" t="s">
        <v>1648</v>
      </c>
      <c r="G41" s="167">
        <v>3200</v>
      </c>
      <c r="H41" s="165" t="s">
        <v>1791</v>
      </c>
      <c r="I41" s="165" t="s">
        <v>1648</v>
      </c>
      <c r="J41" s="165" t="s">
        <v>1791</v>
      </c>
      <c r="K41" s="165" t="s">
        <v>1648</v>
      </c>
      <c r="L41" s="165" t="s">
        <v>1648</v>
      </c>
      <c r="M41" s="165" t="s">
        <v>1649</v>
      </c>
      <c r="N41" s="165" t="s">
        <v>1648</v>
      </c>
      <c r="O41" s="165" t="s">
        <v>1648</v>
      </c>
      <c r="P41" s="165" t="s">
        <v>1649</v>
      </c>
      <c r="Q41" s="165" t="s">
        <v>1649</v>
      </c>
    </row>
    <row r="42" spans="1:17" ht="13.5" thickBot="1" x14ac:dyDescent="0.25">
      <c r="A42" s="165" t="s">
        <v>460</v>
      </c>
      <c r="B42" s="168" t="s">
        <v>459</v>
      </c>
      <c r="C42" s="165" t="s">
        <v>34</v>
      </c>
      <c r="D42" s="166">
        <v>2</v>
      </c>
      <c r="E42" s="166">
        <v>4</v>
      </c>
      <c r="F42" s="165" t="s">
        <v>1648</v>
      </c>
      <c r="G42" s="167">
        <v>2700</v>
      </c>
      <c r="H42" s="165" t="s">
        <v>1792</v>
      </c>
      <c r="I42" s="165" t="s">
        <v>1648</v>
      </c>
      <c r="J42" s="165" t="s">
        <v>1792</v>
      </c>
      <c r="K42" s="165" t="s">
        <v>1649</v>
      </c>
      <c r="L42" s="165" t="s">
        <v>1648</v>
      </c>
      <c r="M42" s="165" t="s">
        <v>1649</v>
      </c>
      <c r="N42" s="165" t="s">
        <v>1648</v>
      </c>
      <c r="O42" s="165" t="s">
        <v>1648</v>
      </c>
      <c r="P42" s="165" t="s">
        <v>1648</v>
      </c>
      <c r="Q42" s="165" t="s">
        <v>1648</v>
      </c>
    </row>
    <row r="43" spans="1:17" ht="13.5" thickBot="1" x14ac:dyDescent="0.25">
      <c r="A43" s="165" t="s">
        <v>476</v>
      </c>
      <c r="B43" s="168" t="s">
        <v>475</v>
      </c>
      <c r="C43" s="165" t="s">
        <v>34</v>
      </c>
      <c r="D43" s="166">
        <v>3</v>
      </c>
      <c r="E43" s="166">
        <v>4</v>
      </c>
      <c r="F43" s="165" t="s">
        <v>1648</v>
      </c>
      <c r="G43" s="167">
        <v>375</v>
      </c>
      <c r="H43" s="165" t="s">
        <v>1613</v>
      </c>
      <c r="I43" s="165" t="s">
        <v>1648</v>
      </c>
      <c r="J43" s="165" t="s">
        <v>1613</v>
      </c>
      <c r="K43" s="165" t="s">
        <v>1648</v>
      </c>
      <c r="L43" s="165" t="s">
        <v>1648</v>
      </c>
      <c r="M43" s="165" t="s">
        <v>1649</v>
      </c>
      <c r="N43" s="165" t="s">
        <v>1649</v>
      </c>
      <c r="O43" s="165" t="s">
        <v>1648</v>
      </c>
      <c r="P43" s="165" t="s">
        <v>1649</v>
      </c>
      <c r="Q43" s="165" t="s">
        <v>1648</v>
      </c>
    </row>
    <row r="44" spans="1:17" ht="13.5" thickBot="1" x14ac:dyDescent="0.25">
      <c r="A44" s="165" t="s">
        <v>498</v>
      </c>
      <c r="B44" s="168" t="s">
        <v>497</v>
      </c>
      <c r="C44" s="165" t="s">
        <v>34</v>
      </c>
      <c r="D44" s="166">
        <v>4</v>
      </c>
      <c r="E44" s="166">
        <v>7</v>
      </c>
      <c r="F44" s="165" t="s">
        <v>1648</v>
      </c>
      <c r="G44" s="167">
        <v>2500</v>
      </c>
      <c r="H44" s="165" t="s">
        <v>1747</v>
      </c>
      <c r="I44" s="165" t="s">
        <v>1648</v>
      </c>
      <c r="J44" s="165" t="s">
        <v>1791</v>
      </c>
      <c r="K44" s="165" t="s">
        <v>1648</v>
      </c>
      <c r="L44" s="165" t="s">
        <v>1648</v>
      </c>
      <c r="M44" s="165" t="s">
        <v>1649</v>
      </c>
      <c r="N44" s="165" t="s">
        <v>1649</v>
      </c>
      <c r="O44" s="165" t="s">
        <v>1648</v>
      </c>
      <c r="P44" s="165" t="s">
        <v>1648</v>
      </c>
      <c r="Q44" s="165" t="s">
        <v>1648</v>
      </c>
    </row>
    <row r="45" spans="1:17" ht="13.5" thickBot="1" x14ac:dyDescent="0.25">
      <c r="A45" s="165" t="s">
        <v>518</v>
      </c>
      <c r="B45" s="168" t="s">
        <v>517</v>
      </c>
      <c r="C45" s="165" t="s">
        <v>34</v>
      </c>
      <c r="D45" s="166">
        <v>4</v>
      </c>
      <c r="E45" s="166">
        <v>3</v>
      </c>
      <c r="F45" s="165" t="s">
        <v>1648</v>
      </c>
      <c r="G45" s="167">
        <v>0</v>
      </c>
      <c r="H45" s="165" t="s">
        <v>1613</v>
      </c>
      <c r="I45" s="165" t="s">
        <v>1648</v>
      </c>
      <c r="J45" s="165" t="s">
        <v>1613</v>
      </c>
      <c r="K45" s="165" t="s">
        <v>1648</v>
      </c>
      <c r="L45" s="165" t="s">
        <v>1648</v>
      </c>
      <c r="M45" s="165" t="s">
        <v>1649</v>
      </c>
      <c r="N45" s="165" t="s">
        <v>1649</v>
      </c>
      <c r="O45" s="165" t="s">
        <v>1648</v>
      </c>
      <c r="P45" s="165" t="s">
        <v>1648</v>
      </c>
      <c r="Q45" s="165" t="s">
        <v>1649</v>
      </c>
    </row>
    <row r="46" spans="1:17" ht="13.5" thickBot="1" x14ac:dyDescent="0.25">
      <c r="A46" s="165" t="s">
        <v>534</v>
      </c>
      <c r="B46" s="168" t="s">
        <v>533</v>
      </c>
      <c r="C46" s="165" t="s">
        <v>34</v>
      </c>
      <c r="D46" s="166">
        <v>4</v>
      </c>
      <c r="E46" s="166">
        <v>12</v>
      </c>
      <c r="F46" s="165" t="s">
        <v>1648</v>
      </c>
      <c r="G46" s="167">
        <v>8409</v>
      </c>
      <c r="H46" s="165" t="s">
        <v>1728</v>
      </c>
      <c r="I46" s="165" t="s">
        <v>1648</v>
      </c>
      <c r="J46" s="165" t="s">
        <v>1872</v>
      </c>
      <c r="K46" s="165" t="s">
        <v>1648</v>
      </c>
      <c r="L46" s="165" t="s">
        <v>1648</v>
      </c>
      <c r="M46" s="165" t="s">
        <v>1649</v>
      </c>
      <c r="N46" s="165" t="s">
        <v>1648</v>
      </c>
      <c r="O46" s="165" t="s">
        <v>1648</v>
      </c>
      <c r="P46" s="165" t="s">
        <v>1648</v>
      </c>
      <c r="Q46" s="165" t="s">
        <v>1648</v>
      </c>
    </row>
    <row r="47" spans="1:17" ht="13.5" thickBot="1" x14ac:dyDescent="0.25">
      <c r="A47" s="165" t="s">
        <v>548</v>
      </c>
      <c r="B47" s="168" t="s">
        <v>547</v>
      </c>
      <c r="C47" s="165" t="s">
        <v>34</v>
      </c>
      <c r="D47" s="166">
        <v>3</v>
      </c>
      <c r="E47" s="166">
        <v>13</v>
      </c>
      <c r="F47" s="165" t="s">
        <v>1648</v>
      </c>
      <c r="G47" s="167">
        <v>3800</v>
      </c>
      <c r="H47" s="165" t="s">
        <v>1737</v>
      </c>
      <c r="I47" s="165" t="s">
        <v>1648</v>
      </c>
      <c r="J47" s="165" t="s">
        <v>1737</v>
      </c>
      <c r="K47" s="165" t="s">
        <v>1648</v>
      </c>
      <c r="L47" s="165" t="s">
        <v>1648</v>
      </c>
      <c r="M47" s="165" t="s">
        <v>1649</v>
      </c>
      <c r="N47" s="165" t="s">
        <v>1648</v>
      </c>
      <c r="O47" s="165" t="s">
        <v>1648</v>
      </c>
      <c r="P47" s="165" t="s">
        <v>1648</v>
      </c>
      <c r="Q47" s="165" t="s">
        <v>1648</v>
      </c>
    </row>
    <row r="48" spans="1:17" ht="13.5" thickBot="1" x14ac:dyDescent="0.25">
      <c r="A48" s="165" t="s">
        <v>552</v>
      </c>
      <c r="B48" s="168" t="s">
        <v>551</v>
      </c>
      <c r="C48" s="165" t="s">
        <v>34</v>
      </c>
      <c r="D48" s="166">
        <v>1</v>
      </c>
      <c r="E48" s="166">
        <v>4</v>
      </c>
      <c r="F48" s="165" t="s">
        <v>1648</v>
      </c>
      <c r="G48" s="167">
        <v>2500</v>
      </c>
      <c r="H48" s="165" t="s">
        <v>1613</v>
      </c>
      <c r="I48" s="165" t="s">
        <v>1648</v>
      </c>
      <c r="J48" s="165" t="s">
        <v>1613</v>
      </c>
      <c r="K48" s="165" t="s">
        <v>1649</v>
      </c>
      <c r="L48" s="165" t="s">
        <v>1648</v>
      </c>
      <c r="M48" s="165" t="s">
        <v>1649</v>
      </c>
      <c r="N48" s="165" t="s">
        <v>1648</v>
      </c>
      <c r="O48" s="165" t="s">
        <v>1648</v>
      </c>
      <c r="P48" s="165" t="s">
        <v>1649</v>
      </c>
      <c r="Q48" s="165" t="s">
        <v>1649</v>
      </c>
    </row>
    <row r="49" spans="1:17" ht="13.5" thickBot="1" x14ac:dyDescent="0.25">
      <c r="A49" s="165" t="s">
        <v>574</v>
      </c>
      <c r="B49" s="168" t="s">
        <v>573</v>
      </c>
      <c r="C49" s="165" t="s">
        <v>34</v>
      </c>
      <c r="D49" s="166">
        <v>5</v>
      </c>
      <c r="E49" s="166">
        <v>12</v>
      </c>
      <c r="F49" s="165" t="s">
        <v>1648</v>
      </c>
      <c r="G49" s="167">
        <v>2000</v>
      </c>
      <c r="H49" s="165" t="s">
        <v>1745</v>
      </c>
      <c r="I49" s="165" t="s">
        <v>1648</v>
      </c>
      <c r="J49" s="165" t="s">
        <v>1745</v>
      </c>
      <c r="K49" s="165" t="s">
        <v>1648</v>
      </c>
      <c r="L49" s="165" t="s">
        <v>1648</v>
      </c>
      <c r="M49" s="165" t="s">
        <v>1649</v>
      </c>
      <c r="N49" s="165" t="s">
        <v>1649</v>
      </c>
      <c r="O49" s="165" t="s">
        <v>1648</v>
      </c>
      <c r="P49" s="165" t="s">
        <v>1648</v>
      </c>
      <c r="Q49" s="165" t="s">
        <v>1648</v>
      </c>
    </row>
    <row r="50" spans="1:17" ht="13.5" thickBot="1" x14ac:dyDescent="0.25">
      <c r="A50" s="165" t="s">
        <v>612</v>
      </c>
      <c r="B50" s="168" t="s">
        <v>611</v>
      </c>
      <c r="C50" s="165" t="s">
        <v>34</v>
      </c>
      <c r="D50" s="166">
        <v>3</v>
      </c>
      <c r="E50" s="166">
        <v>6</v>
      </c>
      <c r="F50" s="165" t="s">
        <v>1648</v>
      </c>
      <c r="G50" s="167">
        <v>0</v>
      </c>
      <c r="H50" s="165" t="s">
        <v>1885</v>
      </c>
      <c r="I50" s="165" t="s">
        <v>1648</v>
      </c>
      <c r="J50" s="165" t="s">
        <v>1885</v>
      </c>
      <c r="K50" s="165" t="s">
        <v>1648</v>
      </c>
      <c r="L50" s="165" t="s">
        <v>1648</v>
      </c>
      <c r="M50" s="165" t="s">
        <v>1649</v>
      </c>
      <c r="N50" s="165" t="s">
        <v>1648</v>
      </c>
      <c r="O50" s="165" t="s">
        <v>1648</v>
      </c>
      <c r="P50" s="165" t="s">
        <v>1648</v>
      </c>
      <c r="Q50" s="165" t="s">
        <v>1648</v>
      </c>
    </row>
    <row r="51" spans="1:17" ht="13.5" thickBot="1" x14ac:dyDescent="0.25">
      <c r="A51" s="165" t="s">
        <v>622</v>
      </c>
      <c r="B51" s="168" t="s">
        <v>621</v>
      </c>
      <c r="C51" s="165" t="s">
        <v>34</v>
      </c>
      <c r="D51" s="166">
        <v>1</v>
      </c>
      <c r="E51" s="166">
        <v>2</v>
      </c>
      <c r="F51" s="165" t="s">
        <v>1649</v>
      </c>
      <c r="G51" s="167">
        <v>0</v>
      </c>
      <c r="H51" s="165" t="s">
        <v>1887</v>
      </c>
      <c r="I51" s="165" t="s">
        <v>1649</v>
      </c>
      <c r="J51" s="165" t="s">
        <v>1887</v>
      </c>
      <c r="K51" s="165" t="s">
        <v>1649</v>
      </c>
      <c r="L51" s="165" t="s">
        <v>1649</v>
      </c>
      <c r="M51" s="165" t="s">
        <v>1649</v>
      </c>
      <c r="N51" s="165" t="s">
        <v>1649</v>
      </c>
      <c r="O51" s="165" t="s">
        <v>1648</v>
      </c>
      <c r="P51" s="165" t="s">
        <v>1649</v>
      </c>
      <c r="Q51" s="165" t="s">
        <v>1649</v>
      </c>
    </row>
    <row r="52" spans="1:17" ht="13.5" thickBot="1" x14ac:dyDescent="0.25">
      <c r="A52" s="165" t="s">
        <v>624</v>
      </c>
      <c r="B52" s="168" t="s">
        <v>623</v>
      </c>
      <c r="C52" s="165" t="s">
        <v>34</v>
      </c>
      <c r="D52" s="166">
        <v>2</v>
      </c>
      <c r="E52" s="166">
        <v>7</v>
      </c>
      <c r="F52" s="165" t="s">
        <v>1648</v>
      </c>
      <c r="G52" s="167">
        <v>2500</v>
      </c>
      <c r="H52" s="165" t="s">
        <v>1888</v>
      </c>
      <c r="I52" s="165" t="s">
        <v>1648</v>
      </c>
      <c r="J52" s="165" t="s">
        <v>1888</v>
      </c>
      <c r="K52" s="165" t="s">
        <v>1648</v>
      </c>
      <c r="L52" s="165" t="s">
        <v>1648</v>
      </c>
      <c r="M52" s="165" t="s">
        <v>1649</v>
      </c>
      <c r="N52" s="165" t="s">
        <v>1649</v>
      </c>
      <c r="O52" s="165" t="s">
        <v>1648</v>
      </c>
      <c r="P52" s="165" t="s">
        <v>1648</v>
      </c>
      <c r="Q52" s="165" t="s">
        <v>1649</v>
      </c>
    </row>
    <row r="53" spans="1:17" ht="13.5" thickBot="1" x14ac:dyDescent="0.25">
      <c r="A53" s="165" t="s">
        <v>628</v>
      </c>
      <c r="B53" s="168" t="s">
        <v>627</v>
      </c>
      <c r="C53" s="165" t="s">
        <v>34</v>
      </c>
      <c r="D53" s="166">
        <v>4</v>
      </c>
      <c r="E53" s="166">
        <v>16</v>
      </c>
      <c r="F53" s="165" t="s">
        <v>1648</v>
      </c>
      <c r="G53" s="167">
        <v>3000</v>
      </c>
      <c r="H53" s="165" t="s">
        <v>1613</v>
      </c>
      <c r="I53" s="165" t="s">
        <v>1648</v>
      </c>
      <c r="J53" s="165" t="s">
        <v>1613</v>
      </c>
      <c r="K53" s="165" t="s">
        <v>1649</v>
      </c>
      <c r="L53" s="165" t="s">
        <v>1648</v>
      </c>
      <c r="M53" s="165" t="s">
        <v>1649</v>
      </c>
      <c r="N53" s="165" t="s">
        <v>1649</v>
      </c>
      <c r="O53" s="165" t="s">
        <v>1648</v>
      </c>
      <c r="P53" s="165" t="s">
        <v>1648</v>
      </c>
      <c r="Q53" s="165" t="s">
        <v>1648</v>
      </c>
    </row>
    <row r="54" spans="1:17" ht="13.5" thickBot="1" x14ac:dyDescent="0.25">
      <c r="A54" s="165" t="s">
        <v>630</v>
      </c>
      <c r="B54" s="168" t="s">
        <v>629</v>
      </c>
      <c r="C54" s="165" t="s">
        <v>34</v>
      </c>
      <c r="D54" s="166">
        <v>1</v>
      </c>
      <c r="E54" s="166">
        <v>8</v>
      </c>
      <c r="F54" s="165" t="s">
        <v>1649</v>
      </c>
      <c r="G54" s="167">
        <v>0</v>
      </c>
      <c r="H54" s="165" t="s">
        <v>1613</v>
      </c>
      <c r="I54" s="165" t="s">
        <v>1649</v>
      </c>
      <c r="J54" s="165" t="s">
        <v>1613</v>
      </c>
      <c r="K54" s="165" t="s">
        <v>1649</v>
      </c>
      <c r="L54" s="165" t="s">
        <v>1649</v>
      </c>
      <c r="M54" s="165" t="s">
        <v>1649</v>
      </c>
      <c r="N54" s="165" t="s">
        <v>1649</v>
      </c>
      <c r="O54" s="165" t="s">
        <v>1648</v>
      </c>
      <c r="P54" s="165" t="s">
        <v>1648</v>
      </c>
      <c r="Q54" s="165" t="s">
        <v>1648</v>
      </c>
    </row>
    <row r="55" spans="1:17" ht="13.5" thickBot="1" x14ac:dyDescent="0.25">
      <c r="A55" s="165" t="s">
        <v>674</v>
      </c>
      <c r="B55" s="168" t="s">
        <v>673</v>
      </c>
      <c r="C55" s="165" t="s">
        <v>34</v>
      </c>
      <c r="D55" s="166">
        <v>8</v>
      </c>
      <c r="E55" s="166">
        <v>10</v>
      </c>
      <c r="F55" s="165" t="s">
        <v>1648</v>
      </c>
      <c r="G55" s="167">
        <v>1500</v>
      </c>
      <c r="H55" s="165" t="s">
        <v>1896</v>
      </c>
      <c r="I55" s="165" t="s">
        <v>1648</v>
      </c>
      <c r="J55" s="165" t="s">
        <v>1896</v>
      </c>
      <c r="K55" s="165" t="s">
        <v>1648</v>
      </c>
      <c r="L55" s="165" t="s">
        <v>1648</v>
      </c>
      <c r="M55" s="165" t="s">
        <v>1649</v>
      </c>
      <c r="N55" s="165" t="s">
        <v>1649</v>
      </c>
      <c r="O55" s="165" t="s">
        <v>1648</v>
      </c>
      <c r="P55" s="165" t="s">
        <v>1648</v>
      </c>
      <c r="Q55" s="165" t="s">
        <v>1648</v>
      </c>
    </row>
    <row r="56" spans="1:17" ht="13.5" thickBot="1" x14ac:dyDescent="0.25">
      <c r="A56" s="165" t="s">
        <v>680</v>
      </c>
      <c r="B56" s="168" t="s">
        <v>679</v>
      </c>
      <c r="C56" s="165" t="s">
        <v>34</v>
      </c>
      <c r="D56" s="166">
        <v>2</v>
      </c>
      <c r="E56" s="166">
        <v>5</v>
      </c>
      <c r="F56" s="165" t="s">
        <v>1648</v>
      </c>
      <c r="G56" s="167">
        <v>1700</v>
      </c>
      <c r="H56" s="165" t="s">
        <v>1747</v>
      </c>
      <c r="I56" s="165" t="s">
        <v>1648</v>
      </c>
      <c r="J56" s="165" t="s">
        <v>1747</v>
      </c>
      <c r="K56" s="165" t="s">
        <v>1648</v>
      </c>
      <c r="L56" s="165" t="s">
        <v>1648</v>
      </c>
      <c r="M56" s="165" t="s">
        <v>1649</v>
      </c>
      <c r="N56" s="165" t="s">
        <v>1649</v>
      </c>
      <c r="O56" s="165" t="s">
        <v>1648</v>
      </c>
      <c r="P56" s="165" t="s">
        <v>1648</v>
      </c>
      <c r="Q56" s="165" t="s">
        <v>1648</v>
      </c>
    </row>
    <row r="57" spans="1:17" ht="13.5" thickBot="1" x14ac:dyDescent="0.25">
      <c r="A57" s="165" t="s">
        <v>690</v>
      </c>
      <c r="B57" s="168" t="s">
        <v>689</v>
      </c>
      <c r="C57" s="165" t="s">
        <v>34</v>
      </c>
      <c r="D57" s="166">
        <v>2</v>
      </c>
      <c r="E57" s="166">
        <v>5</v>
      </c>
      <c r="F57" s="165" t="s">
        <v>1648</v>
      </c>
      <c r="G57" s="167">
        <v>5000</v>
      </c>
      <c r="H57" s="165" t="s">
        <v>1811</v>
      </c>
      <c r="I57" s="165" t="s">
        <v>1648</v>
      </c>
      <c r="J57" s="165" t="s">
        <v>1811</v>
      </c>
      <c r="K57" s="165" t="s">
        <v>1648</v>
      </c>
      <c r="L57" s="165" t="s">
        <v>1648</v>
      </c>
      <c r="M57" s="165" t="s">
        <v>1649</v>
      </c>
      <c r="N57" s="165" t="s">
        <v>1649</v>
      </c>
      <c r="O57" s="165" t="s">
        <v>1648</v>
      </c>
      <c r="P57" s="165" t="s">
        <v>1648</v>
      </c>
      <c r="Q57" s="165" t="s">
        <v>1648</v>
      </c>
    </row>
    <row r="58" spans="1:17" ht="13.5" thickBot="1" x14ac:dyDescent="0.25">
      <c r="A58" s="165" t="s">
        <v>692</v>
      </c>
      <c r="B58" s="168" t="s">
        <v>691</v>
      </c>
      <c r="C58" s="165" t="s">
        <v>34</v>
      </c>
      <c r="D58" s="166">
        <v>2</v>
      </c>
      <c r="E58" s="166">
        <v>2</v>
      </c>
      <c r="F58" s="165" t="s">
        <v>1648</v>
      </c>
      <c r="G58" s="167">
        <v>3175</v>
      </c>
      <c r="H58" s="165" t="s">
        <v>1898</v>
      </c>
      <c r="I58" s="165" t="s">
        <v>1648</v>
      </c>
      <c r="J58" s="165" t="s">
        <v>1898</v>
      </c>
      <c r="K58" s="165" t="s">
        <v>1648</v>
      </c>
      <c r="L58" s="165" t="s">
        <v>1648</v>
      </c>
      <c r="M58" s="165" t="s">
        <v>1649</v>
      </c>
      <c r="N58" s="165" t="s">
        <v>1649</v>
      </c>
      <c r="O58" s="165" t="s">
        <v>1648</v>
      </c>
      <c r="P58" s="165" t="s">
        <v>1648</v>
      </c>
      <c r="Q58" s="165" t="s">
        <v>1648</v>
      </c>
    </row>
    <row r="59" spans="1:17" ht="13.5" thickBot="1" x14ac:dyDescent="0.25">
      <c r="A59" s="165" t="s">
        <v>714</v>
      </c>
      <c r="B59" s="168" t="s">
        <v>713</v>
      </c>
      <c r="C59" s="165" t="s">
        <v>34</v>
      </c>
      <c r="D59" s="166">
        <v>2</v>
      </c>
      <c r="E59" s="166">
        <v>6</v>
      </c>
      <c r="F59" s="165" t="s">
        <v>1648</v>
      </c>
      <c r="G59" s="167">
        <v>890</v>
      </c>
      <c r="H59" s="165" t="s">
        <v>1730</v>
      </c>
      <c r="I59" s="165" t="s">
        <v>1648</v>
      </c>
      <c r="J59" s="165" t="s">
        <v>1730</v>
      </c>
      <c r="K59" s="165" t="s">
        <v>1648</v>
      </c>
      <c r="L59" s="165" t="s">
        <v>1648</v>
      </c>
      <c r="M59" s="165" t="s">
        <v>1649</v>
      </c>
      <c r="N59" s="165" t="s">
        <v>1649</v>
      </c>
      <c r="O59" s="165" t="s">
        <v>1648</v>
      </c>
      <c r="P59" s="165" t="s">
        <v>1648</v>
      </c>
      <c r="Q59" s="165" t="s">
        <v>1648</v>
      </c>
    </row>
    <row r="60" spans="1:17" ht="13.5" thickBot="1" x14ac:dyDescent="0.25">
      <c r="A60" s="165" t="s">
        <v>732</v>
      </c>
      <c r="B60" s="168" t="s">
        <v>731</v>
      </c>
      <c r="C60" s="165" t="s">
        <v>34</v>
      </c>
      <c r="D60" s="166">
        <v>2</v>
      </c>
      <c r="E60" s="166">
        <v>7</v>
      </c>
      <c r="F60" s="165" t="s">
        <v>1648</v>
      </c>
      <c r="G60" s="167">
        <v>1700</v>
      </c>
      <c r="H60" s="165" t="s">
        <v>1902</v>
      </c>
      <c r="I60" s="165" t="s">
        <v>1648</v>
      </c>
      <c r="J60" s="165" t="s">
        <v>1758</v>
      </c>
      <c r="K60" s="165" t="s">
        <v>1648</v>
      </c>
      <c r="L60" s="165" t="s">
        <v>1648</v>
      </c>
      <c r="M60" s="165" t="s">
        <v>1649</v>
      </c>
      <c r="N60" s="165" t="s">
        <v>1649</v>
      </c>
      <c r="O60" s="165" t="s">
        <v>1648</v>
      </c>
      <c r="P60" s="165" t="s">
        <v>1648</v>
      </c>
      <c r="Q60" s="165" t="s">
        <v>1648</v>
      </c>
    </row>
    <row r="61" spans="1:17" ht="13.5" thickBot="1" x14ac:dyDescent="0.25">
      <c r="A61" s="165" t="s">
        <v>750</v>
      </c>
      <c r="B61" s="168" t="s">
        <v>749</v>
      </c>
      <c r="C61" s="165" t="s">
        <v>34</v>
      </c>
      <c r="D61" s="166">
        <v>1</v>
      </c>
      <c r="E61" s="166">
        <v>5</v>
      </c>
      <c r="F61" s="165" t="s">
        <v>1648</v>
      </c>
      <c r="G61" s="167">
        <v>300</v>
      </c>
      <c r="H61" s="165" t="s">
        <v>1906</v>
      </c>
      <c r="I61" s="165" t="s">
        <v>1648</v>
      </c>
      <c r="J61" s="165" t="s">
        <v>1906</v>
      </c>
      <c r="K61" s="165" t="s">
        <v>1649</v>
      </c>
      <c r="L61" s="165" t="s">
        <v>1649</v>
      </c>
      <c r="M61" s="165" t="s">
        <v>1649</v>
      </c>
      <c r="N61" s="165" t="s">
        <v>1649</v>
      </c>
      <c r="O61" s="165" t="s">
        <v>1648</v>
      </c>
      <c r="P61" s="165" t="s">
        <v>1648</v>
      </c>
      <c r="Q61" s="165" t="s">
        <v>1648</v>
      </c>
    </row>
    <row r="62" spans="1:17" ht="13.5" thickBot="1" x14ac:dyDescent="0.25">
      <c r="A62" s="165" t="s">
        <v>762</v>
      </c>
      <c r="B62" s="168" t="s">
        <v>761</v>
      </c>
      <c r="C62" s="165" t="s">
        <v>34</v>
      </c>
      <c r="D62" s="166">
        <v>4</v>
      </c>
      <c r="E62" s="166">
        <v>7</v>
      </c>
      <c r="F62" s="165" t="s">
        <v>1648</v>
      </c>
      <c r="G62" s="167">
        <v>850</v>
      </c>
      <c r="H62" s="165" t="s">
        <v>1909</v>
      </c>
      <c r="I62" s="165" t="s">
        <v>1648</v>
      </c>
      <c r="J62" s="165" t="s">
        <v>1750</v>
      </c>
      <c r="K62" s="165" t="s">
        <v>1648</v>
      </c>
      <c r="L62" s="165" t="s">
        <v>1648</v>
      </c>
      <c r="M62" s="165" t="s">
        <v>1649</v>
      </c>
      <c r="N62" s="165" t="s">
        <v>1649</v>
      </c>
      <c r="O62" s="165" t="s">
        <v>1648</v>
      </c>
      <c r="P62" s="165" t="s">
        <v>1648</v>
      </c>
      <c r="Q62" s="165" t="s">
        <v>1648</v>
      </c>
    </row>
    <row r="63" spans="1:17" ht="13.5" thickBot="1" x14ac:dyDescent="0.25">
      <c r="A63" s="165" t="s">
        <v>768</v>
      </c>
      <c r="B63" s="168" t="s">
        <v>767</v>
      </c>
      <c r="C63" s="165" t="s">
        <v>34</v>
      </c>
      <c r="D63" s="166">
        <v>2</v>
      </c>
      <c r="E63" s="166">
        <v>6</v>
      </c>
      <c r="F63" s="165" t="s">
        <v>1648</v>
      </c>
      <c r="G63" s="167">
        <v>3750</v>
      </c>
      <c r="H63" s="165" t="s">
        <v>1737</v>
      </c>
      <c r="I63" s="165" t="s">
        <v>1648</v>
      </c>
      <c r="J63" s="165" t="s">
        <v>1737</v>
      </c>
      <c r="K63" s="165" t="s">
        <v>1648</v>
      </c>
      <c r="L63" s="165" t="s">
        <v>1648</v>
      </c>
      <c r="M63" s="165" t="s">
        <v>1649</v>
      </c>
      <c r="N63" s="165" t="s">
        <v>1648</v>
      </c>
      <c r="O63" s="165" t="s">
        <v>1648</v>
      </c>
      <c r="P63" s="165" t="s">
        <v>1648</v>
      </c>
      <c r="Q63" s="165" t="s">
        <v>1648</v>
      </c>
    </row>
    <row r="64" spans="1:17" ht="13.5" thickBot="1" x14ac:dyDescent="0.25">
      <c r="A64" s="165" t="s">
        <v>770</v>
      </c>
      <c r="B64" s="168" t="s">
        <v>769</v>
      </c>
      <c r="C64" s="165" t="s">
        <v>34</v>
      </c>
      <c r="D64" s="166">
        <v>2</v>
      </c>
      <c r="E64" s="166">
        <v>6</v>
      </c>
      <c r="F64" s="165" t="s">
        <v>1648</v>
      </c>
      <c r="G64" s="167">
        <v>1100</v>
      </c>
      <c r="H64" s="165" t="s">
        <v>1911</v>
      </c>
      <c r="I64" s="165" t="s">
        <v>1648</v>
      </c>
      <c r="J64" s="165" t="s">
        <v>1911</v>
      </c>
      <c r="K64" s="165" t="s">
        <v>1649</v>
      </c>
      <c r="L64" s="165" t="s">
        <v>1649</v>
      </c>
      <c r="M64" s="165" t="s">
        <v>1649</v>
      </c>
      <c r="N64" s="165" t="s">
        <v>1649</v>
      </c>
      <c r="O64" s="165" t="s">
        <v>1648</v>
      </c>
      <c r="P64" s="165" t="s">
        <v>1648</v>
      </c>
      <c r="Q64" s="165" t="s">
        <v>1648</v>
      </c>
    </row>
    <row r="65" spans="1:17" ht="13.5" thickBot="1" x14ac:dyDescent="0.25">
      <c r="A65" s="165" t="s">
        <v>772</v>
      </c>
      <c r="B65" s="168" t="s">
        <v>771</v>
      </c>
      <c r="C65" s="165" t="s">
        <v>34</v>
      </c>
      <c r="D65" s="166">
        <v>1</v>
      </c>
      <c r="E65" s="166">
        <v>2</v>
      </c>
      <c r="F65" s="165" t="s">
        <v>1648</v>
      </c>
      <c r="G65" s="167">
        <v>1202</v>
      </c>
      <c r="H65" s="165" t="s">
        <v>1731</v>
      </c>
      <c r="I65" s="165" t="s">
        <v>1648</v>
      </c>
      <c r="J65" s="165" t="s">
        <v>1731</v>
      </c>
      <c r="K65" s="165" t="s">
        <v>1649</v>
      </c>
      <c r="L65" s="165" t="s">
        <v>1649</v>
      </c>
      <c r="M65" s="165" t="s">
        <v>1648</v>
      </c>
      <c r="N65" s="165" t="s">
        <v>1649</v>
      </c>
      <c r="O65" s="165" t="s">
        <v>1648</v>
      </c>
      <c r="P65" s="165" t="s">
        <v>1649</v>
      </c>
      <c r="Q65" s="165" t="s">
        <v>1649</v>
      </c>
    </row>
    <row r="66" spans="1:17" ht="13.5" thickBot="1" x14ac:dyDescent="0.25">
      <c r="A66" s="165" t="s">
        <v>782</v>
      </c>
      <c r="B66" s="168" t="s">
        <v>781</v>
      </c>
      <c r="C66" s="165" t="s">
        <v>34</v>
      </c>
      <c r="D66" s="166">
        <v>1</v>
      </c>
      <c r="E66" s="166">
        <v>2</v>
      </c>
      <c r="F66" s="165" t="s">
        <v>1649</v>
      </c>
      <c r="G66" s="167">
        <v>3500</v>
      </c>
      <c r="H66" s="165" t="s">
        <v>1613</v>
      </c>
      <c r="I66" s="165" t="s">
        <v>1648</v>
      </c>
      <c r="J66" s="165" t="s">
        <v>1613</v>
      </c>
      <c r="K66" s="165" t="s">
        <v>1649</v>
      </c>
      <c r="L66" s="165" t="s">
        <v>1649</v>
      </c>
      <c r="M66" s="165" t="s">
        <v>1649</v>
      </c>
      <c r="N66" s="165" t="s">
        <v>1649</v>
      </c>
      <c r="O66" s="165" t="s">
        <v>1648</v>
      </c>
      <c r="P66" s="165" t="s">
        <v>1648</v>
      </c>
      <c r="Q66" s="165" t="s">
        <v>1648</v>
      </c>
    </row>
    <row r="67" spans="1:17" ht="13.5" thickBot="1" x14ac:dyDescent="0.25">
      <c r="A67" s="165" t="s">
        <v>794</v>
      </c>
      <c r="B67" s="168" t="s">
        <v>793</v>
      </c>
      <c r="C67" s="165" t="s">
        <v>34</v>
      </c>
      <c r="D67" s="166">
        <v>2</v>
      </c>
      <c r="E67" s="166">
        <v>2</v>
      </c>
      <c r="F67" s="165" t="s">
        <v>1649</v>
      </c>
      <c r="G67" s="167">
        <v>0</v>
      </c>
      <c r="H67" s="165" t="s">
        <v>1613</v>
      </c>
      <c r="I67" s="165" t="s">
        <v>1649</v>
      </c>
      <c r="J67" s="165" t="s">
        <v>1613</v>
      </c>
      <c r="K67" s="165" t="s">
        <v>1649</v>
      </c>
      <c r="L67" s="165" t="s">
        <v>1649</v>
      </c>
      <c r="M67" s="165" t="s">
        <v>1649</v>
      </c>
      <c r="N67" s="165" t="s">
        <v>1649</v>
      </c>
      <c r="O67" s="165" t="s">
        <v>1648</v>
      </c>
      <c r="P67" s="165" t="s">
        <v>1648</v>
      </c>
      <c r="Q67" s="165" t="s">
        <v>1649</v>
      </c>
    </row>
    <row r="68" spans="1:17" ht="13.5" thickBot="1" x14ac:dyDescent="0.25">
      <c r="A68" s="165" t="s">
        <v>806</v>
      </c>
      <c r="B68" s="168" t="s">
        <v>805</v>
      </c>
      <c r="C68" s="165" t="s">
        <v>34</v>
      </c>
      <c r="D68" s="166">
        <v>2</v>
      </c>
      <c r="E68" s="166">
        <v>4</v>
      </c>
      <c r="F68" s="165" t="s">
        <v>1648</v>
      </c>
      <c r="G68" s="167">
        <v>2500</v>
      </c>
      <c r="H68" s="165" t="s">
        <v>1726</v>
      </c>
      <c r="I68" s="165" t="s">
        <v>1648</v>
      </c>
      <c r="J68" s="165" t="s">
        <v>1726</v>
      </c>
      <c r="K68" s="165" t="s">
        <v>1649</v>
      </c>
      <c r="L68" s="165" t="s">
        <v>1648</v>
      </c>
      <c r="M68" s="165" t="s">
        <v>1649</v>
      </c>
      <c r="N68" s="165" t="s">
        <v>1648</v>
      </c>
      <c r="O68" s="165" t="s">
        <v>1648</v>
      </c>
      <c r="P68" s="165" t="s">
        <v>1648</v>
      </c>
      <c r="Q68" s="165" t="s">
        <v>1648</v>
      </c>
    </row>
    <row r="69" spans="1:17" ht="13.5" thickBot="1" x14ac:dyDescent="0.25">
      <c r="A69" s="165" t="s">
        <v>814</v>
      </c>
      <c r="B69" s="168" t="s">
        <v>813</v>
      </c>
      <c r="C69" s="165" t="s">
        <v>34</v>
      </c>
      <c r="D69" s="166">
        <v>3</v>
      </c>
      <c r="E69" s="166">
        <v>4</v>
      </c>
      <c r="F69" s="165" t="s">
        <v>1648</v>
      </c>
      <c r="G69" s="167">
        <v>0</v>
      </c>
      <c r="H69" s="165" t="s">
        <v>1918</v>
      </c>
      <c r="I69" s="165" t="s">
        <v>1648</v>
      </c>
      <c r="J69" s="165" t="s">
        <v>1918</v>
      </c>
      <c r="K69" s="165" t="s">
        <v>1649</v>
      </c>
      <c r="L69" s="165" t="s">
        <v>1649</v>
      </c>
      <c r="M69" s="165" t="s">
        <v>1649</v>
      </c>
      <c r="N69" s="165" t="s">
        <v>1649</v>
      </c>
      <c r="O69" s="165" t="s">
        <v>1649</v>
      </c>
      <c r="P69" s="165" t="s">
        <v>1649</v>
      </c>
      <c r="Q69" s="165" t="s">
        <v>1649</v>
      </c>
    </row>
    <row r="70" spans="1:17" ht="13.5" thickBot="1" x14ac:dyDescent="0.25">
      <c r="A70" s="165" t="s">
        <v>14</v>
      </c>
      <c r="B70" s="168" t="s">
        <v>13</v>
      </c>
      <c r="C70" s="165" t="s">
        <v>17</v>
      </c>
      <c r="D70" s="166">
        <v>4</v>
      </c>
      <c r="E70" s="166">
        <v>6</v>
      </c>
      <c r="F70" s="165" t="s">
        <v>1648</v>
      </c>
      <c r="G70" s="167">
        <v>23000</v>
      </c>
      <c r="H70" s="165" t="s">
        <v>1723</v>
      </c>
      <c r="I70" s="165" t="s">
        <v>1648</v>
      </c>
      <c r="J70" s="165" t="s">
        <v>1723</v>
      </c>
      <c r="K70" s="165" t="s">
        <v>1648</v>
      </c>
      <c r="L70" s="165" t="s">
        <v>1648</v>
      </c>
      <c r="M70" s="165" t="s">
        <v>1649</v>
      </c>
      <c r="N70" s="165" t="s">
        <v>1648</v>
      </c>
      <c r="O70" s="165" t="s">
        <v>1648</v>
      </c>
      <c r="P70" s="165" t="s">
        <v>1648</v>
      </c>
      <c r="Q70" s="165" t="s">
        <v>1648</v>
      </c>
    </row>
    <row r="71" spans="1:17" ht="13.5" thickBot="1" x14ac:dyDescent="0.25">
      <c r="A71" s="165" t="s">
        <v>45</v>
      </c>
      <c r="B71" s="168" t="s">
        <v>44</v>
      </c>
      <c r="C71" s="165" t="s">
        <v>17</v>
      </c>
      <c r="D71" s="166">
        <v>8</v>
      </c>
      <c r="E71" s="166">
        <v>12</v>
      </c>
      <c r="F71" s="165" t="s">
        <v>1648</v>
      </c>
      <c r="G71" s="167">
        <v>6800</v>
      </c>
      <c r="H71" s="165" t="s">
        <v>1735</v>
      </c>
      <c r="I71" s="165" t="s">
        <v>1648</v>
      </c>
      <c r="J71" s="165" t="s">
        <v>1735</v>
      </c>
      <c r="K71" s="165" t="s">
        <v>1648</v>
      </c>
      <c r="L71" s="165" t="s">
        <v>1648</v>
      </c>
      <c r="M71" s="165" t="s">
        <v>1649</v>
      </c>
      <c r="N71" s="165" t="s">
        <v>1648</v>
      </c>
      <c r="O71" s="165" t="s">
        <v>1648</v>
      </c>
      <c r="P71" s="165" t="s">
        <v>1648</v>
      </c>
      <c r="Q71" s="165" t="s">
        <v>1648</v>
      </c>
    </row>
    <row r="72" spans="1:17" ht="13.5" thickBot="1" x14ac:dyDescent="0.25">
      <c r="A72" s="165" t="s">
        <v>56</v>
      </c>
      <c r="B72" s="168" t="s">
        <v>55</v>
      </c>
      <c r="C72" s="165" t="s">
        <v>17</v>
      </c>
      <c r="D72" s="166">
        <v>7</v>
      </c>
      <c r="E72" s="166">
        <v>10</v>
      </c>
      <c r="F72" s="165" t="s">
        <v>1648</v>
      </c>
      <c r="G72" s="167">
        <v>30000</v>
      </c>
      <c r="H72" s="165" t="s">
        <v>1726</v>
      </c>
      <c r="I72" s="165" t="s">
        <v>1648</v>
      </c>
      <c r="J72" s="165" t="s">
        <v>1726</v>
      </c>
      <c r="K72" s="165" t="s">
        <v>1648</v>
      </c>
      <c r="L72" s="165" t="s">
        <v>1648</v>
      </c>
      <c r="M72" s="165" t="s">
        <v>1649</v>
      </c>
      <c r="N72" s="165" t="s">
        <v>1648</v>
      </c>
      <c r="O72" s="165" t="s">
        <v>1648</v>
      </c>
      <c r="P72" s="165" t="s">
        <v>1648</v>
      </c>
      <c r="Q72" s="165" t="s">
        <v>1649</v>
      </c>
    </row>
    <row r="73" spans="1:17" ht="13.5" thickBot="1" x14ac:dyDescent="0.25">
      <c r="A73" s="165" t="s">
        <v>60</v>
      </c>
      <c r="B73" s="168" t="s">
        <v>59</v>
      </c>
      <c r="C73" s="165" t="s">
        <v>17</v>
      </c>
      <c r="D73" s="166">
        <v>2</v>
      </c>
      <c r="E73" s="166">
        <v>4</v>
      </c>
      <c r="F73" s="165" t="s">
        <v>1648</v>
      </c>
      <c r="G73" s="167">
        <v>1043</v>
      </c>
      <c r="H73" s="165" t="s">
        <v>1744</v>
      </c>
      <c r="I73" s="165" t="s">
        <v>1648</v>
      </c>
      <c r="J73" s="165" t="s">
        <v>1744</v>
      </c>
      <c r="K73" s="165" t="s">
        <v>1648</v>
      </c>
      <c r="L73" s="165" t="s">
        <v>1648</v>
      </c>
      <c r="M73" s="165" t="s">
        <v>1649</v>
      </c>
      <c r="N73" s="165" t="s">
        <v>1648</v>
      </c>
      <c r="O73" s="165" t="s">
        <v>1648</v>
      </c>
      <c r="P73" s="165" t="s">
        <v>1648</v>
      </c>
      <c r="Q73" s="165" t="s">
        <v>1648</v>
      </c>
    </row>
    <row r="74" spans="1:17" ht="13.5" thickBot="1" x14ac:dyDescent="0.25">
      <c r="A74" s="165" t="s">
        <v>70</v>
      </c>
      <c r="B74" s="168" t="s">
        <v>69</v>
      </c>
      <c r="C74" s="165" t="s">
        <v>17</v>
      </c>
      <c r="D74" s="166">
        <v>6</v>
      </c>
      <c r="E74" s="166">
        <v>10</v>
      </c>
      <c r="F74" s="165" t="s">
        <v>1648</v>
      </c>
      <c r="G74" s="167">
        <v>2288</v>
      </c>
      <c r="H74" s="165" t="s">
        <v>1747</v>
      </c>
      <c r="I74" s="165" t="s">
        <v>1648</v>
      </c>
      <c r="J74" s="165" t="s">
        <v>1747</v>
      </c>
      <c r="K74" s="165" t="s">
        <v>1648</v>
      </c>
      <c r="L74" s="165" t="s">
        <v>1648</v>
      </c>
      <c r="M74" s="165" t="s">
        <v>1649</v>
      </c>
      <c r="N74" s="165" t="s">
        <v>1649</v>
      </c>
      <c r="O74" s="165" t="s">
        <v>1648</v>
      </c>
      <c r="P74" s="165" t="s">
        <v>1648</v>
      </c>
      <c r="Q74" s="165" t="s">
        <v>1649</v>
      </c>
    </row>
    <row r="75" spans="1:17" ht="13.5" thickBot="1" x14ac:dyDescent="0.25">
      <c r="A75" s="165" t="s">
        <v>74</v>
      </c>
      <c r="B75" s="168" t="s">
        <v>73</v>
      </c>
      <c r="C75" s="165" t="s">
        <v>17</v>
      </c>
      <c r="D75" s="166">
        <v>5</v>
      </c>
      <c r="E75" s="166">
        <v>15</v>
      </c>
      <c r="F75" s="165" t="s">
        <v>1648</v>
      </c>
      <c r="G75" s="167">
        <v>1500</v>
      </c>
      <c r="H75" s="165" t="s">
        <v>1749</v>
      </c>
      <c r="I75" s="165" t="s">
        <v>1648</v>
      </c>
      <c r="J75" s="165" t="s">
        <v>1750</v>
      </c>
      <c r="K75" s="165" t="s">
        <v>1648</v>
      </c>
      <c r="L75" s="165" t="s">
        <v>1648</v>
      </c>
      <c r="M75" s="165" t="s">
        <v>1649</v>
      </c>
      <c r="N75" s="165" t="s">
        <v>1649</v>
      </c>
      <c r="O75" s="165" t="s">
        <v>1648</v>
      </c>
      <c r="P75" s="165" t="s">
        <v>1648</v>
      </c>
      <c r="Q75" s="165" t="s">
        <v>1648</v>
      </c>
    </row>
    <row r="76" spans="1:17" ht="13.5" thickBot="1" x14ac:dyDescent="0.25">
      <c r="A76" s="165" t="s">
        <v>98</v>
      </c>
      <c r="B76" s="168" t="s">
        <v>97</v>
      </c>
      <c r="C76" s="165" t="s">
        <v>17</v>
      </c>
      <c r="D76" s="166">
        <v>2</v>
      </c>
      <c r="E76" s="166">
        <v>6</v>
      </c>
      <c r="F76" s="165" t="s">
        <v>1648</v>
      </c>
      <c r="G76" s="167">
        <v>2708</v>
      </c>
      <c r="H76" s="165" t="s">
        <v>1737</v>
      </c>
      <c r="I76" s="165" t="s">
        <v>1648</v>
      </c>
      <c r="J76" s="165" t="s">
        <v>1762</v>
      </c>
      <c r="K76" s="165" t="s">
        <v>1648</v>
      </c>
      <c r="L76" s="165" t="s">
        <v>1648</v>
      </c>
      <c r="M76" s="165" t="s">
        <v>1649</v>
      </c>
      <c r="N76" s="165" t="s">
        <v>1648</v>
      </c>
      <c r="O76" s="165" t="s">
        <v>1648</v>
      </c>
      <c r="P76" s="165" t="s">
        <v>1648</v>
      </c>
      <c r="Q76" s="165" t="s">
        <v>1649</v>
      </c>
    </row>
    <row r="77" spans="1:17" ht="13.5" thickBot="1" x14ac:dyDescent="0.25">
      <c r="A77" s="165" t="s">
        <v>120</v>
      </c>
      <c r="B77" s="168" t="s">
        <v>119</v>
      </c>
      <c r="C77" s="165" t="s">
        <v>17</v>
      </c>
      <c r="D77" s="166">
        <v>14</v>
      </c>
      <c r="E77" s="166">
        <v>14</v>
      </c>
      <c r="F77" s="165" t="s">
        <v>1648</v>
      </c>
      <c r="G77" s="167">
        <v>3500</v>
      </c>
      <c r="H77" s="165" t="s">
        <v>1769</v>
      </c>
      <c r="I77" s="165" t="s">
        <v>1648</v>
      </c>
      <c r="J77" s="165" t="s">
        <v>1746</v>
      </c>
      <c r="K77" s="165" t="s">
        <v>1648</v>
      </c>
      <c r="L77" s="165" t="s">
        <v>1648</v>
      </c>
      <c r="M77" s="165" t="s">
        <v>1649</v>
      </c>
      <c r="N77" s="165" t="s">
        <v>1648</v>
      </c>
      <c r="O77" s="165" t="s">
        <v>1648</v>
      </c>
      <c r="P77" s="165" t="s">
        <v>1648</v>
      </c>
      <c r="Q77" s="165" t="s">
        <v>1648</v>
      </c>
    </row>
    <row r="78" spans="1:17" ht="13.5" thickBot="1" x14ac:dyDescent="0.25">
      <c r="A78" s="165" t="s">
        <v>126</v>
      </c>
      <c r="B78" s="168" t="s">
        <v>125</v>
      </c>
      <c r="C78" s="165" t="s">
        <v>17</v>
      </c>
      <c r="D78" s="166">
        <v>1</v>
      </c>
      <c r="E78" s="166">
        <v>3</v>
      </c>
      <c r="F78" s="165" t="s">
        <v>1649</v>
      </c>
      <c r="G78" s="167">
        <v>0</v>
      </c>
      <c r="H78" s="165" t="s">
        <v>1613</v>
      </c>
      <c r="I78" s="165" t="s">
        <v>1649</v>
      </c>
      <c r="J78" s="165" t="s">
        <v>1613</v>
      </c>
      <c r="K78" s="165" t="s">
        <v>1648</v>
      </c>
      <c r="L78" s="165" t="s">
        <v>1649</v>
      </c>
      <c r="M78" s="165" t="s">
        <v>1649</v>
      </c>
      <c r="N78" s="165" t="s">
        <v>1649</v>
      </c>
      <c r="O78" s="165" t="s">
        <v>1648</v>
      </c>
      <c r="P78" s="165" t="s">
        <v>1648</v>
      </c>
      <c r="Q78" s="165" t="s">
        <v>1648</v>
      </c>
    </row>
    <row r="79" spans="1:17" ht="13.5" thickBot="1" x14ac:dyDescent="0.25">
      <c r="A79" s="165" t="s">
        <v>138</v>
      </c>
      <c r="B79" s="168" t="s">
        <v>137</v>
      </c>
      <c r="C79" s="165" t="s">
        <v>17</v>
      </c>
      <c r="D79" s="166">
        <v>2</v>
      </c>
      <c r="E79" s="166">
        <v>8</v>
      </c>
      <c r="F79" s="165" t="s">
        <v>1648</v>
      </c>
      <c r="G79" s="167">
        <v>1000</v>
      </c>
      <c r="H79" s="165" t="s">
        <v>1744</v>
      </c>
      <c r="I79" s="165" t="s">
        <v>1648</v>
      </c>
      <c r="J79" s="165" t="s">
        <v>1744</v>
      </c>
      <c r="K79" s="165" t="s">
        <v>1648</v>
      </c>
      <c r="L79" s="165" t="s">
        <v>1648</v>
      </c>
      <c r="M79" s="165" t="s">
        <v>1649</v>
      </c>
      <c r="N79" s="165" t="s">
        <v>1649</v>
      </c>
      <c r="O79" s="165" t="s">
        <v>1648</v>
      </c>
      <c r="P79" s="165" t="s">
        <v>1648</v>
      </c>
      <c r="Q79" s="165" t="s">
        <v>1648</v>
      </c>
    </row>
    <row r="80" spans="1:17" ht="13.5" thickBot="1" x14ac:dyDescent="0.25">
      <c r="A80" s="165" t="s">
        <v>180</v>
      </c>
      <c r="B80" s="168" t="s">
        <v>179</v>
      </c>
      <c r="C80" s="165" t="s">
        <v>17</v>
      </c>
      <c r="D80" s="166">
        <v>4</v>
      </c>
      <c r="E80" s="166">
        <v>9</v>
      </c>
      <c r="F80" s="165" t="s">
        <v>1648</v>
      </c>
      <c r="G80" s="167">
        <v>3017</v>
      </c>
      <c r="H80" s="165" t="s">
        <v>1734</v>
      </c>
      <c r="I80" s="165" t="s">
        <v>1648</v>
      </c>
      <c r="J80" s="165" t="s">
        <v>1782</v>
      </c>
      <c r="K80" s="165" t="s">
        <v>1648</v>
      </c>
      <c r="L80" s="165" t="s">
        <v>1648</v>
      </c>
      <c r="M80" s="165" t="s">
        <v>1649</v>
      </c>
      <c r="N80" s="165" t="s">
        <v>1648</v>
      </c>
      <c r="O80" s="165" t="s">
        <v>1648</v>
      </c>
      <c r="P80" s="165" t="s">
        <v>1648</v>
      </c>
      <c r="Q80" s="165" t="s">
        <v>1648</v>
      </c>
    </row>
    <row r="81" spans="1:17" ht="13.5" thickBot="1" x14ac:dyDescent="0.25">
      <c r="A81" s="165" t="s">
        <v>194</v>
      </c>
      <c r="B81" s="168" t="s">
        <v>193</v>
      </c>
      <c r="C81" s="165" t="s">
        <v>17</v>
      </c>
      <c r="D81" s="166">
        <v>4</v>
      </c>
      <c r="E81" s="166">
        <v>11</v>
      </c>
      <c r="F81" s="165" t="s">
        <v>1648</v>
      </c>
      <c r="G81" s="167">
        <v>33050</v>
      </c>
      <c r="H81" s="165" t="s">
        <v>1785</v>
      </c>
      <c r="I81" s="165" t="s">
        <v>1648</v>
      </c>
      <c r="J81" s="165" t="s">
        <v>1786</v>
      </c>
      <c r="K81" s="165" t="s">
        <v>1648</v>
      </c>
      <c r="L81" s="165" t="s">
        <v>1648</v>
      </c>
      <c r="M81" s="165" t="s">
        <v>1649</v>
      </c>
      <c r="N81" s="165" t="s">
        <v>1649</v>
      </c>
      <c r="O81" s="165" t="s">
        <v>1648</v>
      </c>
      <c r="P81" s="165" t="s">
        <v>1648</v>
      </c>
      <c r="Q81" s="165" t="s">
        <v>1649</v>
      </c>
    </row>
    <row r="82" spans="1:17" ht="13.5" thickBot="1" x14ac:dyDescent="0.25">
      <c r="A82" s="165" t="s">
        <v>216</v>
      </c>
      <c r="B82" s="168" t="s">
        <v>215</v>
      </c>
      <c r="C82" s="165" t="s">
        <v>17</v>
      </c>
      <c r="D82" s="166">
        <v>4</v>
      </c>
      <c r="E82" s="166">
        <v>4</v>
      </c>
      <c r="F82" s="165" t="s">
        <v>1648</v>
      </c>
      <c r="G82" s="167">
        <v>1200</v>
      </c>
      <c r="H82" s="165" t="s">
        <v>1745</v>
      </c>
      <c r="I82" s="165" t="s">
        <v>1648</v>
      </c>
      <c r="J82" s="165" t="s">
        <v>1790</v>
      </c>
      <c r="K82" s="165" t="s">
        <v>1648</v>
      </c>
      <c r="L82" s="165" t="s">
        <v>1648</v>
      </c>
      <c r="M82" s="165" t="s">
        <v>1649</v>
      </c>
      <c r="N82" s="165" t="s">
        <v>1649</v>
      </c>
      <c r="O82" s="165" t="s">
        <v>1648</v>
      </c>
      <c r="P82" s="165" t="s">
        <v>1648</v>
      </c>
      <c r="Q82" s="165" t="s">
        <v>1648</v>
      </c>
    </row>
    <row r="83" spans="1:17" ht="13.5" thickBot="1" x14ac:dyDescent="0.25">
      <c r="A83" s="165" t="s">
        <v>230</v>
      </c>
      <c r="B83" s="168" t="s">
        <v>229</v>
      </c>
      <c r="C83" s="165" t="s">
        <v>17</v>
      </c>
      <c r="D83" s="166">
        <v>2</v>
      </c>
      <c r="E83" s="166">
        <v>5</v>
      </c>
      <c r="F83" s="165" t="s">
        <v>1648</v>
      </c>
      <c r="G83" s="167">
        <v>2572</v>
      </c>
      <c r="H83" s="165" t="s">
        <v>1795</v>
      </c>
      <c r="I83" s="165" t="s">
        <v>1648</v>
      </c>
      <c r="J83" s="165" t="s">
        <v>1795</v>
      </c>
      <c r="K83" s="165" t="s">
        <v>1648</v>
      </c>
      <c r="L83" s="165" t="s">
        <v>1648</v>
      </c>
      <c r="M83" s="165" t="s">
        <v>1649</v>
      </c>
      <c r="N83" s="165" t="s">
        <v>1649</v>
      </c>
      <c r="O83" s="165" t="s">
        <v>1648</v>
      </c>
      <c r="P83" s="165" t="s">
        <v>1648</v>
      </c>
      <c r="Q83" s="165" t="s">
        <v>1648</v>
      </c>
    </row>
    <row r="84" spans="1:17" ht="13.5" thickBot="1" x14ac:dyDescent="0.25">
      <c r="A84" s="165" t="s">
        <v>236</v>
      </c>
      <c r="B84" s="168" t="s">
        <v>235</v>
      </c>
      <c r="C84" s="165" t="s">
        <v>17</v>
      </c>
      <c r="D84" s="166">
        <v>3</v>
      </c>
      <c r="E84" s="166">
        <v>6</v>
      </c>
      <c r="F84" s="165" t="s">
        <v>1648</v>
      </c>
      <c r="G84" s="167">
        <v>1790</v>
      </c>
      <c r="H84" s="165" t="s">
        <v>1750</v>
      </c>
      <c r="I84" s="165" t="s">
        <v>1648</v>
      </c>
      <c r="J84" s="165" t="s">
        <v>1750</v>
      </c>
      <c r="K84" s="165" t="s">
        <v>1648</v>
      </c>
      <c r="L84" s="165" t="s">
        <v>1648</v>
      </c>
      <c r="M84" s="165" t="s">
        <v>1649</v>
      </c>
      <c r="N84" s="165" t="s">
        <v>1649</v>
      </c>
      <c r="O84" s="165" t="s">
        <v>1648</v>
      </c>
      <c r="P84" s="165" t="s">
        <v>1648</v>
      </c>
      <c r="Q84" s="165" t="s">
        <v>1648</v>
      </c>
    </row>
    <row r="85" spans="1:17" ht="13.5" thickBot="1" x14ac:dyDescent="0.25">
      <c r="A85" s="165" t="s">
        <v>238</v>
      </c>
      <c r="B85" s="168" t="s">
        <v>237</v>
      </c>
      <c r="C85" s="165" t="s">
        <v>17</v>
      </c>
      <c r="D85" s="166">
        <v>6</v>
      </c>
      <c r="E85" s="166">
        <v>10</v>
      </c>
      <c r="F85" s="165" t="s">
        <v>1648</v>
      </c>
      <c r="G85" s="167">
        <v>6252</v>
      </c>
      <c r="H85" s="165" t="s">
        <v>1796</v>
      </c>
      <c r="I85" s="165" t="s">
        <v>1648</v>
      </c>
      <c r="J85" s="165" t="s">
        <v>1796</v>
      </c>
      <c r="K85" s="165" t="s">
        <v>1648</v>
      </c>
      <c r="L85" s="165" t="s">
        <v>1648</v>
      </c>
      <c r="M85" s="165" t="s">
        <v>1649</v>
      </c>
      <c r="N85" s="165" t="s">
        <v>1648</v>
      </c>
      <c r="O85" s="165" t="s">
        <v>1648</v>
      </c>
      <c r="P85" s="165" t="s">
        <v>1648</v>
      </c>
      <c r="Q85" s="165" t="s">
        <v>1648</v>
      </c>
    </row>
    <row r="86" spans="1:17" ht="13.5" thickBot="1" x14ac:dyDescent="0.25">
      <c r="A86" s="165" t="s">
        <v>252</v>
      </c>
      <c r="B86" s="168" t="s">
        <v>251</v>
      </c>
      <c r="C86" s="165" t="s">
        <v>17</v>
      </c>
      <c r="D86" s="166">
        <v>6</v>
      </c>
      <c r="E86" s="166">
        <v>9</v>
      </c>
      <c r="F86" s="165" t="s">
        <v>1648</v>
      </c>
      <c r="G86" s="167">
        <v>2000</v>
      </c>
      <c r="H86" s="165" t="s">
        <v>1730</v>
      </c>
      <c r="I86" s="165" t="s">
        <v>1648</v>
      </c>
      <c r="J86" s="165" t="s">
        <v>1730</v>
      </c>
      <c r="K86" s="165" t="s">
        <v>1648</v>
      </c>
      <c r="L86" s="165" t="s">
        <v>1648</v>
      </c>
      <c r="M86" s="165" t="s">
        <v>1649</v>
      </c>
      <c r="N86" s="165" t="s">
        <v>1649</v>
      </c>
      <c r="O86" s="165" t="s">
        <v>1648</v>
      </c>
      <c r="P86" s="165" t="s">
        <v>1648</v>
      </c>
      <c r="Q86" s="165" t="s">
        <v>1648</v>
      </c>
    </row>
    <row r="87" spans="1:17" ht="13.5" thickBot="1" x14ac:dyDescent="0.25">
      <c r="A87" s="165" t="s">
        <v>280</v>
      </c>
      <c r="B87" s="168" t="s">
        <v>279</v>
      </c>
      <c r="C87" s="165" t="s">
        <v>17</v>
      </c>
      <c r="D87" s="166">
        <v>4</v>
      </c>
      <c r="E87" s="166">
        <v>11</v>
      </c>
      <c r="F87" s="165" t="s">
        <v>1648</v>
      </c>
      <c r="G87" s="167">
        <v>4621</v>
      </c>
      <c r="H87" s="165" t="s">
        <v>1737</v>
      </c>
      <c r="I87" s="165" t="s">
        <v>1648</v>
      </c>
      <c r="J87" s="165" t="s">
        <v>1737</v>
      </c>
      <c r="K87" s="165" t="s">
        <v>1648</v>
      </c>
      <c r="L87" s="165" t="s">
        <v>1648</v>
      </c>
      <c r="M87" s="165" t="s">
        <v>1649</v>
      </c>
      <c r="N87" s="165" t="s">
        <v>1648</v>
      </c>
      <c r="O87" s="165" t="s">
        <v>1648</v>
      </c>
      <c r="P87" s="165" t="s">
        <v>1648</v>
      </c>
      <c r="Q87" s="165" t="s">
        <v>1648</v>
      </c>
    </row>
    <row r="88" spans="1:17" ht="13.5" thickBot="1" x14ac:dyDescent="0.25">
      <c r="A88" s="165" t="s">
        <v>290</v>
      </c>
      <c r="B88" s="168" t="s">
        <v>289</v>
      </c>
      <c r="C88" s="165" t="s">
        <v>17</v>
      </c>
      <c r="D88" s="166">
        <v>3</v>
      </c>
      <c r="E88" s="166">
        <v>3</v>
      </c>
      <c r="F88" s="165" t="s">
        <v>1648</v>
      </c>
      <c r="G88" s="167">
        <v>6848</v>
      </c>
      <c r="H88" s="165" t="s">
        <v>1807</v>
      </c>
      <c r="I88" s="165" t="s">
        <v>1648</v>
      </c>
      <c r="J88" s="165" t="s">
        <v>1808</v>
      </c>
      <c r="K88" s="165" t="s">
        <v>1648</v>
      </c>
      <c r="L88" s="165" t="s">
        <v>1648</v>
      </c>
      <c r="M88" s="165" t="s">
        <v>1649</v>
      </c>
      <c r="N88" s="165" t="s">
        <v>1648</v>
      </c>
      <c r="O88" s="165" t="s">
        <v>1648</v>
      </c>
      <c r="P88" s="165" t="s">
        <v>1648</v>
      </c>
      <c r="Q88" s="165" t="s">
        <v>1648</v>
      </c>
    </row>
    <row r="89" spans="1:17" ht="13.5" thickBot="1" x14ac:dyDescent="0.25">
      <c r="A89" s="165" t="s">
        <v>334</v>
      </c>
      <c r="B89" s="168" t="s">
        <v>333</v>
      </c>
      <c r="C89" s="165" t="s">
        <v>17</v>
      </c>
      <c r="D89" s="166">
        <v>5</v>
      </c>
      <c r="E89" s="166">
        <v>10</v>
      </c>
      <c r="F89" s="165" t="s">
        <v>1648</v>
      </c>
      <c r="G89" s="167">
        <v>2000</v>
      </c>
      <c r="H89" s="165" t="s">
        <v>1745</v>
      </c>
      <c r="I89" s="165" t="s">
        <v>1648</v>
      </c>
      <c r="J89" s="165" t="s">
        <v>1745</v>
      </c>
      <c r="K89" s="165" t="s">
        <v>1648</v>
      </c>
      <c r="L89" s="165" t="s">
        <v>1648</v>
      </c>
      <c r="M89" s="165" t="s">
        <v>1649</v>
      </c>
      <c r="N89" s="165" t="s">
        <v>1649</v>
      </c>
      <c r="O89" s="165" t="s">
        <v>1648</v>
      </c>
      <c r="P89" s="165" t="s">
        <v>1648</v>
      </c>
      <c r="Q89" s="165" t="s">
        <v>1648</v>
      </c>
    </row>
    <row r="90" spans="1:17" ht="13.5" thickBot="1" x14ac:dyDescent="0.25">
      <c r="A90" s="165" t="s">
        <v>344</v>
      </c>
      <c r="B90" s="168" t="s">
        <v>343</v>
      </c>
      <c r="C90" s="165" t="s">
        <v>17</v>
      </c>
      <c r="D90" s="166">
        <v>5</v>
      </c>
      <c r="E90" s="166">
        <v>16</v>
      </c>
      <c r="F90" s="165" t="s">
        <v>1648</v>
      </c>
      <c r="G90" s="167">
        <v>2650</v>
      </c>
      <c r="H90" s="165" t="s">
        <v>1824</v>
      </c>
      <c r="I90" s="165" t="s">
        <v>1648</v>
      </c>
      <c r="J90" s="165" t="s">
        <v>1824</v>
      </c>
      <c r="K90" s="165" t="s">
        <v>1648</v>
      </c>
      <c r="L90" s="165" t="s">
        <v>1648</v>
      </c>
      <c r="M90" s="165" t="s">
        <v>1649</v>
      </c>
      <c r="N90" s="165" t="s">
        <v>1649</v>
      </c>
      <c r="O90" s="165" t="s">
        <v>1648</v>
      </c>
      <c r="P90" s="165" t="s">
        <v>1648</v>
      </c>
      <c r="Q90" s="165" t="s">
        <v>1648</v>
      </c>
    </row>
    <row r="91" spans="1:17" ht="13.5" thickBot="1" x14ac:dyDescent="0.25">
      <c r="A91" s="165" t="s">
        <v>354</v>
      </c>
      <c r="B91" s="168" t="s">
        <v>353</v>
      </c>
      <c r="C91" s="165" t="s">
        <v>17</v>
      </c>
      <c r="D91" s="166">
        <v>7</v>
      </c>
      <c r="E91" s="166">
        <v>21</v>
      </c>
      <c r="F91" s="165" t="s">
        <v>1648</v>
      </c>
      <c r="G91" s="167">
        <v>13400</v>
      </c>
      <c r="H91" s="165" t="s">
        <v>1829</v>
      </c>
      <c r="I91" s="165" t="s">
        <v>1648</v>
      </c>
      <c r="J91" s="165" t="s">
        <v>1829</v>
      </c>
      <c r="K91" s="165" t="s">
        <v>1648</v>
      </c>
      <c r="L91" s="165" t="s">
        <v>1648</v>
      </c>
      <c r="M91" s="165" t="s">
        <v>1648</v>
      </c>
      <c r="N91" s="165" t="s">
        <v>1648</v>
      </c>
      <c r="O91" s="165" t="s">
        <v>1648</v>
      </c>
      <c r="P91" s="165" t="s">
        <v>1648</v>
      </c>
      <c r="Q91" s="165" t="s">
        <v>1648</v>
      </c>
    </row>
    <row r="92" spans="1:17" ht="13.5" thickBot="1" x14ac:dyDescent="0.25">
      <c r="A92" s="165" t="s">
        <v>362</v>
      </c>
      <c r="B92" s="168" t="s">
        <v>361</v>
      </c>
      <c r="C92" s="165" t="s">
        <v>17</v>
      </c>
      <c r="D92" s="166">
        <v>2</v>
      </c>
      <c r="E92" s="166">
        <v>9</v>
      </c>
      <c r="F92" s="165" t="s">
        <v>1648</v>
      </c>
      <c r="G92" s="167">
        <v>10598</v>
      </c>
      <c r="H92" s="165" t="s">
        <v>1738</v>
      </c>
      <c r="I92" s="165" t="s">
        <v>1648</v>
      </c>
      <c r="J92" s="165" t="s">
        <v>1738</v>
      </c>
      <c r="K92" s="165" t="s">
        <v>1648</v>
      </c>
      <c r="L92" s="165" t="s">
        <v>1648</v>
      </c>
      <c r="M92" s="165" t="s">
        <v>1649</v>
      </c>
      <c r="N92" s="165" t="s">
        <v>1648</v>
      </c>
      <c r="O92" s="165" t="s">
        <v>1648</v>
      </c>
      <c r="P92" s="165" t="s">
        <v>1648</v>
      </c>
      <c r="Q92" s="165" t="s">
        <v>1648</v>
      </c>
    </row>
    <row r="93" spans="1:17" ht="13.5" thickBot="1" x14ac:dyDescent="0.25">
      <c r="A93" s="165" t="s">
        <v>366</v>
      </c>
      <c r="B93" s="168" t="s">
        <v>365</v>
      </c>
      <c r="C93" s="165" t="s">
        <v>17</v>
      </c>
      <c r="D93" s="166">
        <v>2</v>
      </c>
      <c r="E93" s="166">
        <v>8</v>
      </c>
      <c r="F93" s="165" t="s">
        <v>1648</v>
      </c>
      <c r="G93" s="167">
        <v>14200</v>
      </c>
      <c r="H93" s="165" t="s">
        <v>1738</v>
      </c>
      <c r="I93" s="165" t="s">
        <v>1648</v>
      </c>
      <c r="J93" s="165" t="s">
        <v>1738</v>
      </c>
      <c r="K93" s="165" t="s">
        <v>1648</v>
      </c>
      <c r="L93" s="165" t="s">
        <v>1648</v>
      </c>
      <c r="M93" s="165" t="s">
        <v>1649</v>
      </c>
      <c r="N93" s="165" t="s">
        <v>1648</v>
      </c>
      <c r="O93" s="165" t="s">
        <v>1648</v>
      </c>
      <c r="P93" s="165" t="s">
        <v>1649</v>
      </c>
      <c r="Q93" s="165" t="s">
        <v>1648</v>
      </c>
    </row>
    <row r="94" spans="1:17" ht="13.5" thickBot="1" x14ac:dyDescent="0.25">
      <c r="A94" s="165" t="s">
        <v>372</v>
      </c>
      <c r="B94" s="168" t="s">
        <v>371</v>
      </c>
      <c r="C94" s="165" t="s">
        <v>17</v>
      </c>
      <c r="D94" s="166">
        <v>4</v>
      </c>
      <c r="E94" s="166">
        <v>6</v>
      </c>
      <c r="F94" s="165" t="s">
        <v>1648</v>
      </c>
      <c r="G94" s="167">
        <v>2247</v>
      </c>
      <c r="H94" s="165" t="s">
        <v>1747</v>
      </c>
      <c r="I94" s="165" t="s">
        <v>1648</v>
      </c>
      <c r="J94" s="165" t="s">
        <v>1747</v>
      </c>
      <c r="K94" s="165" t="s">
        <v>1648</v>
      </c>
      <c r="L94" s="165" t="s">
        <v>1648</v>
      </c>
      <c r="M94" s="165" t="s">
        <v>1649</v>
      </c>
      <c r="N94" s="165" t="s">
        <v>1648</v>
      </c>
      <c r="O94" s="165" t="s">
        <v>1648</v>
      </c>
      <c r="P94" s="165" t="s">
        <v>1649</v>
      </c>
      <c r="Q94" s="165" t="s">
        <v>1649</v>
      </c>
    </row>
    <row r="95" spans="1:17" ht="13.5" thickBot="1" x14ac:dyDescent="0.25">
      <c r="A95" s="165" t="s">
        <v>376</v>
      </c>
      <c r="B95" s="168" t="s">
        <v>375</v>
      </c>
      <c r="C95" s="165" t="s">
        <v>17</v>
      </c>
      <c r="D95" s="166">
        <v>3</v>
      </c>
      <c r="E95" s="166">
        <v>5</v>
      </c>
      <c r="F95" s="165" t="s">
        <v>1648</v>
      </c>
      <c r="G95" s="167">
        <v>2200</v>
      </c>
      <c r="H95" s="165" t="s">
        <v>1833</v>
      </c>
      <c r="I95" s="165" t="s">
        <v>1648</v>
      </c>
      <c r="J95" s="165" t="s">
        <v>1833</v>
      </c>
      <c r="K95" s="165" t="s">
        <v>1648</v>
      </c>
      <c r="L95" s="165" t="s">
        <v>1648</v>
      </c>
      <c r="M95" s="165" t="s">
        <v>1649</v>
      </c>
      <c r="N95" s="165" t="s">
        <v>1649</v>
      </c>
      <c r="O95" s="165" t="s">
        <v>1648</v>
      </c>
      <c r="P95" s="165" t="s">
        <v>1648</v>
      </c>
      <c r="Q95" s="165" t="s">
        <v>1648</v>
      </c>
    </row>
    <row r="96" spans="1:17" ht="13.5" thickBot="1" x14ac:dyDescent="0.25">
      <c r="A96" s="165" t="s">
        <v>382</v>
      </c>
      <c r="B96" s="168" t="s">
        <v>381</v>
      </c>
      <c r="C96" s="165" t="s">
        <v>17</v>
      </c>
      <c r="D96" s="166">
        <v>6</v>
      </c>
      <c r="E96" s="166">
        <v>12</v>
      </c>
      <c r="F96" s="165" t="s">
        <v>1648</v>
      </c>
      <c r="G96" s="167">
        <v>0</v>
      </c>
      <c r="H96" s="165" t="s">
        <v>1740</v>
      </c>
      <c r="I96" s="165" t="s">
        <v>1648</v>
      </c>
      <c r="J96" s="165" t="s">
        <v>1740</v>
      </c>
      <c r="K96" s="165" t="s">
        <v>1648</v>
      </c>
      <c r="L96" s="165" t="s">
        <v>1648</v>
      </c>
      <c r="M96" s="165" t="s">
        <v>1648</v>
      </c>
      <c r="N96" s="165" t="s">
        <v>1648</v>
      </c>
      <c r="O96" s="165" t="s">
        <v>1648</v>
      </c>
      <c r="P96" s="165" t="s">
        <v>1648</v>
      </c>
      <c r="Q96" s="165" t="s">
        <v>1649</v>
      </c>
    </row>
    <row r="97" spans="1:17" ht="13.5" thickBot="1" x14ac:dyDescent="0.25">
      <c r="A97" s="165" t="s">
        <v>388</v>
      </c>
      <c r="B97" s="168" t="s">
        <v>387</v>
      </c>
      <c r="C97" s="165" t="s">
        <v>17</v>
      </c>
      <c r="D97" s="166">
        <v>3</v>
      </c>
      <c r="E97" s="166">
        <v>8</v>
      </c>
      <c r="F97" s="165" t="s">
        <v>1648</v>
      </c>
      <c r="G97" s="167">
        <v>5500</v>
      </c>
      <c r="H97" s="165" t="s">
        <v>1726</v>
      </c>
      <c r="I97" s="165" t="s">
        <v>1648</v>
      </c>
      <c r="J97" s="165" t="s">
        <v>1726</v>
      </c>
      <c r="K97" s="165" t="s">
        <v>1648</v>
      </c>
      <c r="L97" s="165" t="s">
        <v>1648</v>
      </c>
      <c r="M97" s="165" t="s">
        <v>1649</v>
      </c>
      <c r="N97" s="165" t="s">
        <v>1648</v>
      </c>
      <c r="O97" s="165" t="s">
        <v>1648</v>
      </c>
      <c r="P97" s="165" t="s">
        <v>1648</v>
      </c>
      <c r="Q97" s="165" t="s">
        <v>1648</v>
      </c>
    </row>
    <row r="98" spans="1:17" ht="13.5" thickBot="1" x14ac:dyDescent="0.25">
      <c r="A98" s="165" t="s">
        <v>392</v>
      </c>
      <c r="B98" s="168" t="s">
        <v>391</v>
      </c>
      <c r="C98" s="165" t="s">
        <v>17</v>
      </c>
      <c r="D98" s="166">
        <v>2</v>
      </c>
      <c r="E98" s="166">
        <v>6</v>
      </c>
      <c r="F98" s="165" t="s">
        <v>1648</v>
      </c>
      <c r="G98" s="167">
        <v>700</v>
      </c>
      <c r="H98" s="165" t="s">
        <v>1838</v>
      </c>
      <c r="I98" s="165" t="s">
        <v>1648</v>
      </c>
      <c r="J98" s="165" t="s">
        <v>1838</v>
      </c>
      <c r="K98" s="165" t="s">
        <v>1649</v>
      </c>
      <c r="L98" s="165" t="s">
        <v>1648</v>
      </c>
      <c r="M98" s="165" t="s">
        <v>1649</v>
      </c>
      <c r="N98" s="165" t="s">
        <v>1649</v>
      </c>
      <c r="O98" s="165" t="s">
        <v>1648</v>
      </c>
      <c r="P98" s="165" t="s">
        <v>1648</v>
      </c>
      <c r="Q98" s="165" t="s">
        <v>1648</v>
      </c>
    </row>
    <row r="99" spans="1:17" ht="13.5" thickBot="1" x14ac:dyDescent="0.25">
      <c r="A99" s="165" t="s">
        <v>396</v>
      </c>
      <c r="B99" s="168" t="s">
        <v>395</v>
      </c>
      <c r="C99" s="165" t="s">
        <v>17</v>
      </c>
      <c r="D99" s="166">
        <v>2</v>
      </c>
      <c r="E99" s="166">
        <v>8</v>
      </c>
      <c r="F99" s="165" t="s">
        <v>1648</v>
      </c>
      <c r="G99" s="167">
        <v>1370</v>
      </c>
      <c r="H99" s="165" t="s">
        <v>1811</v>
      </c>
      <c r="I99" s="165" t="s">
        <v>1648</v>
      </c>
      <c r="J99" s="165" t="s">
        <v>1811</v>
      </c>
      <c r="K99" s="165" t="s">
        <v>1648</v>
      </c>
      <c r="L99" s="165" t="s">
        <v>1648</v>
      </c>
      <c r="M99" s="165" t="s">
        <v>1649</v>
      </c>
      <c r="N99" s="165" t="s">
        <v>1649</v>
      </c>
      <c r="O99" s="165" t="s">
        <v>1648</v>
      </c>
      <c r="P99" s="165" t="s">
        <v>1648</v>
      </c>
      <c r="Q99" s="165" t="s">
        <v>1648</v>
      </c>
    </row>
    <row r="100" spans="1:17" ht="13.5" thickBot="1" x14ac:dyDescent="0.25">
      <c r="A100" s="165" t="s">
        <v>398</v>
      </c>
      <c r="B100" s="168" t="s">
        <v>397</v>
      </c>
      <c r="C100" s="165" t="s">
        <v>17</v>
      </c>
      <c r="D100" s="166">
        <v>4</v>
      </c>
      <c r="E100" s="166">
        <v>5</v>
      </c>
      <c r="F100" s="165" t="s">
        <v>1648</v>
      </c>
      <c r="G100" s="167">
        <v>2540</v>
      </c>
      <c r="H100" s="165" t="s">
        <v>1833</v>
      </c>
      <c r="I100" s="165" t="s">
        <v>1648</v>
      </c>
      <c r="J100" s="165" t="s">
        <v>1833</v>
      </c>
      <c r="K100" s="165" t="s">
        <v>1648</v>
      </c>
      <c r="L100" s="165" t="s">
        <v>1648</v>
      </c>
      <c r="M100" s="165" t="s">
        <v>1649</v>
      </c>
      <c r="N100" s="165" t="s">
        <v>1649</v>
      </c>
      <c r="O100" s="165" t="s">
        <v>1648</v>
      </c>
      <c r="P100" s="165" t="s">
        <v>1648</v>
      </c>
      <c r="Q100" s="165" t="s">
        <v>1648</v>
      </c>
    </row>
    <row r="101" spans="1:17" ht="13.5" thickBot="1" x14ac:dyDescent="0.25">
      <c r="A101" s="165" t="s">
        <v>400</v>
      </c>
      <c r="B101" s="168" t="s">
        <v>399</v>
      </c>
      <c r="C101" s="165" t="s">
        <v>17</v>
      </c>
      <c r="D101" s="166">
        <v>6</v>
      </c>
      <c r="E101" s="166">
        <v>32</v>
      </c>
      <c r="F101" s="165" t="s">
        <v>1648</v>
      </c>
      <c r="G101" s="167">
        <v>23000</v>
      </c>
      <c r="H101" s="165" t="s">
        <v>1737</v>
      </c>
      <c r="I101" s="165" t="s">
        <v>1648</v>
      </c>
      <c r="J101" s="165" t="s">
        <v>1839</v>
      </c>
      <c r="K101" s="165" t="s">
        <v>1648</v>
      </c>
      <c r="L101" s="165" t="s">
        <v>1648</v>
      </c>
      <c r="M101" s="165" t="s">
        <v>1649</v>
      </c>
      <c r="N101" s="165" t="s">
        <v>1649</v>
      </c>
      <c r="O101" s="165" t="s">
        <v>1648</v>
      </c>
      <c r="P101" s="165" t="s">
        <v>1648</v>
      </c>
      <c r="Q101" s="165" t="s">
        <v>1649</v>
      </c>
    </row>
    <row r="102" spans="1:17" ht="13.5" thickBot="1" x14ac:dyDescent="0.25">
      <c r="A102" s="165" t="s">
        <v>414</v>
      </c>
      <c r="B102" s="168" t="s">
        <v>413</v>
      </c>
      <c r="C102" s="165" t="s">
        <v>17</v>
      </c>
      <c r="D102" s="166">
        <v>7</v>
      </c>
      <c r="E102" s="166">
        <v>23</v>
      </c>
      <c r="F102" s="165" t="s">
        <v>1648</v>
      </c>
      <c r="G102" s="167">
        <v>13500</v>
      </c>
      <c r="H102" s="165" t="s">
        <v>1842</v>
      </c>
      <c r="I102" s="165" t="s">
        <v>1648</v>
      </c>
      <c r="J102" s="165" t="s">
        <v>1843</v>
      </c>
      <c r="K102" s="165" t="s">
        <v>1648</v>
      </c>
      <c r="L102" s="165" t="s">
        <v>1648</v>
      </c>
      <c r="M102" s="165" t="s">
        <v>1649</v>
      </c>
      <c r="N102" s="165" t="s">
        <v>1648</v>
      </c>
      <c r="O102" s="165" t="s">
        <v>1648</v>
      </c>
      <c r="P102" s="165" t="s">
        <v>1648</v>
      </c>
      <c r="Q102" s="165" t="s">
        <v>1648</v>
      </c>
    </row>
    <row r="103" spans="1:17" ht="13.5" thickBot="1" x14ac:dyDescent="0.25">
      <c r="A103" s="165" t="s">
        <v>427</v>
      </c>
      <c r="B103" s="168" t="s">
        <v>426</v>
      </c>
      <c r="C103" s="165" t="s">
        <v>17</v>
      </c>
      <c r="D103" s="166">
        <v>8</v>
      </c>
      <c r="E103" s="166">
        <v>10</v>
      </c>
      <c r="F103" s="165" t="s">
        <v>1648</v>
      </c>
      <c r="G103" s="167">
        <v>16000</v>
      </c>
      <c r="H103" s="165" t="s">
        <v>1849</v>
      </c>
      <c r="I103" s="165" t="s">
        <v>1648</v>
      </c>
      <c r="J103" s="165" t="s">
        <v>1850</v>
      </c>
      <c r="K103" s="165" t="s">
        <v>1648</v>
      </c>
      <c r="L103" s="165" t="s">
        <v>1648</v>
      </c>
      <c r="M103" s="165" t="s">
        <v>1649</v>
      </c>
      <c r="N103" s="165" t="s">
        <v>1648</v>
      </c>
      <c r="O103" s="165" t="s">
        <v>1648</v>
      </c>
      <c r="P103" s="165" t="s">
        <v>1648</v>
      </c>
      <c r="Q103" s="165" t="s">
        <v>1649</v>
      </c>
    </row>
    <row r="104" spans="1:17" ht="13.5" thickBot="1" x14ac:dyDescent="0.25">
      <c r="A104" s="165" t="s">
        <v>429</v>
      </c>
      <c r="B104" s="168" t="s">
        <v>428</v>
      </c>
      <c r="C104" s="165" t="s">
        <v>17</v>
      </c>
      <c r="D104" s="166">
        <v>7</v>
      </c>
      <c r="E104" s="166">
        <v>8</v>
      </c>
      <c r="F104" s="165" t="s">
        <v>1648</v>
      </c>
      <c r="G104" s="167">
        <v>2130</v>
      </c>
      <c r="H104" s="165" t="s">
        <v>1768</v>
      </c>
      <c r="I104" s="165" t="s">
        <v>1648</v>
      </c>
      <c r="J104" s="165" t="s">
        <v>1768</v>
      </c>
      <c r="K104" s="165" t="s">
        <v>1648</v>
      </c>
      <c r="L104" s="165" t="s">
        <v>1648</v>
      </c>
      <c r="M104" s="165" t="s">
        <v>1649</v>
      </c>
      <c r="N104" s="165" t="s">
        <v>1649</v>
      </c>
      <c r="O104" s="165" t="s">
        <v>1648</v>
      </c>
      <c r="P104" s="165" t="s">
        <v>1648</v>
      </c>
      <c r="Q104" s="165" t="s">
        <v>1648</v>
      </c>
    </row>
    <row r="105" spans="1:17" ht="13.5" thickBot="1" x14ac:dyDescent="0.25">
      <c r="A105" s="165" t="s">
        <v>450</v>
      </c>
      <c r="B105" s="168" t="s">
        <v>449</v>
      </c>
      <c r="C105" s="165" t="s">
        <v>17</v>
      </c>
      <c r="D105" s="166">
        <v>4</v>
      </c>
      <c r="E105" s="166">
        <v>14</v>
      </c>
      <c r="F105" s="165" t="s">
        <v>1648</v>
      </c>
      <c r="G105" s="167">
        <v>7000</v>
      </c>
      <c r="H105" s="165" t="s">
        <v>1791</v>
      </c>
      <c r="I105" s="165" t="s">
        <v>1648</v>
      </c>
      <c r="J105" s="165" t="s">
        <v>1791</v>
      </c>
      <c r="K105" s="165" t="s">
        <v>1648</v>
      </c>
      <c r="L105" s="165" t="s">
        <v>1648</v>
      </c>
      <c r="M105" s="165" t="s">
        <v>1649</v>
      </c>
      <c r="N105" s="165" t="s">
        <v>1649</v>
      </c>
      <c r="O105" s="165" t="s">
        <v>1648</v>
      </c>
      <c r="P105" s="165" t="s">
        <v>1648</v>
      </c>
      <c r="Q105" s="165" t="s">
        <v>1648</v>
      </c>
    </row>
    <row r="106" spans="1:17" ht="13.5" thickBot="1" x14ac:dyDescent="0.25">
      <c r="A106" s="165" t="s">
        <v>456</v>
      </c>
      <c r="B106" s="168" t="s">
        <v>455</v>
      </c>
      <c r="C106" s="165" t="s">
        <v>17</v>
      </c>
      <c r="D106" s="166">
        <v>3</v>
      </c>
      <c r="E106" s="166">
        <v>7</v>
      </c>
      <c r="F106" s="165" t="s">
        <v>1648</v>
      </c>
      <c r="G106" s="167">
        <v>750</v>
      </c>
      <c r="H106" s="165" t="s">
        <v>1823</v>
      </c>
      <c r="I106" s="165" t="s">
        <v>1648</v>
      </c>
      <c r="J106" s="165" t="s">
        <v>1823</v>
      </c>
      <c r="K106" s="165" t="s">
        <v>1648</v>
      </c>
      <c r="L106" s="165" t="s">
        <v>1648</v>
      </c>
      <c r="M106" s="165" t="s">
        <v>1649</v>
      </c>
      <c r="N106" s="165" t="s">
        <v>1649</v>
      </c>
      <c r="O106" s="165" t="s">
        <v>1648</v>
      </c>
      <c r="P106" s="165" t="s">
        <v>1648</v>
      </c>
      <c r="Q106" s="165" t="s">
        <v>1648</v>
      </c>
    </row>
    <row r="107" spans="1:17" ht="13.5" thickBot="1" x14ac:dyDescent="0.25">
      <c r="A107" s="165" t="s">
        <v>462</v>
      </c>
      <c r="B107" s="168" t="s">
        <v>461</v>
      </c>
      <c r="C107" s="165" t="s">
        <v>17</v>
      </c>
      <c r="D107" s="166">
        <v>7</v>
      </c>
      <c r="E107" s="166">
        <v>6</v>
      </c>
      <c r="F107" s="165" t="s">
        <v>1648</v>
      </c>
      <c r="G107" s="167">
        <v>8000</v>
      </c>
      <c r="H107" s="165" t="s">
        <v>1776</v>
      </c>
      <c r="I107" s="165" t="s">
        <v>1648</v>
      </c>
      <c r="J107" s="165" t="s">
        <v>1766</v>
      </c>
      <c r="K107" s="165" t="s">
        <v>1648</v>
      </c>
      <c r="L107" s="165" t="s">
        <v>1648</v>
      </c>
      <c r="M107" s="165" t="s">
        <v>1649</v>
      </c>
      <c r="N107" s="165" t="s">
        <v>1648</v>
      </c>
      <c r="O107" s="165" t="s">
        <v>1648</v>
      </c>
      <c r="P107" s="165" t="s">
        <v>1648</v>
      </c>
      <c r="Q107" s="165" t="s">
        <v>1648</v>
      </c>
    </row>
    <row r="108" spans="1:17" ht="13.5" thickBot="1" x14ac:dyDescent="0.25">
      <c r="A108" s="165" t="s">
        <v>466</v>
      </c>
      <c r="B108" s="168" t="s">
        <v>465</v>
      </c>
      <c r="C108" s="165" t="s">
        <v>17</v>
      </c>
      <c r="D108" s="166">
        <v>3</v>
      </c>
      <c r="E108" s="166">
        <v>11</v>
      </c>
      <c r="F108" s="165" t="s">
        <v>1648</v>
      </c>
      <c r="G108" s="167">
        <v>5000</v>
      </c>
      <c r="H108" s="165" t="s">
        <v>1857</v>
      </c>
      <c r="I108" s="165" t="s">
        <v>1648</v>
      </c>
      <c r="J108" s="165" t="s">
        <v>1857</v>
      </c>
      <c r="K108" s="165" t="s">
        <v>1648</v>
      </c>
      <c r="L108" s="165" t="s">
        <v>1649</v>
      </c>
      <c r="M108" s="165" t="s">
        <v>1649</v>
      </c>
      <c r="N108" s="165" t="s">
        <v>1649</v>
      </c>
      <c r="O108" s="165" t="s">
        <v>1648</v>
      </c>
      <c r="P108" s="165" t="s">
        <v>1648</v>
      </c>
      <c r="Q108" s="165" t="s">
        <v>1648</v>
      </c>
    </row>
    <row r="109" spans="1:17" ht="13.5" thickBot="1" x14ac:dyDescent="0.25">
      <c r="A109" s="165" t="s">
        <v>478</v>
      </c>
      <c r="B109" s="168" t="s">
        <v>477</v>
      </c>
      <c r="C109" s="165" t="s">
        <v>17</v>
      </c>
      <c r="D109" s="166">
        <v>5</v>
      </c>
      <c r="E109" s="166">
        <v>7</v>
      </c>
      <c r="F109" s="165" t="s">
        <v>1648</v>
      </c>
      <c r="G109" s="167">
        <v>2000</v>
      </c>
      <c r="H109" s="165" t="s">
        <v>1751</v>
      </c>
      <c r="I109" s="165" t="s">
        <v>1648</v>
      </c>
      <c r="J109" s="165" t="s">
        <v>1751</v>
      </c>
      <c r="K109" s="165" t="s">
        <v>1648</v>
      </c>
      <c r="L109" s="165" t="s">
        <v>1648</v>
      </c>
      <c r="M109" s="165" t="s">
        <v>1649</v>
      </c>
      <c r="N109" s="165" t="s">
        <v>1648</v>
      </c>
      <c r="O109" s="165" t="s">
        <v>1648</v>
      </c>
      <c r="P109" s="165" t="s">
        <v>1648</v>
      </c>
      <c r="Q109" s="165" t="s">
        <v>1648</v>
      </c>
    </row>
    <row r="110" spans="1:17" ht="13.5" thickBot="1" x14ac:dyDescent="0.25">
      <c r="A110" s="165" t="s">
        <v>480</v>
      </c>
      <c r="B110" s="168" t="s">
        <v>479</v>
      </c>
      <c r="C110" s="165" t="s">
        <v>17</v>
      </c>
      <c r="D110" s="166">
        <v>3</v>
      </c>
      <c r="E110" s="166">
        <v>3</v>
      </c>
      <c r="F110" s="165" t="s">
        <v>1648</v>
      </c>
      <c r="G110" s="167">
        <v>5500</v>
      </c>
      <c r="H110" s="165" t="s">
        <v>1822</v>
      </c>
      <c r="I110" s="165" t="s">
        <v>1648</v>
      </c>
      <c r="J110" s="165" t="s">
        <v>1822</v>
      </c>
      <c r="K110" s="165" t="s">
        <v>1648</v>
      </c>
      <c r="L110" s="165" t="s">
        <v>1648</v>
      </c>
      <c r="M110" s="165" t="s">
        <v>1649</v>
      </c>
      <c r="N110" s="165" t="s">
        <v>1648</v>
      </c>
      <c r="O110" s="165" t="s">
        <v>1648</v>
      </c>
      <c r="P110" s="165" t="s">
        <v>1648</v>
      </c>
      <c r="Q110" s="165" t="s">
        <v>1648</v>
      </c>
    </row>
    <row r="111" spans="1:17" ht="13.5" thickBot="1" x14ac:dyDescent="0.25">
      <c r="A111" s="165" t="s">
        <v>488</v>
      </c>
      <c r="B111" s="168" t="s">
        <v>487</v>
      </c>
      <c r="C111" s="165" t="s">
        <v>17</v>
      </c>
      <c r="D111" s="166">
        <v>4</v>
      </c>
      <c r="E111" s="166">
        <v>6</v>
      </c>
      <c r="F111" s="165" t="s">
        <v>1648</v>
      </c>
      <c r="G111" s="167">
        <v>3100</v>
      </c>
      <c r="H111" s="165" t="s">
        <v>1725</v>
      </c>
      <c r="I111" s="165" t="s">
        <v>1648</v>
      </c>
      <c r="J111" s="165" t="s">
        <v>1725</v>
      </c>
      <c r="K111" s="165" t="s">
        <v>1648</v>
      </c>
      <c r="L111" s="165" t="s">
        <v>1648</v>
      </c>
      <c r="M111" s="165" t="s">
        <v>1649</v>
      </c>
      <c r="N111" s="165" t="s">
        <v>1649</v>
      </c>
      <c r="O111" s="165" t="s">
        <v>1648</v>
      </c>
      <c r="P111" s="165" t="s">
        <v>1648</v>
      </c>
      <c r="Q111" s="165" t="s">
        <v>1648</v>
      </c>
    </row>
    <row r="112" spans="1:17" ht="13.5" thickBot="1" x14ac:dyDescent="0.25">
      <c r="A112" s="165" t="s">
        <v>490</v>
      </c>
      <c r="B112" s="168" t="s">
        <v>489</v>
      </c>
      <c r="C112" s="165" t="s">
        <v>17</v>
      </c>
      <c r="D112" s="166">
        <v>3</v>
      </c>
      <c r="E112" s="166">
        <v>22</v>
      </c>
      <c r="F112" s="165" t="s">
        <v>1648</v>
      </c>
      <c r="G112" s="167">
        <v>3386</v>
      </c>
      <c r="H112" s="165" t="s">
        <v>1861</v>
      </c>
      <c r="I112" s="165" t="s">
        <v>1648</v>
      </c>
      <c r="J112" s="165" t="s">
        <v>1862</v>
      </c>
      <c r="K112" s="165" t="s">
        <v>1648</v>
      </c>
      <c r="L112" s="165" t="s">
        <v>1648</v>
      </c>
      <c r="M112" s="165" t="s">
        <v>1649</v>
      </c>
      <c r="N112" s="165" t="s">
        <v>1649</v>
      </c>
      <c r="O112" s="165" t="s">
        <v>1648</v>
      </c>
      <c r="P112" s="165" t="s">
        <v>1649</v>
      </c>
      <c r="Q112" s="165" t="s">
        <v>1649</v>
      </c>
    </row>
    <row r="113" spans="1:17" ht="13.5" thickBot="1" x14ac:dyDescent="0.25">
      <c r="A113" s="165" t="s">
        <v>494</v>
      </c>
      <c r="B113" s="168" t="s">
        <v>493</v>
      </c>
      <c r="C113" s="165" t="s">
        <v>17</v>
      </c>
      <c r="D113" s="166">
        <v>2</v>
      </c>
      <c r="E113" s="166">
        <v>6</v>
      </c>
      <c r="F113" s="165" t="s">
        <v>1648</v>
      </c>
      <c r="G113" s="167">
        <v>1590</v>
      </c>
      <c r="H113" s="165" t="s">
        <v>1750</v>
      </c>
      <c r="I113" s="165" t="s">
        <v>1649</v>
      </c>
      <c r="J113" s="165" t="s">
        <v>1750</v>
      </c>
      <c r="K113" s="165" t="s">
        <v>1648</v>
      </c>
      <c r="L113" s="165" t="s">
        <v>1648</v>
      </c>
      <c r="M113" s="165" t="s">
        <v>1649</v>
      </c>
      <c r="N113" s="165" t="s">
        <v>1649</v>
      </c>
      <c r="O113" s="165" t="s">
        <v>1648</v>
      </c>
      <c r="P113" s="165" t="s">
        <v>1648</v>
      </c>
      <c r="Q113" s="165" t="s">
        <v>1649</v>
      </c>
    </row>
    <row r="114" spans="1:17" ht="13.5" thickBot="1" x14ac:dyDescent="0.25">
      <c r="A114" s="165" t="s">
        <v>512</v>
      </c>
      <c r="B114" s="168" t="s">
        <v>511</v>
      </c>
      <c r="C114" s="165" t="s">
        <v>17</v>
      </c>
      <c r="D114" s="166">
        <v>3</v>
      </c>
      <c r="E114" s="166">
        <v>8</v>
      </c>
      <c r="F114" s="165" t="s">
        <v>1648</v>
      </c>
      <c r="G114" s="167">
        <v>2800</v>
      </c>
      <c r="H114" s="165" t="s">
        <v>1725</v>
      </c>
      <c r="I114" s="165" t="s">
        <v>1648</v>
      </c>
      <c r="J114" s="165" t="s">
        <v>1725</v>
      </c>
      <c r="K114" s="165" t="s">
        <v>1648</v>
      </c>
      <c r="L114" s="165" t="s">
        <v>1648</v>
      </c>
      <c r="M114" s="165" t="s">
        <v>1649</v>
      </c>
      <c r="N114" s="165" t="s">
        <v>1649</v>
      </c>
      <c r="O114" s="165" t="s">
        <v>1648</v>
      </c>
      <c r="P114" s="165" t="s">
        <v>1648</v>
      </c>
      <c r="Q114" s="165" t="s">
        <v>1648</v>
      </c>
    </row>
    <row r="115" spans="1:17" ht="13.5" thickBot="1" x14ac:dyDescent="0.25">
      <c r="A115" s="165" t="s">
        <v>514</v>
      </c>
      <c r="B115" s="168" t="s">
        <v>513</v>
      </c>
      <c r="C115" s="165" t="s">
        <v>17</v>
      </c>
      <c r="D115" s="166">
        <v>10</v>
      </c>
      <c r="E115" s="166">
        <v>34</v>
      </c>
      <c r="F115" s="165" t="s">
        <v>1648</v>
      </c>
      <c r="G115" s="167">
        <v>2690</v>
      </c>
      <c r="H115" s="165" t="s">
        <v>1747</v>
      </c>
      <c r="I115" s="165" t="s">
        <v>1648</v>
      </c>
      <c r="J115" s="165" t="s">
        <v>1747</v>
      </c>
      <c r="K115" s="165" t="s">
        <v>1648</v>
      </c>
      <c r="L115" s="165" t="s">
        <v>1648</v>
      </c>
      <c r="M115" s="165" t="s">
        <v>1648</v>
      </c>
      <c r="N115" s="165" t="s">
        <v>1649</v>
      </c>
      <c r="O115" s="165" t="s">
        <v>1648</v>
      </c>
      <c r="P115" s="165" t="s">
        <v>1648</v>
      </c>
      <c r="Q115" s="165" t="s">
        <v>1649</v>
      </c>
    </row>
    <row r="116" spans="1:17" ht="13.5" thickBot="1" x14ac:dyDescent="0.25">
      <c r="A116" s="165" t="s">
        <v>526</v>
      </c>
      <c r="B116" s="168" t="s">
        <v>525</v>
      </c>
      <c r="C116" s="165" t="s">
        <v>17</v>
      </c>
      <c r="D116" s="166">
        <v>10</v>
      </c>
      <c r="E116" s="166">
        <v>21</v>
      </c>
      <c r="F116" s="165" t="s">
        <v>1648</v>
      </c>
      <c r="G116" s="167">
        <v>2300</v>
      </c>
      <c r="H116" s="165" t="s">
        <v>1756</v>
      </c>
      <c r="I116" s="165" t="s">
        <v>1648</v>
      </c>
      <c r="J116" s="165" t="s">
        <v>1745</v>
      </c>
      <c r="K116" s="165" t="s">
        <v>1648</v>
      </c>
      <c r="L116" s="165" t="s">
        <v>1648</v>
      </c>
      <c r="M116" s="165" t="s">
        <v>1648</v>
      </c>
      <c r="N116" s="165" t="s">
        <v>1648</v>
      </c>
      <c r="O116" s="165" t="s">
        <v>1648</v>
      </c>
      <c r="P116" s="165" t="s">
        <v>1648</v>
      </c>
      <c r="Q116" s="165" t="s">
        <v>1648</v>
      </c>
    </row>
    <row r="117" spans="1:17" ht="13.5" thickBot="1" x14ac:dyDescent="0.25">
      <c r="A117" s="165" t="s">
        <v>528</v>
      </c>
      <c r="B117" s="168" t="s">
        <v>527</v>
      </c>
      <c r="C117" s="165" t="s">
        <v>17</v>
      </c>
      <c r="D117" s="166">
        <v>8</v>
      </c>
      <c r="E117" s="166">
        <v>10</v>
      </c>
      <c r="F117" s="165" t="s">
        <v>1648</v>
      </c>
      <c r="G117" s="167">
        <v>12618</v>
      </c>
      <c r="H117" s="165" t="s">
        <v>1870</v>
      </c>
      <c r="I117" s="165" t="s">
        <v>1648</v>
      </c>
      <c r="J117" s="165" t="s">
        <v>1739</v>
      </c>
      <c r="K117" s="165" t="s">
        <v>1648</v>
      </c>
      <c r="L117" s="165" t="s">
        <v>1648</v>
      </c>
      <c r="M117" s="165" t="s">
        <v>1649</v>
      </c>
      <c r="N117" s="165" t="s">
        <v>1648</v>
      </c>
      <c r="O117" s="165" t="s">
        <v>1648</v>
      </c>
      <c r="P117" s="165" t="s">
        <v>1648</v>
      </c>
      <c r="Q117" s="165" t="s">
        <v>1648</v>
      </c>
    </row>
    <row r="118" spans="1:17" ht="13.5" thickBot="1" x14ac:dyDescent="0.25">
      <c r="A118" s="165" t="s">
        <v>532</v>
      </c>
      <c r="B118" s="168" t="s">
        <v>531</v>
      </c>
      <c r="C118" s="165" t="s">
        <v>17</v>
      </c>
      <c r="D118" s="166">
        <v>2</v>
      </c>
      <c r="E118" s="166">
        <v>2</v>
      </c>
      <c r="F118" s="165" t="s">
        <v>1648</v>
      </c>
      <c r="G118" s="167">
        <v>803</v>
      </c>
      <c r="H118" s="165" t="s">
        <v>1747</v>
      </c>
      <c r="I118" s="165" t="s">
        <v>1648</v>
      </c>
      <c r="J118" s="165" t="s">
        <v>1747</v>
      </c>
      <c r="K118" s="165" t="s">
        <v>1648</v>
      </c>
      <c r="L118" s="165" t="s">
        <v>1648</v>
      </c>
      <c r="M118" s="165" t="s">
        <v>1649</v>
      </c>
      <c r="N118" s="165" t="s">
        <v>1649</v>
      </c>
      <c r="O118" s="165" t="s">
        <v>1648</v>
      </c>
      <c r="P118" s="165" t="s">
        <v>1649</v>
      </c>
      <c r="Q118" s="165" t="s">
        <v>1648</v>
      </c>
    </row>
    <row r="119" spans="1:17" ht="13.5" thickBot="1" x14ac:dyDescent="0.25">
      <c r="A119" s="165" t="s">
        <v>540</v>
      </c>
      <c r="B119" s="168" t="s">
        <v>539</v>
      </c>
      <c r="C119" s="165" t="s">
        <v>17</v>
      </c>
      <c r="D119" s="166">
        <v>7</v>
      </c>
      <c r="E119" s="166">
        <v>7</v>
      </c>
      <c r="F119" s="165" t="s">
        <v>1648</v>
      </c>
      <c r="G119" s="167">
        <v>900</v>
      </c>
      <c r="H119" s="165" t="s">
        <v>1744</v>
      </c>
      <c r="I119" s="165" t="s">
        <v>1648</v>
      </c>
      <c r="J119" s="165" t="s">
        <v>1744</v>
      </c>
      <c r="K119" s="165" t="s">
        <v>1648</v>
      </c>
      <c r="L119" s="165" t="s">
        <v>1648</v>
      </c>
      <c r="M119" s="165" t="s">
        <v>1649</v>
      </c>
      <c r="N119" s="165" t="s">
        <v>1648</v>
      </c>
      <c r="O119" s="165" t="s">
        <v>1648</v>
      </c>
      <c r="P119" s="165" t="s">
        <v>1648</v>
      </c>
      <c r="Q119" s="165" t="s">
        <v>1648</v>
      </c>
    </row>
    <row r="120" spans="1:17" ht="13.5" thickBot="1" x14ac:dyDescent="0.25">
      <c r="A120" s="165" t="s">
        <v>560</v>
      </c>
      <c r="B120" s="168" t="s">
        <v>559</v>
      </c>
      <c r="C120" s="165" t="s">
        <v>17</v>
      </c>
      <c r="D120" s="166">
        <v>5</v>
      </c>
      <c r="E120" s="166">
        <v>5</v>
      </c>
      <c r="F120" s="165" t="s">
        <v>1648</v>
      </c>
      <c r="G120" s="167">
        <v>4500</v>
      </c>
      <c r="H120" s="165" t="s">
        <v>1747</v>
      </c>
      <c r="I120" s="165" t="s">
        <v>1648</v>
      </c>
      <c r="J120" s="165" t="s">
        <v>1747</v>
      </c>
      <c r="K120" s="165" t="s">
        <v>1648</v>
      </c>
      <c r="L120" s="165" t="s">
        <v>1648</v>
      </c>
      <c r="M120" s="165" t="s">
        <v>1649</v>
      </c>
      <c r="N120" s="165" t="s">
        <v>1649</v>
      </c>
      <c r="O120" s="165" t="s">
        <v>1648</v>
      </c>
      <c r="P120" s="165" t="s">
        <v>1648</v>
      </c>
      <c r="Q120" s="165" t="s">
        <v>1648</v>
      </c>
    </row>
    <row r="121" spans="1:17" ht="13.5" thickBot="1" x14ac:dyDescent="0.25">
      <c r="A121" s="165" t="s">
        <v>566</v>
      </c>
      <c r="B121" s="168" t="s">
        <v>565</v>
      </c>
      <c r="C121" s="165" t="s">
        <v>17</v>
      </c>
      <c r="D121" s="166">
        <v>4</v>
      </c>
      <c r="E121" s="166">
        <v>14</v>
      </c>
      <c r="F121" s="165" t="s">
        <v>1648</v>
      </c>
      <c r="G121" s="167">
        <v>6000</v>
      </c>
      <c r="H121" s="165" t="s">
        <v>1791</v>
      </c>
      <c r="I121" s="165" t="s">
        <v>1648</v>
      </c>
      <c r="J121" s="165" t="s">
        <v>1791</v>
      </c>
      <c r="K121" s="165" t="s">
        <v>1648</v>
      </c>
      <c r="L121" s="165" t="s">
        <v>1648</v>
      </c>
      <c r="M121" s="165" t="s">
        <v>1649</v>
      </c>
      <c r="N121" s="165" t="s">
        <v>1648</v>
      </c>
      <c r="O121" s="165" t="s">
        <v>1648</v>
      </c>
      <c r="P121" s="165" t="s">
        <v>1648</v>
      </c>
      <c r="Q121" s="165" t="s">
        <v>1648</v>
      </c>
    </row>
    <row r="122" spans="1:17" ht="13.5" thickBot="1" x14ac:dyDescent="0.25">
      <c r="A122" s="165" t="s">
        <v>572</v>
      </c>
      <c r="B122" s="168" t="s">
        <v>571</v>
      </c>
      <c r="C122" s="165" t="s">
        <v>17</v>
      </c>
      <c r="D122" s="166">
        <v>4</v>
      </c>
      <c r="E122" s="166">
        <v>12</v>
      </c>
      <c r="F122" s="165" t="s">
        <v>1648</v>
      </c>
      <c r="G122" s="167">
        <v>0</v>
      </c>
      <c r="H122" s="165" t="s">
        <v>1740</v>
      </c>
      <c r="I122" s="165" t="s">
        <v>1648</v>
      </c>
      <c r="J122" s="165" t="s">
        <v>1740</v>
      </c>
      <c r="K122" s="165" t="s">
        <v>1648</v>
      </c>
      <c r="L122" s="165" t="s">
        <v>1648</v>
      </c>
      <c r="M122" s="165" t="s">
        <v>1649</v>
      </c>
      <c r="N122" s="165" t="s">
        <v>1648</v>
      </c>
      <c r="O122" s="165" t="s">
        <v>1648</v>
      </c>
      <c r="P122" s="165" t="s">
        <v>1648</v>
      </c>
      <c r="Q122" s="165" t="s">
        <v>1648</v>
      </c>
    </row>
    <row r="123" spans="1:17" ht="13.5" thickBot="1" x14ac:dyDescent="0.25">
      <c r="A123" s="165" t="s">
        <v>582</v>
      </c>
      <c r="B123" s="168" t="s">
        <v>581</v>
      </c>
      <c r="C123" s="165" t="s">
        <v>17</v>
      </c>
      <c r="D123" s="166">
        <v>5</v>
      </c>
      <c r="E123" s="166">
        <v>10</v>
      </c>
      <c r="F123" s="165" t="s">
        <v>1648</v>
      </c>
      <c r="G123" s="167">
        <v>8500</v>
      </c>
      <c r="H123" s="165" t="s">
        <v>1878</v>
      </c>
      <c r="I123" s="165" t="s">
        <v>1648</v>
      </c>
      <c r="J123" s="165" t="s">
        <v>1753</v>
      </c>
      <c r="K123" s="165" t="s">
        <v>1648</v>
      </c>
      <c r="L123" s="165" t="s">
        <v>1648</v>
      </c>
      <c r="M123" s="165" t="s">
        <v>1649</v>
      </c>
      <c r="N123" s="165" t="s">
        <v>1648</v>
      </c>
      <c r="O123" s="165" t="s">
        <v>1648</v>
      </c>
      <c r="P123" s="165" t="s">
        <v>1648</v>
      </c>
      <c r="Q123" s="165" t="s">
        <v>1648</v>
      </c>
    </row>
    <row r="124" spans="1:17" ht="13.5" thickBot="1" x14ac:dyDescent="0.25">
      <c r="A124" s="165" t="s">
        <v>586</v>
      </c>
      <c r="B124" s="168" t="s">
        <v>585</v>
      </c>
      <c r="C124" s="165" t="s">
        <v>17</v>
      </c>
      <c r="D124" s="166">
        <v>2</v>
      </c>
      <c r="E124" s="166">
        <v>7</v>
      </c>
      <c r="F124" s="165" t="s">
        <v>1648</v>
      </c>
      <c r="G124" s="167">
        <v>1500</v>
      </c>
      <c r="H124" s="165" t="s">
        <v>1750</v>
      </c>
      <c r="I124" s="165" t="s">
        <v>1648</v>
      </c>
      <c r="J124" s="165" t="s">
        <v>1750</v>
      </c>
      <c r="K124" s="165" t="s">
        <v>1648</v>
      </c>
      <c r="L124" s="165" t="s">
        <v>1648</v>
      </c>
      <c r="M124" s="165" t="s">
        <v>1649</v>
      </c>
      <c r="N124" s="165" t="s">
        <v>1649</v>
      </c>
      <c r="O124" s="165" t="s">
        <v>1648</v>
      </c>
      <c r="P124" s="165" t="s">
        <v>1648</v>
      </c>
      <c r="Q124" s="165" t="s">
        <v>1649</v>
      </c>
    </row>
    <row r="125" spans="1:17" ht="13.5" thickBot="1" x14ac:dyDescent="0.25">
      <c r="A125" s="165" t="s">
        <v>592</v>
      </c>
      <c r="B125" s="168" t="s">
        <v>591</v>
      </c>
      <c r="C125" s="165" t="s">
        <v>17</v>
      </c>
      <c r="D125" s="166">
        <v>2</v>
      </c>
      <c r="E125" s="166">
        <v>8</v>
      </c>
      <c r="F125" s="165" t="s">
        <v>1648</v>
      </c>
      <c r="G125" s="167">
        <v>2000</v>
      </c>
      <c r="H125" s="165" t="s">
        <v>1880</v>
      </c>
      <c r="I125" s="165" t="s">
        <v>1648</v>
      </c>
      <c r="J125" s="165" t="s">
        <v>1880</v>
      </c>
      <c r="K125" s="165" t="s">
        <v>1649</v>
      </c>
      <c r="L125" s="165" t="s">
        <v>1648</v>
      </c>
      <c r="M125" s="165" t="s">
        <v>1649</v>
      </c>
      <c r="N125" s="165" t="s">
        <v>1648</v>
      </c>
      <c r="O125" s="165" t="s">
        <v>1648</v>
      </c>
      <c r="P125" s="165" t="s">
        <v>1648</v>
      </c>
      <c r="Q125" s="165" t="s">
        <v>1648</v>
      </c>
    </row>
    <row r="126" spans="1:17" ht="13.5" thickBot="1" x14ac:dyDescent="0.25">
      <c r="A126" s="165" t="s">
        <v>600</v>
      </c>
      <c r="B126" s="168" t="s">
        <v>599</v>
      </c>
      <c r="C126" s="165" t="s">
        <v>17</v>
      </c>
      <c r="D126" s="166">
        <v>3</v>
      </c>
      <c r="E126" s="166">
        <v>7</v>
      </c>
      <c r="F126" s="165" t="s">
        <v>1648</v>
      </c>
      <c r="G126" s="167">
        <v>2778</v>
      </c>
      <c r="H126" s="165" t="s">
        <v>1882</v>
      </c>
      <c r="I126" s="165" t="s">
        <v>1648</v>
      </c>
      <c r="J126" s="165" t="s">
        <v>1882</v>
      </c>
      <c r="K126" s="165" t="s">
        <v>1648</v>
      </c>
      <c r="L126" s="165" t="s">
        <v>1648</v>
      </c>
      <c r="M126" s="165" t="s">
        <v>1649</v>
      </c>
      <c r="N126" s="165" t="s">
        <v>1649</v>
      </c>
      <c r="O126" s="165" t="s">
        <v>1648</v>
      </c>
      <c r="P126" s="165" t="s">
        <v>1648</v>
      </c>
      <c r="Q126" s="165" t="s">
        <v>1648</v>
      </c>
    </row>
    <row r="127" spans="1:17" ht="13.5" thickBot="1" x14ac:dyDescent="0.25">
      <c r="A127" s="165" t="s">
        <v>606</v>
      </c>
      <c r="B127" s="168" t="s">
        <v>605</v>
      </c>
      <c r="C127" s="165" t="s">
        <v>17</v>
      </c>
      <c r="D127" s="166">
        <v>3</v>
      </c>
      <c r="E127" s="166">
        <v>8</v>
      </c>
      <c r="F127" s="165" t="s">
        <v>1648</v>
      </c>
      <c r="G127" s="167">
        <v>1400</v>
      </c>
      <c r="H127" s="165" t="s">
        <v>1745</v>
      </c>
      <c r="I127" s="165" t="s">
        <v>1648</v>
      </c>
      <c r="J127" s="165" t="s">
        <v>1745</v>
      </c>
      <c r="K127" s="165" t="s">
        <v>1648</v>
      </c>
      <c r="L127" s="165" t="s">
        <v>1648</v>
      </c>
      <c r="M127" s="165" t="s">
        <v>1649</v>
      </c>
      <c r="N127" s="165" t="s">
        <v>1649</v>
      </c>
      <c r="O127" s="165" t="s">
        <v>1648</v>
      </c>
      <c r="P127" s="165" t="s">
        <v>1648</v>
      </c>
      <c r="Q127" s="165" t="s">
        <v>1648</v>
      </c>
    </row>
    <row r="128" spans="1:17" ht="13.5" thickBot="1" x14ac:dyDescent="0.25">
      <c r="A128" s="165" t="s">
        <v>608</v>
      </c>
      <c r="B128" s="168" t="s">
        <v>607</v>
      </c>
      <c r="C128" s="165" t="s">
        <v>17</v>
      </c>
      <c r="D128" s="166">
        <v>4</v>
      </c>
      <c r="E128" s="166">
        <v>10</v>
      </c>
      <c r="F128" s="165" t="s">
        <v>1648</v>
      </c>
      <c r="G128" s="167">
        <v>2000</v>
      </c>
      <c r="H128" s="165" t="s">
        <v>1756</v>
      </c>
      <c r="I128" s="165" t="s">
        <v>1648</v>
      </c>
      <c r="J128" s="165" t="s">
        <v>1756</v>
      </c>
      <c r="K128" s="165" t="s">
        <v>1648</v>
      </c>
      <c r="L128" s="165" t="s">
        <v>1648</v>
      </c>
      <c r="M128" s="165" t="s">
        <v>1649</v>
      </c>
      <c r="N128" s="165" t="s">
        <v>1649</v>
      </c>
      <c r="O128" s="165" t="s">
        <v>1648</v>
      </c>
      <c r="P128" s="165" t="s">
        <v>1648</v>
      </c>
      <c r="Q128" s="165" t="s">
        <v>1649</v>
      </c>
    </row>
    <row r="129" spans="1:17" ht="13.5" thickBot="1" x14ac:dyDescent="0.25">
      <c r="A129" s="165" t="s">
        <v>614</v>
      </c>
      <c r="B129" s="168" t="s">
        <v>613</v>
      </c>
      <c r="C129" s="165" t="s">
        <v>17</v>
      </c>
      <c r="D129" s="166">
        <v>2</v>
      </c>
      <c r="E129" s="166">
        <v>10</v>
      </c>
      <c r="F129" s="165" t="s">
        <v>1648</v>
      </c>
      <c r="G129" s="167">
        <v>3000</v>
      </c>
      <c r="H129" s="165" t="s">
        <v>1770</v>
      </c>
      <c r="I129" s="165" t="s">
        <v>1648</v>
      </c>
      <c r="J129" s="165" t="s">
        <v>1770</v>
      </c>
      <c r="K129" s="165" t="s">
        <v>1649</v>
      </c>
      <c r="L129" s="165" t="s">
        <v>1648</v>
      </c>
      <c r="M129" s="165" t="s">
        <v>1649</v>
      </c>
      <c r="N129" s="165" t="s">
        <v>1649</v>
      </c>
      <c r="O129" s="165" t="s">
        <v>1648</v>
      </c>
      <c r="P129" s="165" t="s">
        <v>1648</v>
      </c>
      <c r="Q129" s="165" t="s">
        <v>1648</v>
      </c>
    </row>
    <row r="130" spans="1:17" ht="13.5" thickBot="1" x14ac:dyDescent="0.25">
      <c r="A130" s="165" t="s">
        <v>620</v>
      </c>
      <c r="B130" s="168" t="s">
        <v>619</v>
      </c>
      <c r="C130" s="165" t="s">
        <v>17</v>
      </c>
      <c r="D130" s="166">
        <v>3</v>
      </c>
      <c r="E130" s="166">
        <v>8</v>
      </c>
      <c r="F130" s="165" t="s">
        <v>1648</v>
      </c>
      <c r="G130" s="167">
        <v>2500</v>
      </c>
      <c r="H130" s="165" t="s">
        <v>1613</v>
      </c>
      <c r="I130" s="165" t="s">
        <v>1648</v>
      </c>
      <c r="J130" s="165" t="s">
        <v>1613</v>
      </c>
      <c r="K130" s="165" t="s">
        <v>1648</v>
      </c>
      <c r="L130" s="165" t="s">
        <v>1648</v>
      </c>
      <c r="M130" s="165" t="s">
        <v>1649</v>
      </c>
      <c r="N130" s="165" t="s">
        <v>1649</v>
      </c>
      <c r="O130" s="165" t="s">
        <v>1648</v>
      </c>
      <c r="P130" s="165" t="s">
        <v>1648</v>
      </c>
      <c r="Q130" s="165" t="s">
        <v>1649</v>
      </c>
    </row>
    <row r="131" spans="1:17" ht="13.5" thickBot="1" x14ac:dyDescent="0.25">
      <c r="A131" s="165" t="s">
        <v>632</v>
      </c>
      <c r="B131" s="168" t="s">
        <v>631</v>
      </c>
      <c r="C131" s="165" t="s">
        <v>17</v>
      </c>
      <c r="D131" s="166">
        <v>4</v>
      </c>
      <c r="E131" s="166">
        <v>17</v>
      </c>
      <c r="F131" s="165" t="s">
        <v>1648</v>
      </c>
      <c r="G131" s="167">
        <v>7000</v>
      </c>
      <c r="H131" s="165" t="s">
        <v>1737</v>
      </c>
      <c r="I131" s="165" t="s">
        <v>1648</v>
      </c>
      <c r="J131" s="165" t="s">
        <v>1737</v>
      </c>
      <c r="K131" s="165" t="s">
        <v>1648</v>
      </c>
      <c r="L131" s="165" t="s">
        <v>1648</v>
      </c>
      <c r="M131" s="165" t="s">
        <v>1649</v>
      </c>
      <c r="N131" s="165" t="s">
        <v>1648</v>
      </c>
      <c r="O131" s="165" t="s">
        <v>1648</v>
      </c>
      <c r="P131" s="165" t="s">
        <v>1648</v>
      </c>
      <c r="Q131" s="165" t="s">
        <v>1648</v>
      </c>
    </row>
    <row r="132" spans="1:17" ht="13.5" thickBot="1" x14ac:dyDescent="0.25">
      <c r="A132" s="165" t="s">
        <v>644</v>
      </c>
      <c r="B132" s="168" t="s">
        <v>643</v>
      </c>
      <c r="C132" s="165" t="s">
        <v>17</v>
      </c>
      <c r="D132" s="166">
        <v>5</v>
      </c>
      <c r="E132" s="166">
        <v>26</v>
      </c>
      <c r="F132" s="165" t="s">
        <v>1648</v>
      </c>
      <c r="G132" s="167">
        <v>3000</v>
      </c>
      <c r="H132" s="165" t="s">
        <v>1792</v>
      </c>
      <c r="I132" s="165" t="s">
        <v>1648</v>
      </c>
      <c r="J132" s="165" t="s">
        <v>1792</v>
      </c>
      <c r="K132" s="165" t="s">
        <v>1648</v>
      </c>
      <c r="L132" s="165" t="s">
        <v>1648</v>
      </c>
      <c r="M132" s="165" t="s">
        <v>1649</v>
      </c>
      <c r="N132" s="165" t="s">
        <v>1648</v>
      </c>
      <c r="O132" s="165" t="s">
        <v>1648</v>
      </c>
      <c r="P132" s="165" t="s">
        <v>1648</v>
      </c>
      <c r="Q132" s="165" t="s">
        <v>1648</v>
      </c>
    </row>
    <row r="133" spans="1:17" ht="13.5" thickBot="1" x14ac:dyDescent="0.25">
      <c r="A133" s="165" t="s">
        <v>658</v>
      </c>
      <c r="B133" s="168" t="s">
        <v>657</v>
      </c>
      <c r="C133" s="165" t="s">
        <v>17</v>
      </c>
      <c r="D133" s="166">
        <v>3</v>
      </c>
      <c r="E133" s="166">
        <v>15</v>
      </c>
      <c r="F133" s="165" t="s">
        <v>1648</v>
      </c>
      <c r="G133" s="167">
        <v>5000</v>
      </c>
      <c r="H133" s="165" t="s">
        <v>1737</v>
      </c>
      <c r="I133" s="165" t="s">
        <v>1648</v>
      </c>
      <c r="J133" s="165" t="s">
        <v>1737</v>
      </c>
      <c r="K133" s="165" t="s">
        <v>1648</v>
      </c>
      <c r="L133" s="165" t="s">
        <v>1648</v>
      </c>
      <c r="M133" s="165" t="s">
        <v>1649</v>
      </c>
      <c r="N133" s="165" t="s">
        <v>1648</v>
      </c>
      <c r="O133" s="165" t="s">
        <v>1648</v>
      </c>
      <c r="P133" s="165" t="s">
        <v>1648</v>
      </c>
      <c r="Q133" s="165" t="s">
        <v>1648</v>
      </c>
    </row>
    <row r="134" spans="1:17" ht="13.5" thickBot="1" x14ac:dyDescent="0.25">
      <c r="A134" s="165" t="s">
        <v>668</v>
      </c>
      <c r="B134" s="168" t="s">
        <v>667</v>
      </c>
      <c r="C134" s="165" t="s">
        <v>17</v>
      </c>
      <c r="D134" s="166">
        <v>7</v>
      </c>
      <c r="E134" s="166">
        <v>9</v>
      </c>
      <c r="F134" s="165" t="s">
        <v>1648</v>
      </c>
      <c r="G134" s="167">
        <v>2200</v>
      </c>
      <c r="H134" s="165" t="s">
        <v>1823</v>
      </c>
      <c r="I134" s="165" t="s">
        <v>1648</v>
      </c>
      <c r="J134" s="165" t="s">
        <v>1823</v>
      </c>
      <c r="K134" s="165" t="s">
        <v>1648</v>
      </c>
      <c r="L134" s="165" t="s">
        <v>1648</v>
      </c>
      <c r="M134" s="165" t="s">
        <v>1649</v>
      </c>
      <c r="N134" s="165" t="s">
        <v>1648</v>
      </c>
      <c r="O134" s="165" t="s">
        <v>1648</v>
      </c>
      <c r="P134" s="165" t="s">
        <v>1648</v>
      </c>
      <c r="Q134" s="165" t="s">
        <v>1648</v>
      </c>
    </row>
    <row r="135" spans="1:17" ht="13.5" thickBot="1" x14ac:dyDescent="0.25">
      <c r="A135" s="165" t="s">
        <v>672</v>
      </c>
      <c r="B135" s="168" t="s">
        <v>671</v>
      </c>
      <c r="C135" s="165" t="s">
        <v>17</v>
      </c>
      <c r="D135" s="166">
        <v>6</v>
      </c>
      <c r="E135" s="166">
        <v>18</v>
      </c>
      <c r="F135" s="165" t="s">
        <v>1648</v>
      </c>
      <c r="G135" s="167">
        <v>12000</v>
      </c>
      <c r="H135" s="165" t="s">
        <v>1808</v>
      </c>
      <c r="I135" s="165" t="s">
        <v>1648</v>
      </c>
      <c r="J135" s="165" t="s">
        <v>1895</v>
      </c>
      <c r="K135" s="165" t="s">
        <v>1648</v>
      </c>
      <c r="L135" s="165" t="s">
        <v>1648</v>
      </c>
      <c r="M135" s="165" t="s">
        <v>1649</v>
      </c>
      <c r="N135" s="165" t="s">
        <v>1648</v>
      </c>
      <c r="O135" s="165" t="s">
        <v>1648</v>
      </c>
      <c r="P135" s="165" t="s">
        <v>1648</v>
      </c>
      <c r="Q135" s="165" t="s">
        <v>1649</v>
      </c>
    </row>
    <row r="136" spans="1:17" ht="13.5" thickBot="1" x14ac:dyDescent="0.25">
      <c r="A136" s="165" t="s">
        <v>678</v>
      </c>
      <c r="B136" s="168" t="s">
        <v>677</v>
      </c>
      <c r="C136" s="165" t="s">
        <v>17</v>
      </c>
      <c r="D136" s="166">
        <v>5</v>
      </c>
      <c r="E136" s="166">
        <v>7</v>
      </c>
      <c r="F136" s="165" t="s">
        <v>1648</v>
      </c>
      <c r="G136" s="167">
        <v>1700</v>
      </c>
      <c r="H136" s="165" t="s">
        <v>1745</v>
      </c>
      <c r="I136" s="165" t="s">
        <v>1648</v>
      </c>
      <c r="J136" s="165" t="s">
        <v>1745</v>
      </c>
      <c r="K136" s="165" t="s">
        <v>1648</v>
      </c>
      <c r="L136" s="165" t="s">
        <v>1648</v>
      </c>
      <c r="M136" s="165" t="s">
        <v>1649</v>
      </c>
      <c r="N136" s="165" t="s">
        <v>1649</v>
      </c>
      <c r="O136" s="165" t="s">
        <v>1648</v>
      </c>
      <c r="P136" s="165" t="s">
        <v>1648</v>
      </c>
      <c r="Q136" s="165" t="s">
        <v>1648</v>
      </c>
    </row>
    <row r="137" spans="1:17" ht="13.5" thickBot="1" x14ac:dyDescent="0.25">
      <c r="A137" s="165" t="s">
        <v>686</v>
      </c>
      <c r="B137" s="168" t="s">
        <v>685</v>
      </c>
      <c r="C137" s="165" t="s">
        <v>17</v>
      </c>
      <c r="D137" s="166">
        <v>2</v>
      </c>
      <c r="E137" s="166">
        <v>5</v>
      </c>
      <c r="F137" s="165" t="s">
        <v>1648</v>
      </c>
      <c r="G137" s="167">
        <v>2600</v>
      </c>
      <c r="H137" s="165" t="s">
        <v>1862</v>
      </c>
      <c r="I137" s="165" t="s">
        <v>1648</v>
      </c>
      <c r="J137" s="165" t="s">
        <v>1862</v>
      </c>
      <c r="K137" s="165" t="s">
        <v>1648</v>
      </c>
      <c r="L137" s="165" t="s">
        <v>1648</v>
      </c>
      <c r="M137" s="165" t="s">
        <v>1649</v>
      </c>
      <c r="N137" s="165" t="s">
        <v>1649</v>
      </c>
      <c r="O137" s="165" t="s">
        <v>1648</v>
      </c>
      <c r="P137" s="165" t="s">
        <v>1648</v>
      </c>
      <c r="Q137" s="165" t="s">
        <v>1648</v>
      </c>
    </row>
    <row r="138" spans="1:17" ht="13.5" thickBot="1" x14ac:dyDescent="0.25">
      <c r="A138" s="165" t="s">
        <v>708</v>
      </c>
      <c r="B138" s="168" t="s">
        <v>707</v>
      </c>
      <c r="C138" s="165" t="s">
        <v>17</v>
      </c>
      <c r="D138" s="166">
        <v>7</v>
      </c>
      <c r="E138" s="166">
        <v>25</v>
      </c>
      <c r="F138" s="165" t="s">
        <v>1648</v>
      </c>
      <c r="G138" s="167">
        <v>2800</v>
      </c>
      <c r="H138" s="165" t="s">
        <v>1900</v>
      </c>
      <c r="I138" s="165" t="s">
        <v>1648</v>
      </c>
      <c r="J138" s="165" t="s">
        <v>1900</v>
      </c>
      <c r="K138" s="165" t="s">
        <v>1648</v>
      </c>
      <c r="L138" s="165" t="s">
        <v>1648</v>
      </c>
      <c r="M138" s="165" t="s">
        <v>1649</v>
      </c>
      <c r="N138" s="165" t="s">
        <v>1649</v>
      </c>
      <c r="O138" s="165" t="s">
        <v>1648</v>
      </c>
      <c r="P138" s="165" t="s">
        <v>1648</v>
      </c>
      <c r="Q138" s="165" t="s">
        <v>1648</v>
      </c>
    </row>
    <row r="139" spans="1:17" ht="13.5" thickBot="1" x14ac:dyDescent="0.25">
      <c r="A139" s="165" t="s">
        <v>720</v>
      </c>
      <c r="B139" s="168" t="s">
        <v>719</v>
      </c>
      <c r="C139" s="165" t="s">
        <v>17</v>
      </c>
      <c r="D139" s="166">
        <v>5</v>
      </c>
      <c r="E139" s="166">
        <v>8</v>
      </c>
      <c r="F139" s="165" t="s">
        <v>1648</v>
      </c>
      <c r="G139" s="167">
        <v>12000</v>
      </c>
      <c r="H139" s="165" t="s">
        <v>751</v>
      </c>
      <c r="I139" s="165" t="s">
        <v>1648</v>
      </c>
      <c r="J139" s="165" t="s">
        <v>751</v>
      </c>
      <c r="K139" s="165" t="s">
        <v>1648</v>
      </c>
      <c r="L139" s="165" t="s">
        <v>1648</v>
      </c>
      <c r="M139" s="165" t="s">
        <v>1649</v>
      </c>
      <c r="N139" s="165" t="s">
        <v>1649</v>
      </c>
      <c r="O139" s="165" t="s">
        <v>1648</v>
      </c>
      <c r="P139" s="165" t="s">
        <v>1648</v>
      </c>
      <c r="Q139" s="165" t="s">
        <v>1648</v>
      </c>
    </row>
    <row r="140" spans="1:17" ht="13.5" thickBot="1" x14ac:dyDescent="0.25">
      <c r="A140" s="165" t="s">
        <v>728</v>
      </c>
      <c r="B140" s="168" t="s">
        <v>727</v>
      </c>
      <c r="C140" s="165" t="s">
        <v>17</v>
      </c>
      <c r="D140" s="166">
        <v>2</v>
      </c>
      <c r="E140" s="166">
        <v>6</v>
      </c>
      <c r="F140" s="165" t="s">
        <v>1648</v>
      </c>
      <c r="G140" s="167">
        <v>1200</v>
      </c>
      <c r="H140" s="165" t="s">
        <v>1750</v>
      </c>
      <c r="I140" s="165" t="s">
        <v>1648</v>
      </c>
      <c r="J140" s="165" t="s">
        <v>1750</v>
      </c>
      <c r="K140" s="165" t="s">
        <v>1649</v>
      </c>
      <c r="L140" s="165" t="s">
        <v>1648</v>
      </c>
      <c r="M140" s="165" t="s">
        <v>1649</v>
      </c>
      <c r="N140" s="165" t="s">
        <v>1648</v>
      </c>
      <c r="O140" s="165" t="s">
        <v>1648</v>
      </c>
      <c r="P140" s="165" t="s">
        <v>1649</v>
      </c>
      <c r="Q140" s="165" t="s">
        <v>1649</v>
      </c>
    </row>
    <row r="141" spans="1:17" ht="13.5" thickBot="1" x14ac:dyDescent="0.25">
      <c r="A141" s="165" t="s">
        <v>736</v>
      </c>
      <c r="B141" s="168" t="s">
        <v>735</v>
      </c>
      <c r="C141" s="165" t="s">
        <v>17</v>
      </c>
      <c r="D141" s="166">
        <v>2</v>
      </c>
      <c r="E141" s="166">
        <v>8</v>
      </c>
      <c r="F141" s="165" t="s">
        <v>1648</v>
      </c>
      <c r="G141" s="167">
        <v>1500</v>
      </c>
      <c r="H141" s="165" t="s">
        <v>1750</v>
      </c>
      <c r="I141" s="165" t="s">
        <v>1648</v>
      </c>
      <c r="J141" s="165" t="s">
        <v>1903</v>
      </c>
      <c r="K141" s="165" t="s">
        <v>1648</v>
      </c>
      <c r="L141" s="165" t="s">
        <v>1648</v>
      </c>
      <c r="M141" s="165" t="s">
        <v>1649</v>
      </c>
      <c r="N141" s="165" t="s">
        <v>1648</v>
      </c>
      <c r="O141" s="165" t="s">
        <v>1648</v>
      </c>
      <c r="P141" s="165" t="s">
        <v>1648</v>
      </c>
      <c r="Q141" s="165" t="s">
        <v>1648</v>
      </c>
    </row>
    <row r="142" spans="1:17" ht="13.5" thickBot="1" x14ac:dyDescent="0.25">
      <c r="A142" s="165" t="s">
        <v>744</v>
      </c>
      <c r="B142" s="168" t="s">
        <v>743</v>
      </c>
      <c r="C142" s="165" t="s">
        <v>17</v>
      </c>
      <c r="D142" s="166">
        <v>4</v>
      </c>
      <c r="E142" s="166">
        <v>8</v>
      </c>
      <c r="F142" s="165" t="s">
        <v>1648</v>
      </c>
      <c r="G142" s="167">
        <v>1600</v>
      </c>
      <c r="H142" s="165" t="s">
        <v>1768</v>
      </c>
      <c r="I142" s="165" t="s">
        <v>1648</v>
      </c>
      <c r="J142" s="165" t="s">
        <v>1768</v>
      </c>
      <c r="K142" s="165" t="s">
        <v>1648</v>
      </c>
      <c r="L142" s="165" t="s">
        <v>1648</v>
      </c>
      <c r="M142" s="165" t="s">
        <v>1649</v>
      </c>
      <c r="N142" s="165" t="s">
        <v>1648</v>
      </c>
      <c r="O142" s="165" t="s">
        <v>1648</v>
      </c>
      <c r="P142" s="165" t="s">
        <v>1648</v>
      </c>
      <c r="Q142" s="165" t="s">
        <v>1648</v>
      </c>
    </row>
    <row r="143" spans="1:17" ht="13.5" thickBot="1" x14ac:dyDescent="0.25">
      <c r="A143" s="165" t="s">
        <v>758</v>
      </c>
      <c r="B143" s="168" t="s">
        <v>757</v>
      </c>
      <c r="C143" s="165" t="s">
        <v>17</v>
      </c>
      <c r="D143" s="166">
        <v>3</v>
      </c>
      <c r="E143" s="166">
        <v>5</v>
      </c>
      <c r="F143" s="165" t="s">
        <v>1648</v>
      </c>
      <c r="G143" s="167">
        <v>14000</v>
      </c>
      <c r="H143" s="165" t="s">
        <v>1776</v>
      </c>
      <c r="I143" s="165" t="s">
        <v>1648</v>
      </c>
      <c r="J143" s="165" t="s">
        <v>1908</v>
      </c>
      <c r="K143" s="165" t="s">
        <v>1648</v>
      </c>
      <c r="L143" s="165" t="s">
        <v>1648</v>
      </c>
      <c r="M143" s="165" t="s">
        <v>1649</v>
      </c>
      <c r="N143" s="165" t="s">
        <v>1648</v>
      </c>
      <c r="O143" s="165" t="s">
        <v>1648</v>
      </c>
      <c r="P143" s="165" t="s">
        <v>1648</v>
      </c>
      <c r="Q143" s="165" t="s">
        <v>1648</v>
      </c>
    </row>
    <row r="144" spans="1:17" ht="13.5" thickBot="1" x14ac:dyDescent="0.25">
      <c r="A144" s="165" t="s">
        <v>764</v>
      </c>
      <c r="B144" s="168" t="s">
        <v>763</v>
      </c>
      <c r="C144" s="165" t="s">
        <v>17</v>
      </c>
      <c r="D144" s="166">
        <v>3</v>
      </c>
      <c r="E144" s="166">
        <v>8</v>
      </c>
      <c r="F144" s="165" t="s">
        <v>1648</v>
      </c>
      <c r="G144" s="167">
        <v>1000</v>
      </c>
      <c r="H144" s="165" t="s">
        <v>1730</v>
      </c>
      <c r="I144" s="165" t="s">
        <v>1648</v>
      </c>
      <c r="J144" s="165" t="s">
        <v>1730</v>
      </c>
      <c r="K144" s="165" t="s">
        <v>1648</v>
      </c>
      <c r="L144" s="165" t="s">
        <v>1648</v>
      </c>
      <c r="M144" s="165" t="s">
        <v>1649</v>
      </c>
      <c r="N144" s="165" t="s">
        <v>1649</v>
      </c>
      <c r="O144" s="165" t="s">
        <v>1648</v>
      </c>
      <c r="P144" s="165" t="s">
        <v>1648</v>
      </c>
      <c r="Q144" s="165" t="s">
        <v>1648</v>
      </c>
    </row>
    <row r="145" spans="1:17" ht="13.5" thickBot="1" x14ac:dyDescent="0.25">
      <c r="A145" s="165" t="s">
        <v>774</v>
      </c>
      <c r="B145" s="168" t="s">
        <v>773</v>
      </c>
      <c r="C145" s="165" t="s">
        <v>17</v>
      </c>
      <c r="D145" s="166">
        <v>8</v>
      </c>
      <c r="E145" s="166">
        <v>13</v>
      </c>
      <c r="F145" s="165" t="s">
        <v>1648</v>
      </c>
      <c r="G145" s="167">
        <v>29000</v>
      </c>
      <c r="H145" s="165" t="s">
        <v>1734</v>
      </c>
      <c r="I145" s="165" t="s">
        <v>1648</v>
      </c>
      <c r="J145" s="165" t="s">
        <v>1761</v>
      </c>
      <c r="K145" s="165" t="s">
        <v>1648</v>
      </c>
      <c r="L145" s="165" t="s">
        <v>1648</v>
      </c>
      <c r="M145" s="165" t="s">
        <v>1649</v>
      </c>
      <c r="N145" s="165" t="s">
        <v>1648</v>
      </c>
      <c r="O145" s="165" t="s">
        <v>1648</v>
      </c>
      <c r="P145" s="165" t="s">
        <v>1648</v>
      </c>
      <c r="Q145" s="165" t="s">
        <v>1649</v>
      </c>
    </row>
    <row r="146" spans="1:17" ht="13.5" thickBot="1" x14ac:dyDescent="0.25">
      <c r="A146" s="165" t="s">
        <v>784</v>
      </c>
      <c r="B146" s="168" t="s">
        <v>783</v>
      </c>
      <c r="C146" s="165" t="s">
        <v>17</v>
      </c>
      <c r="D146" s="166">
        <v>5</v>
      </c>
      <c r="E146" s="166">
        <v>10</v>
      </c>
      <c r="F146" s="165" t="s">
        <v>1648</v>
      </c>
      <c r="G146" s="167">
        <v>1600</v>
      </c>
      <c r="H146" s="165" t="s">
        <v>1751</v>
      </c>
      <c r="I146" s="165" t="s">
        <v>1648</v>
      </c>
      <c r="J146" s="165" t="s">
        <v>1751</v>
      </c>
      <c r="K146" s="165" t="s">
        <v>1648</v>
      </c>
      <c r="L146" s="165" t="s">
        <v>1648</v>
      </c>
      <c r="M146" s="165" t="s">
        <v>1649</v>
      </c>
      <c r="N146" s="165" t="s">
        <v>1648</v>
      </c>
      <c r="O146" s="165" t="s">
        <v>1648</v>
      </c>
      <c r="P146" s="165" t="s">
        <v>1648</v>
      </c>
      <c r="Q146" s="165" t="s">
        <v>1648</v>
      </c>
    </row>
    <row r="147" spans="1:17" ht="13.5" thickBot="1" x14ac:dyDescent="0.25">
      <c r="A147" s="165" t="s">
        <v>802</v>
      </c>
      <c r="B147" s="168" t="s">
        <v>801</v>
      </c>
      <c r="C147" s="165" t="s">
        <v>17</v>
      </c>
      <c r="D147" s="166">
        <v>7</v>
      </c>
      <c r="E147" s="166">
        <v>14</v>
      </c>
      <c r="F147" s="165" t="s">
        <v>1648</v>
      </c>
      <c r="G147" s="167">
        <v>3500</v>
      </c>
      <c r="H147" s="165" t="s">
        <v>1916</v>
      </c>
      <c r="I147" s="165" t="s">
        <v>1648</v>
      </c>
      <c r="J147" s="165" t="s">
        <v>1916</v>
      </c>
      <c r="K147" s="165" t="s">
        <v>1648</v>
      </c>
      <c r="L147" s="165" t="s">
        <v>1648</v>
      </c>
      <c r="M147" s="165" t="s">
        <v>1649</v>
      </c>
      <c r="N147" s="165" t="s">
        <v>1649</v>
      </c>
      <c r="O147" s="165" t="s">
        <v>1648</v>
      </c>
      <c r="P147" s="165" t="s">
        <v>1648</v>
      </c>
      <c r="Q147" s="165" t="s">
        <v>1648</v>
      </c>
    </row>
    <row r="148" spans="1:17" ht="13.5" thickBot="1" x14ac:dyDescent="0.25">
      <c r="A148" s="165" t="s">
        <v>24</v>
      </c>
      <c r="B148" s="168" t="s">
        <v>23</v>
      </c>
      <c r="C148" s="165" t="s">
        <v>25</v>
      </c>
      <c r="D148" s="166">
        <v>5</v>
      </c>
      <c r="E148" s="166">
        <v>10</v>
      </c>
      <c r="F148" s="165" t="s">
        <v>1648</v>
      </c>
      <c r="G148" s="167">
        <v>2000</v>
      </c>
      <c r="H148" s="165" t="s">
        <v>1725</v>
      </c>
      <c r="I148" s="165" t="s">
        <v>1648</v>
      </c>
      <c r="J148" s="165" t="s">
        <v>1725</v>
      </c>
      <c r="K148" s="165" t="s">
        <v>1648</v>
      </c>
      <c r="L148" s="165" t="s">
        <v>1648</v>
      </c>
      <c r="M148" s="165" t="s">
        <v>1649</v>
      </c>
      <c r="N148" s="165" t="s">
        <v>1649</v>
      </c>
      <c r="O148" s="165" t="s">
        <v>1648</v>
      </c>
      <c r="P148" s="165" t="s">
        <v>1648</v>
      </c>
      <c r="Q148" s="165" t="s">
        <v>1649</v>
      </c>
    </row>
    <row r="149" spans="1:17" ht="13.5" thickBot="1" x14ac:dyDescent="0.25">
      <c r="A149" s="165" t="s">
        <v>27</v>
      </c>
      <c r="B149" s="168" t="s">
        <v>26</v>
      </c>
      <c r="C149" s="165" t="s">
        <v>25</v>
      </c>
      <c r="D149" s="166">
        <v>2</v>
      </c>
      <c r="E149" s="166">
        <v>9</v>
      </c>
      <c r="F149" s="165" t="s">
        <v>1648</v>
      </c>
      <c r="G149" s="167">
        <v>3682</v>
      </c>
      <c r="H149" s="165" t="s">
        <v>1726</v>
      </c>
      <c r="I149" s="165" t="s">
        <v>1648</v>
      </c>
      <c r="J149" s="165" t="s">
        <v>1726</v>
      </c>
      <c r="K149" s="165" t="s">
        <v>1648</v>
      </c>
      <c r="L149" s="165" t="s">
        <v>1648</v>
      </c>
      <c r="M149" s="165" t="s">
        <v>1649</v>
      </c>
      <c r="N149" s="165" t="s">
        <v>1648</v>
      </c>
      <c r="O149" s="165" t="s">
        <v>1648</v>
      </c>
      <c r="P149" s="165" t="s">
        <v>1648</v>
      </c>
      <c r="Q149" s="165" t="s">
        <v>1649</v>
      </c>
    </row>
    <row r="150" spans="1:17" ht="13.5" thickBot="1" x14ac:dyDescent="0.25">
      <c r="A150" s="165" t="s">
        <v>29</v>
      </c>
      <c r="B150" s="168" t="s">
        <v>28</v>
      </c>
      <c r="C150" s="165" t="s">
        <v>25</v>
      </c>
      <c r="D150" s="166">
        <v>20</v>
      </c>
      <c r="E150" s="166">
        <v>32</v>
      </c>
      <c r="F150" s="165" t="s">
        <v>1648</v>
      </c>
      <c r="G150" s="167">
        <v>2400</v>
      </c>
      <c r="H150" s="165" t="s">
        <v>1727</v>
      </c>
      <c r="I150" s="165" t="s">
        <v>1648</v>
      </c>
      <c r="J150" s="165" t="s">
        <v>1727</v>
      </c>
      <c r="K150" s="165" t="s">
        <v>1648</v>
      </c>
      <c r="L150" s="165" t="s">
        <v>1648</v>
      </c>
      <c r="M150" s="165" t="s">
        <v>1649</v>
      </c>
      <c r="N150" s="165" t="s">
        <v>1649</v>
      </c>
      <c r="O150" s="165" t="s">
        <v>1648</v>
      </c>
      <c r="P150" s="165" t="s">
        <v>1648</v>
      </c>
      <c r="Q150" s="165" t="s">
        <v>1648</v>
      </c>
    </row>
    <row r="151" spans="1:17" ht="13.5" thickBot="1" x14ac:dyDescent="0.25">
      <c r="A151" s="165" t="s">
        <v>31</v>
      </c>
      <c r="B151" s="168" t="s">
        <v>30</v>
      </c>
      <c r="C151" s="165" t="s">
        <v>25</v>
      </c>
      <c r="D151" s="166">
        <v>12</v>
      </c>
      <c r="E151" s="166">
        <v>45</v>
      </c>
      <c r="F151" s="165" t="s">
        <v>1648</v>
      </c>
      <c r="G151" s="167">
        <v>14000</v>
      </c>
      <c r="H151" s="165" t="s">
        <v>1728</v>
      </c>
      <c r="I151" s="165" t="s">
        <v>1648</v>
      </c>
      <c r="J151" s="165" t="s">
        <v>1729</v>
      </c>
      <c r="K151" s="165" t="s">
        <v>1648</v>
      </c>
      <c r="L151" s="165" t="s">
        <v>1648</v>
      </c>
      <c r="M151" s="165" t="s">
        <v>1649</v>
      </c>
      <c r="N151" s="165" t="s">
        <v>1648</v>
      </c>
      <c r="O151" s="165" t="s">
        <v>1648</v>
      </c>
      <c r="P151" s="165" t="s">
        <v>1648</v>
      </c>
      <c r="Q151" s="165" t="s">
        <v>1648</v>
      </c>
    </row>
    <row r="152" spans="1:17" ht="13.5" thickBot="1" x14ac:dyDescent="0.25">
      <c r="A152" s="165" t="s">
        <v>43</v>
      </c>
      <c r="B152" s="168" t="s">
        <v>42</v>
      </c>
      <c r="C152" s="165" t="s">
        <v>25</v>
      </c>
      <c r="D152" s="166">
        <v>7</v>
      </c>
      <c r="E152" s="166">
        <v>18</v>
      </c>
      <c r="F152" s="165" t="s">
        <v>1648</v>
      </c>
      <c r="G152" s="167">
        <v>8400</v>
      </c>
      <c r="H152" s="165" t="s">
        <v>1734</v>
      </c>
      <c r="I152" s="165" t="s">
        <v>1648</v>
      </c>
      <c r="J152" s="165" t="s">
        <v>1734</v>
      </c>
      <c r="K152" s="165" t="s">
        <v>1648</v>
      </c>
      <c r="L152" s="165" t="s">
        <v>1648</v>
      </c>
      <c r="M152" s="165" t="s">
        <v>1649</v>
      </c>
      <c r="N152" s="165" t="s">
        <v>1649</v>
      </c>
      <c r="O152" s="165" t="s">
        <v>1648</v>
      </c>
      <c r="P152" s="165" t="s">
        <v>1648</v>
      </c>
      <c r="Q152" s="165" t="s">
        <v>1649</v>
      </c>
    </row>
    <row r="153" spans="1:17" ht="13.5" thickBot="1" x14ac:dyDescent="0.25">
      <c r="A153" s="165" t="s">
        <v>51</v>
      </c>
      <c r="B153" s="168" t="s">
        <v>50</v>
      </c>
      <c r="C153" s="165" t="s">
        <v>25</v>
      </c>
      <c r="D153" s="166">
        <v>9</v>
      </c>
      <c r="E153" s="166">
        <v>21</v>
      </c>
      <c r="F153" s="165" t="s">
        <v>1648</v>
      </c>
      <c r="G153" s="167">
        <v>25000</v>
      </c>
      <c r="H153" s="165" t="s">
        <v>1738</v>
      </c>
      <c r="I153" s="165" t="s">
        <v>1648</v>
      </c>
      <c r="J153" s="165" t="s">
        <v>1739</v>
      </c>
      <c r="K153" s="165" t="s">
        <v>1648</v>
      </c>
      <c r="L153" s="165" t="s">
        <v>1648</v>
      </c>
      <c r="M153" s="165" t="s">
        <v>1648</v>
      </c>
      <c r="N153" s="165" t="s">
        <v>1648</v>
      </c>
      <c r="O153" s="165" t="s">
        <v>1648</v>
      </c>
      <c r="P153" s="165" t="s">
        <v>1648</v>
      </c>
      <c r="Q153" s="165" t="s">
        <v>1648</v>
      </c>
    </row>
    <row r="154" spans="1:17" ht="13.5" thickBot="1" x14ac:dyDescent="0.25">
      <c r="A154" s="165" t="s">
        <v>66</v>
      </c>
      <c r="B154" s="168" t="s">
        <v>65</v>
      </c>
      <c r="C154" s="165" t="s">
        <v>25</v>
      </c>
      <c r="D154" s="166">
        <v>2</v>
      </c>
      <c r="E154" s="166">
        <v>5</v>
      </c>
      <c r="F154" s="165" t="s">
        <v>1648</v>
      </c>
      <c r="G154" s="167">
        <v>1500</v>
      </c>
      <c r="H154" s="165" t="s">
        <v>1745</v>
      </c>
      <c r="I154" s="165" t="s">
        <v>1648</v>
      </c>
      <c r="J154" s="165" t="s">
        <v>1745</v>
      </c>
      <c r="K154" s="165" t="s">
        <v>1648</v>
      </c>
      <c r="L154" s="165" t="s">
        <v>1648</v>
      </c>
      <c r="M154" s="165" t="s">
        <v>1649</v>
      </c>
      <c r="N154" s="165" t="s">
        <v>1649</v>
      </c>
      <c r="O154" s="165" t="s">
        <v>1648</v>
      </c>
      <c r="P154" s="165" t="s">
        <v>1648</v>
      </c>
      <c r="Q154" s="165" t="s">
        <v>1649</v>
      </c>
    </row>
    <row r="155" spans="1:17" ht="13.5" thickBot="1" x14ac:dyDescent="0.25">
      <c r="A155" s="165" t="s">
        <v>76</v>
      </c>
      <c r="B155" s="168" t="s">
        <v>75</v>
      </c>
      <c r="C155" s="165" t="s">
        <v>25</v>
      </c>
      <c r="D155" s="166">
        <v>4</v>
      </c>
      <c r="E155" s="166">
        <v>6</v>
      </c>
      <c r="F155" s="165" t="s">
        <v>1648</v>
      </c>
      <c r="G155" s="167">
        <v>800</v>
      </c>
      <c r="H155" s="165" t="s">
        <v>1751</v>
      </c>
      <c r="I155" s="165" t="s">
        <v>1648</v>
      </c>
      <c r="J155" s="165" t="s">
        <v>1751</v>
      </c>
      <c r="K155" s="165" t="s">
        <v>1648</v>
      </c>
      <c r="L155" s="165" t="s">
        <v>1648</v>
      </c>
      <c r="M155" s="165" t="s">
        <v>1649</v>
      </c>
      <c r="N155" s="165" t="s">
        <v>1649</v>
      </c>
      <c r="O155" s="165" t="s">
        <v>1648</v>
      </c>
      <c r="P155" s="165" t="s">
        <v>1648</v>
      </c>
      <c r="Q155" s="165" t="s">
        <v>1649</v>
      </c>
    </row>
    <row r="156" spans="1:17" ht="13.5" thickBot="1" x14ac:dyDescent="0.25">
      <c r="A156" s="165" t="s">
        <v>96</v>
      </c>
      <c r="B156" s="168" t="s">
        <v>95</v>
      </c>
      <c r="C156" s="165" t="s">
        <v>25</v>
      </c>
      <c r="D156" s="166">
        <v>11</v>
      </c>
      <c r="E156" s="166">
        <v>23</v>
      </c>
      <c r="F156" s="165" t="s">
        <v>1648</v>
      </c>
      <c r="G156" s="167">
        <v>3644</v>
      </c>
      <c r="H156" s="165" t="s">
        <v>1745</v>
      </c>
      <c r="I156" s="165" t="s">
        <v>1648</v>
      </c>
      <c r="J156" s="165" t="s">
        <v>1745</v>
      </c>
      <c r="K156" s="165" t="s">
        <v>1648</v>
      </c>
      <c r="L156" s="165" t="s">
        <v>1648</v>
      </c>
      <c r="M156" s="165" t="s">
        <v>1649</v>
      </c>
      <c r="N156" s="165" t="s">
        <v>1648</v>
      </c>
      <c r="O156" s="165" t="s">
        <v>1648</v>
      </c>
      <c r="P156" s="165" t="s">
        <v>1648</v>
      </c>
      <c r="Q156" s="165" t="s">
        <v>1648</v>
      </c>
    </row>
    <row r="157" spans="1:17" ht="13.5" thickBot="1" x14ac:dyDescent="0.25">
      <c r="A157" s="165" t="s">
        <v>106</v>
      </c>
      <c r="B157" s="168" t="s">
        <v>105</v>
      </c>
      <c r="C157" s="165" t="s">
        <v>25</v>
      </c>
      <c r="D157" s="166">
        <v>6</v>
      </c>
      <c r="E157" s="166">
        <v>17</v>
      </c>
      <c r="F157" s="165" t="s">
        <v>1648</v>
      </c>
      <c r="G157" s="167">
        <v>33212</v>
      </c>
      <c r="H157" s="165" t="s">
        <v>1764</v>
      </c>
      <c r="I157" s="165" t="s">
        <v>1648</v>
      </c>
      <c r="J157" s="165" t="s">
        <v>1764</v>
      </c>
      <c r="K157" s="165" t="s">
        <v>1648</v>
      </c>
      <c r="L157" s="165" t="s">
        <v>1648</v>
      </c>
      <c r="M157" s="165" t="s">
        <v>1649</v>
      </c>
      <c r="N157" s="165" t="s">
        <v>1648</v>
      </c>
      <c r="O157" s="165" t="s">
        <v>1648</v>
      </c>
      <c r="P157" s="165" t="s">
        <v>1648</v>
      </c>
      <c r="Q157" s="165" t="s">
        <v>1648</v>
      </c>
    </row>
    <row r="158" spans="1:17" ht="13.5" thickBot="1" x14ac:dyDescent="0.25">
      <c r="A158" s="165" t="s">
        <v>110</v>
      </c>
      <c r="B158" s="168" t="s">
        <v>109</v>
      </c>
      <c r="C158" s="165" t="s">
        <v>25</v>
      </c>
      <c r="D158" s="166">
        <v>9</v>
      </c>
      <c r="E158" s="166">
        <v>22</v>
      </c>
      <c r="F158" s="165" t="s">
        <v>1648</v>
      </c>
      <c r="G158" s="167">
        <v>13000</v>
      </c>
      <c r="H158" s="165" t="s">
        <v>1726</v>
      </c>
      <c r="I158" s="165" t="s">
        <v>1648</v>
      </c>
      <c r="J158" s="165" t="s">
        <v>1766</v>
      </c>
      <c r="K158" s="165" t="s">
        <v>1648</v>
      </c>
      <c r="L158" s="165" t="s">
        <v>1648</v>
      </c>
      <c r="M158" s="165" t="s">
        <v>1648</v>
      </c>
      <c r="N158" s="165" t="s">
        <v>1648</v>
      </c>
      <c r="O158" s="165" t="s">
        <v>1648</v>
      </c>
      <c r="P158" s="165" t="s">
        <v>1648</v>
      </c>
      <c r="Q158" s="165" t="s">
        <v>1648</v>
      </c>
    </row>
    <row r="159" spans="1:17" ht="13.5" thickBot="1" x14ac:dyDescent="0.25">
      <c r="A159" s="165" t="s">
        <v>128</v>
      </c>
      <c r="B159" s="168" t="s">
        <v>127</v>
      </c>
      <c r="C159" s="165" t="s">
        <v>25</v>
      </c>
      <c r="D159" s="166">
        <v>11</v>
      </c>
      <c r="E159" s="166">
        <v>16</v>
      </c>
      <c r="F159" s="165" t="s">
        <v>1648</v>
      </c>
      <c r="G159" s="167">
        <v>2876.5</v>
      </c>
      <c r="H159" s="165" t="s">
        <v>1745</v>
      </c>
      <c r="I159" s="165" t="s">
        <v>1648</v>
      </c>
      <c r="J159" s="165" t="s">
        <v>1745</v>
      </c>
      <c r="K159" s="165" t="s">
        <v>1648</v>
      </c>
      <c r="L159" s="165" t="s">
        <v>1648</v>
      </c>
      <c r="M159" s="165" t="s">
        <v>1648</v>
      </c>
      <c r="N159" s="165" t="s">
        <v>1648</v>
      </c>
      <c r="O159" s="165" t="s">
        <v>1648</v>
      </c>
      <c r="P159" s="165" t="s">
        <v>1648</v>
      </c>
      <c r="Q159" s="165" t="s">
        <v>1648</v>
      </c>
    </row>
    <row r="160" spans="1:17" ht="13.5" thickBot="1" x14ac:dyDescent="0.25">
      <c r="A160" s="165" t="s">
        <v>130</v>
      </c>
      <c r="B160" s="168" t="s">
        <v>129</v>
      </c>
      <c r="C160" s="165" t="s">
        <v>25</v>
      </c>
      <c r="D160" s="166">
        <v>6</v>
      </c>
      <c r="E160" s="166">
        <v>25</v>
      </c>
      <c r="F160" s="165" t="s">
        <v>1648</v>
      </c>
      <c r="G160" s="167">
        <v>4068</v>
      </c>
      <c r="H160" s="165" t="s">
        <v>1613</v>
      </c>
      <c r="I160" s="165" t="s">
        <v>1648</v>
      </c>
      <c r="J160" s="165" t="s">
        <v>1613</v>
      </c>
      <c r="K160" s="165" t="s">
        <v>1648</v>
      </c>
      <c r="L160" s="165" t="s">
        <v>1648</v>
      </c>
      <c r="M160" s="165" t="s">
        <v>1649</v>
      </c>
      <c r="N160" s="165" t="s">
        <v>1649</v>
      </c>
      <c r="O160" s="165" t="s">
        <v>1648</v>
      </c>
      <c r="P160" s="165" t="s">
        <v>1648</v>
      </c>
      <c r="Q160" s="165" t="s">
        <v>1648</v>
      </c>
    </row>
    <row r="161" spans="1:17" ht="13.5" thickBot="1" x14ac:dyDescent="0.25">
      <c r="A161" s="165" t="s">
        <v>136</v>
      </c>
      <c r="B161" s="168" t="s">
        <v>135</v>
      </c>
      <c r="C161" s="165" t="s">
        <v>25</v>
      </c>
      <c r="D161" s="166">
        <v>4</v>
      </c>
      <c r="E161" s="166">
        <v>25</v>
      </c>
      <c r="F161" s="165" t="s">
        <v>1648</v>
      </c>
      <c r="G161" s="167">
        <v>7489</v>
      </c>
      <c r="H161" s="165" t="s">
        <v>1613</v>
      </c>
      <c r="I161" s="165" t="s">
        <v>1648</v>
      </c>
      <c r="J161" s="165" t="s">
        <v>1613</v>
      </c>
      <c r="K161" s="165" t="s">
        <v>1648</v>
      </c>
      <c r="L161" s="165" t="s">
        <v>1648</v>
      </c>
      <c r="M161" s="165" t="s">
        <v>1649</v>
      </c>
      <c r="N161" s="165" t="s">
        <v>1648</v>
      </c>
      <c r="O161" s="165" t="s">
        <v>1648</v>
      </c>
      <c r="P161" s="165" t="s">
        <v>1649</v>
      </c>
      <c r="Q161" s="165" t="s">
        <v>1648</v>
      </c>
    </row>
    <row r="162" spans="1:17" ht="13.5" thickBot="1" x14ac:dyDescent="0.25">
      <c r="A162" s="165" t="s">
        <v>144</v>
      </c>
      <c r="B162" s="168" t="s">
        <v>143</v>
      </c>
      <c r="C162" s="165" t="s">
        <v>25</v>
      </c>
      <c r="D162" s="166">
        <v>10</v>
      </c>
      <c r="E162" s="166">
        <v>21</v>
      </c>
      <c r="F162" s="165" t="s">
        <v>1648</v>
      </c>
      <c r="G162" s="167">
        <v>12113</v>
      </c>
      <c r="H162" s="165" t="s">
        <v>1737</v>
      </c>
      <c r="I162" s="165" t="s">
        <v>1648</v>
      </c>
      <c r="J162" s="165" t="s">
        <v>1737</v>
      </c>
      <c r="K162" s="165" t="s">
        <v>1648</v>
      </c>
      <c r="L162" s="165" t="s">
        <v>1648</v>
      </c>
      <c r="M162" s="165" t="s">
        <v>1649</v>
      </c>
      <c r="N162" s="165" t="s">
        <v>1648</v>
      </c>
      <c r="O162" s="165" t="s">
        <v>1648</v>
      </c>
      <c r="P162" s="165" t="s">
        <v>1648</v>
      </c>
      <c r="Q162" s="165" t="s">
        <v>1648</v>
      </c>
    </row>
    <row r="163" spans="1:17" ht="13.5" thickBot="1" x14ac:dyDescent="0.25">
      <c r="A163" s="165" t="s">
        <v>148</v>
      </c>
      <c r="B163" s="168" t="s">
        <v>147</v>
      </c>
      <c r="C163" s="165" t="s">
        <v>25</v>
      </c>
      <c r="D163" s="166">
        <v>6</v>
      </c>
      <c r="E163" s="166">
        <v>19</v>
      </c>
      <c r="F163" s="165" t="s">
        <v>1648</v>
      </c>
      <c r="G163" s="167">
        <v>10000</v>
      </c>
      <c r="H163" s="165" t="s">
        <v>1733</v>
      </c>
      <c r="I163" s="165" t="s">
        <v>1648</v>
      </c>
      <c r="J163" s="165" t="s">
        <v>1733</v>
      </c>
      <c r="K163" s="165" t="s">
        <v>1648</v>
      </c>
      <c r="L163" s="165" t="s">
        <v>1648</v>
      </c>
      <c r="M163" s="165" t="s">
        <v>1649</v>
      </c>
      <c r="N163" s="165" t="s">
        <v>1648</v>
      </c>
      <c r="O163" s="165" t="s">
        <v>1648</v>
      </c>
      <c r="P163" s="165" t="s">
        <v>1648</v>
      </c>
      <c r="Q163" s="165" t="s">
        <v>1648</v>
      </c>
    </row>
    <row r="164" spans="1:17" ht="13.5" thickBot="1" x14ac:dyDescent="0.25">
      <c r="A164" s="165" t="s">
        <v>152</v>
      </c>
      <c r="B164" s="168" t="s">
        <v>151</v>
      </c>
      <c r="C164" s="165" t="s">
        <v>25</v>
      </c>
      <c r="D164" s="166">
        <v>5</v>
      </c>
      <c r="E164" s="166">
        <v>14</v>
      </c>
      <c r="F164" s="165" t="s">
        <v>1648</v>
      </c>
      <c r="G164" s="167">
        <v>21276</v>
      </c>
      <c r="H164" s="165" t="s">
        <v>1738</v>
      </c>
      <c r="I164" s="165" t="s">
        <v>1648</v>
      </c>
      <c r="J164" s="165" t="s">
        <v>1738</v>
      </c>
      <c r="K164" s="165" t="s">
        <v>1648</v>
      </c>
      <c r="L164" s="165" t="s">
        <v>1648</v>
      </c>
      <c r="M164" s="165" t="s">
        <v>1649</v>
      </c>
      <c r="N164" s="165" t="s">
        <v>1648</v>
      </c>
      <c r="O164" s="165" t="s">
        <v>1648</v>
      </c>
      <c r="P164" s="165" t="s">
        <v>1648</v>
      </c>
      <c r="Q164" s="165" t="s">
        <v>1648</v>
      </c>
    </row>
    <row r="165" spans="1:17" ht="13.5" thickBot="1" x14ac:dyDescent="0.25">
      <c r="A165" s="165" t="s">
        <v>154</v>
      </c>
      <c r="B165" s="168" t="s">
        <v>153</v>
      </c>
      <c r="C165" s="165" t="s">
        <v>25</v>
      </c>
      <c r="D165" s="166">
        <v>5</v>
      </c>
      <c r="E165" s="166">
        <v>10</v>
      </c>
      <c r="F165" s="165" t="s">
        <v>1648</v>
      </c>
      <c r="G165" s="167">
        <v>20000</v>
      </c>
      <c r="H165" s="165" t="s">
        <v>1737</v>
      </c>
      <c r="I165" s="165" t="s">
        <v>1648</v>
      </c>
      <c r="J165" s="165" t="s">
        <v>1773</v>
      </c>
      <c r="K165" s="165" t="s">
        <v>1648</v>
      </c>
      <c r="L165" s="165" t="s">
        <v>1648</v>
      </c>
      <c r="M165" s="165" t="s">
        <v>1649</v>
      </c>
      <c r="N165" s="165" t="s">
        <v>1648</v>
      </c>
      <c r="O165" s="165" t="s">
        <v>1648</v>
      </c>
      <c r="P165" s="165" t="s">
        <v>1648</v>
      </c>
      <c r="Q165" s="165" t="s">
        <v>1648</v>
      </c>
    </row>
    <row r="166" spans="1:17" ht="13.5" thickBot="1" x14ac:dyDescent="0.25">
      <c r="A166" s="165" t="s">
        <v>160</v>
      </c>
      <c r="B166" s="168" t="s">
        <v>159</v>
      </c>
      <c r="C166" s="165" t="s">
        <v>25</v>
      </c>
      <c r="D166" s="166">
        <v>23</v>
      </c>
      <c r="E166" s="166">
        <v>31</v>
      </c>
      <c r="F166" s="165" t="s">
        <v>1648</v>
      </c>
      <c r="G166" s="167">
        <v>10900</v>
      </c>
      <c r="H166" s="165" t="s">
        <v>1737</v>
      </c>
      <c r="I166" s="165" t="s">
        <v>1648</v>
      </c>
      <c r="J166" s="165" t="s">
        <v>1766</v>
      </c>
      <c r="K166" s="165" t="s">
        <v>1648</v>
      </c>
      <c r="L166" s="165" t="s">
        <v>1648</v>
      </c>
      <c r="M166" s="165" t="s">
        <v>1648</v>
      </c>
      <c r="N166" s="165" t="s">
        <v>1648</v>
      </c>
      <c r="O166" s="165" t="s">
        <v>1648</v>
      </c>
      <c r="P166" s="165" t="s">
        <v>1648</v>
      </c>
      <c r="Q166" s="165" t="s">
        <v>1648</v>
      </c>
    </row>
    <row r="167" spans="1:17" ht="13.5" thickBot="1" x14ac:dyDescent="0.25">
      <c r="A167" s="165" t="s">
        <v>196</v>
      </c>
      <c r="B167" s="168" t="s">
        <v>195</v>
      </c>
      <c r="C167" s="165" t="s">
        <v>25</v>
      </c>
      <c r="D167" s="166">
        <v>7</v>
      </c>
      <c r="E167" s="166">
        <v>18</v>
      </c>
      <c r="F167" s="165" t="s">
        <v>1648</v>
      </c>
      <c r="G167" s="167">
        <v>15047</v>
      </c>
      <c r="H167" s="165" t="s">
        <v>1738</v>
      </c>
      <c r="I167" s="165" t="s">
        <v>1648</v>
      </c>
      <c r="J167" s="165" t="s">
        <v>1733</v>
      </c>
      <c r="K167" s="165" t="s">
        <v>1648</v>
      </c>
      <c r="L167" s="165" t="s">
        <v>1648</v>
      </c>
      <c r="M167" s="165" t="s">
        <v>1649</v>
      </c>
      <c r="N167" s="165" t="s">
        <v>1648</v>
      </c>
      <c r="O167" s="165" t="s">
        <v>1648</v>
      </c>
      <c r="P167" s="165" t="s">
        <v>1648</v>
      </c>
      <c r="Q167" s="165" t="s">
        <v>1648</v>
      </c>
    </row>
    <row r="168" spans="1:17" ht="13.5" thickBot="1" x14ac:dyDescent="0.25">
      <c r="A168" s="165" t="s">
        <v>220</v>
      </c>
      <c r="B168" s="168" t="s">
        <v>219</v>
      </c>
      <c r="C168" s="165" t="s">
        <v>25</v>
      </c>
      <c r="D168" s="166">
        <v>5</v>
      </c>
      <c r="E168" s="166">
        <v>12</v>
      </c>
      <c r="F168" s="165" t="s">
        <v>1648</v>
      </c>
      <c r="G168" s="167">
        <v>600</v>
      </c>
      <c r="H168" s="165" t="s">
        <v>1747</v>
      </c>
      <c r="I168" s="165" t="s">
        <v>1648</v>
      </c>
      <c r="J168" s="165" t="s">
        <v>1791</v>
      </c>
      <c r="K168" s="165" t="s">
        <v>1648</v>
      </c>
      <c r="L168" s="165" t="s">
        <v>1648</v>
      </c>
      <c r="M168" s="165" t="s">
        <v>1649</v>
      </c>
      <c r="N168" s="165" t="s">
        <v>1648</v>
      </c>
      <c r="O168" s="165" t="s">
        <v>1648</v>
      </c>
      <c r="P168" s="165" t="s">
        <v>1648</v>
      </c>
      <c r="Q168" s="165" t="s">
        <v>1648</v>
      </c>
    </row>
    <row r="169" spans="1:17" ht="13.5" thickBot="1" x14ac:dyDescent="0.25">
      <c r="A169" s="165" t="s">
        <v>232</v>
      </c>
      <c r="B169" s="168" t="s">
        <v>231</v>
      </c>
      <c r="C169" s="165" t="s">
        <v>25</v>
      </c>
      <c r="D169" s="166">
        <v>5</v>
      </c>
      <c r="E169" s="166">
        <v>10</v>
      </c>
      <c r="F169" s="165" t="s">
        <v>1648</v>
      </c>
      <c r="G169" s="167">
        <v>14300</v>
      </c>
      <c r="H169" s="165" t="s">
        <v>1738</v>
      </c>
      <c r="I169" s="165" t="s">
        <v>1648</v>
      </c>
      <c r="J169" s="165" t="s">
        <v>1738</v>
      </c>
      <c r="K169" s="165" t="s">
        <v>1648</v>
      </c>
      <c r="L169" s="165" t="s">
        <v>1648</v>
      </c>
      <c r="M169" s="165" t="s">
        <v>1649</v>
      </c>
      <c r="N169" s="165" t="s">
        <v>1648</v>
      </c>
      <c r="O169" s="165" t="s">
        <v>1648</v>
      </c>
      <c r="P169" s="165" t="s">
        <v>1649</v>
      </c>
      <c r="Q169" s="165" t="s">
        <v>1648</v>
      </c>
    </row>
    <row r="170" spans="1:17" ht="13.5" thickBot="1" x14ac:dyDescent="0.25">
      <c r="A170" s="165" t="s">
        <v>246</v>
      </c>
      <c r="B170" s="168" t="s">
        <v>245</v>
      </c>
      <c r="C170" s="165" t="s">
        <v>25</v>
      </c>
      <c r="D170" s="166">
        <v>6</v>
      </c>
      <c r="E170" s="166">
        <v>14</v>
      </c>
      <c r="F170" s="165" t="s">
        <v>1648</v>
      </c>
      <c r="G170" s="167">
        <v>1700</v>
      </c>
      <c r="H170" s="165" t="s">
        <v>1751</v>
      </c>
      <c r="I170" s="165" t="s">
        <v>1648</v>
      </c>
      <c r="J170" s="165" t="s">
        <v>1751</v>
      </c>
      <c r="K170" s="165" t="s">
        <v>1648</v>
      </c>
      <c r="L170" s="165" t="s">
        <v>1648</v>
      </c>
      <c r="M170" s="165" t="s">
        <v>1649</v>
      </c>
      <c r="N170" s="165" t="s">
        <v>1648</v>
      </c>
      <c r="O170" s="165" t="s">
        <v>1648</v>
      </c>
      <c r="P170" s="165" t="s">
        <v>1648</v>
      </c>
      <c r="Q170" s="165" t="s">
        <v>1648</v>
      </c>
    </row>
    <row r="171" spans="1:17" ht="13.5" thickBot="1" x14ac:dyDescent="0.25">
      <c r="A171" s="165" t="s">
        <v>250</v>
      </c>
      <c r="B171" s="168" t="s">
        <v>249</v>
      </c>
      <c r="C171" s="165" t="s">
        <v>25</v>
      </c>
      <c r="D171" s="166">
        <v>3</v>
      </c>
      <c r="E171" s="166">
        <v>13</v>
      </c>
      <c r="F171" s="165" t="s">
        <v>1648</v>
      </c>
      <c r="G171" s="167">
        <v>57420</v>
      </c>
      <c r="H171" s="165" t="s">
        <v>1723</v>
      </c>
      <c r="I171" s="165" t="s">
        <v>1648</v>
      </c>
      <c r="J171" s="165" t="s">
        <v>1798</v>
      </c>
      <c r="K171" s="165" t="s">
        <v>1648</v>
      </c>
      <c r="L171" s="165" t="s">
        <v>1648</v>
      </c>
      <c r="M171" s="165" t="s">
        <v>1649</v>
      </c>
      <c r="N171" s="165" t="s">
        <v>1648</v>
      </c>
      <c r="O171" s="165" t="s">
        <v>1648</v>
      </c>
      <c r="P171" s="165" t="s">
        <v>1648</v>
      </c>
      <c r="Q171" s="165" t="s">
        <v>1649</v>
      </c>
    </row>
    <row r="172" spans="1:17" ht="13.5" thickBot="1" x14ac:dyDescent="0.25">
      <c r="A172" s="165" t="s">
        <v>262</v>
      </c>
      <c r="B172" s="168" t="s">
        <v>261</v>
      </c>
      <c r="C172" s="165" t="s">
        <v>25</v>
      </c>
      <c r="D172" s="166">
        <v>4</v>
      </c>
      <c r="E172" s="166">
        <v>10</v>
      </c>
      <c r="F172" s="165" t="s">
        <v>1648</v>
      </c>
      <c r="G172" s="167">
        <v>3000</v>
      </c>
      <c r="H172" s="165" t="s">
        <v>1800</v>
      </c>
      <c r="I172" s="165" t="s">
        <v>1648</v>
      </c>
      <c r="J172" s="165" t="s">
        <v>1800</v>
      </c>
      <c r="K172" s="165" t="s">
        <v>1649</v>
      </c>
      <c r="L172" s="165" t="s">
        <v>1648</v>
      </c>
      <c r="M172" s="165" t="s">
        <v>1649</v>
      </c>
      <c r="N172" s="165" t="s">
        <v>1648</v>
      </c>
      <c r="O172" s="165" t="s">
        <v>1648</v>
      </c>
      <c r="P172" s="165" t="s">
        <v>1648</v>
      </c>
      <c r="Q172" s="165" t="s">
        <v>1648</v>
      </c>
    </row>
    <row r="173" spans="1:17" ht="13.5" thickBot="1" x14ac:dyDescent="0.25">
      <c r="A173" s="165" t="s">
        <v>284</v>
      </c>
      <c r="B173" s="168" t="s">
        <v>283</v>
      </c>
      <c r="C173" s="165" t="s">
        <v>25</v>
      </c>
      <c r="D173" s="166">
        <v>9</v>
      </c>
      <c r="E173" s="166">
        <v>18</v>
      </c>
      <c r="F173" s="165" t="s">
        <v>1648</v>
      </c>
      <c r="G173" s="167">
        <v>3600</v>
      </c>
      <c r="H173" s="165" t="s">
        <v>1757</v>
      </c>
      <c r="I173" s="165" t="s">
        <v>1648</v>
      </c>
      <c r="J173" s="165" t="s">
        <v>1770</v>
      </c>
      <c r="K173" s="165" t="s">
        <v>1648</v>
      </c>
      <c r="L173" s="165" t="s">
        <v>1648</v>
      </c>
      <c r="M173" s="165" t="s">
        <v>1649</v>
      </c>
      <c r="N173" s="165" t="s">
        <v>1649</v>
      </c>
      <c r="O173" s="165" t="s">
        <v>1648</v>
      </c>
      <c r="P173" s="165" t="s">
        <v>1648</v>
      </c>
      <c r="Q173" s="165" t="s">
        <v>1648</v>
      </c>
    </row>
    <row r="174" spans="1:17" ht="13.5" thickBot="1" x14ac:dyDescent="0.25">
      <c r="A174" s="165" t="s">
        <v>296</v>
      </c>
      <c r="B174" s="168" t="s">
        <v>295</v>
      </c>
      <c r="C174" s="165" t="s">
        <v>25</v>
      </c>
      <c r="D174" s="166">
        <v>4</v>
      </c>
      <c r="E174" s="166">
        <v>7</v>
      </c>
      <c r="F174" s="165" t="s">
        <v>1648</v>
      </c>
      <c r="G174" s="167">
        <v>2800</v>
      </c>
      <c r="H174" s="165" t="s">
        <v>1745</v>
      </c>
      <c r="I174" s="165" t="s">
        <v>1648</v>
      </c>
      <c r="J174" s="165" t="s">
        <v>1745</v>
      </c>
      <c r="K174" s="165" t="s">
        <v>1648</v>
      </c>
      <c r="L174" s="165" t="s">
        <v>1648</v>
      </c>
      <c r="M174" s="165" t="s">
        <v>1649</v>
      </c>
      <c r="N174" s="165" t="s">
        <v>1649</v>
      </c>
      <c r="O174" s="165" t="s">
        <v>1648</v>
      </c>
      <c r="P174" s="165" t="s">
        <v>1648</v>
      </c>
      <c r="Q174" s="165" t="s">
        <v>1648</v>
      </c>
    </row>
    <row r="175" spans="1:17" ht="13.5" thickBot="1" x14ac:dyDescent="0.25">
      <c r="A175" s="165" t="s">
        <v>302</v>
      </c>
      <c r="B175" s="168" t="s">
        <v>301</v>
      </c>
      <c r="C175" s="165" t="s">
        <v>25</v>
      </c>
      <c r="D175" s="166">
        <v>13</v>
      </c>
      <c r="E175" s="166">
        <v>14</v>
      </c>
      <c r="F175" s="165" t="s">
        <v>1648</v>
      </c>
      <c r="G175" s="167">
        <v>20282</v>
      </c>
      <c r="H175" s="165" t="s">
        <v>1812</v>
      </c>
      <c r="I175" s="165" t="s">
        <v>1648</v>
      </c>
      <c r="J175" s="165" t="s">
        <v>1812</v>
      </c>
      <c r="K175" s="165" t="s">
        <v>1648</v>
      </c>
      <c r="L175" s="165" t="s">
        <v>1648</v>
      </c>
      <c r="M175" s="165" t="s">
        <v>1648</v>
      </c>
      <c r="N175" s="165" t="s">
        <v>1648</v>
      </c>
      <c r="O175" s="165" t="s">
        <v>1648</v>
      </c>
      <c r="P175" s="165" t="s">
        <v>1648</v>
      </c>
      <c r="Q175" s="165" t="s">
        <v>1648</v>
      </c>
    </row>
    <row r="176" spans="1:17" ht="13.5" thickBot="1" x14ac:dyDescent="0.25">
      <c r="A176" s="165" t="s">
        <v>310</v>
      </c>
      <c r="B176" s="168" t="s">
        <v>309</v>
      </c>
      <c r="C176" s="165" t="s">
        <v>25</v>
      </c>
      <c r="D176" s="166">
        <v>4</v>
      </c>
      <c r="E176" s="166">
        <v>22</v>
      </c>
      <c r="F176" s="165" t="s">
        <v>1648</v>
      </c>
      <c r="G176" s="167">
        <v>8500</v>
      </c>
      <c r="H176" s="165" t="s">
        <v>1776</v>
      </c>
      <c r="I176" s="165" t="s">
        <v>1648</v>
      </c>
      <c r="J176" s="165" t="s">
        <v>1814</v>
      </c>
      <c r="K176" s="165" t="s">
        <v>1648</v>
      </c>
      <c r="L176" s="165" t="s">
        <v>1648</v>
      </c>
      <c r="M176" s="165" t="s">
        <v>1649</v>
      </c>
      <c r="N176" s="165" t="s">
        <v>1648</v>
      </c>
      <c r="O176" s="165" t="s">
        <v>1648</v>
      </c>
      <c r="P176" s="165" t="s">
        <v>1649</v>
      </c>
      <c r="Q176" s="165" t="s">
        <v>1649</v>
      </c>
    </row>
    <row r="177" spans="1:17" ht="13.5" thickBot="1" x14ac:dyDescent="0.25">
      <c r="A177" s="165" t="s">
        <v>324</v>
      </c>
      <c r="B177" s="168" t="s">
        <v>323</v>
      </c>
      <c r="C177" s="165" t="s">
        <v>25</v>
      </c>
      <c r="D177" s="166">
        <v>7</v>
      </c>
      <c r="E177" s="166">
        <v>13</v>
      </c>
      <c r="F177" s="165" t="s">
        <v>1648</v>
      </c>
      <c r="G177" s="167">
        <v>6113</v>
      </c>
      <c r="H177" s="165" t="s">
        <v>1748</v>
      </c>
      <c r="I177" s="165" t="s">
        <v>1648</v>
      </c>
      <c r="J177" s="165" t="s">
        <v>1818</v>
      </c>
      <c r="K177" s="165" t="s">
        <v>1648</v>
      </c>
      <c r="L177" s="165" t="s">
        <v>1648</v>
      </c>
      <c r="M177" s="165" t="s">
        <v>1649</v>
      </c>
      <c r="N177" s="165" t="s">
        <v>1648</v>
      </c>
      <c r="O177" s="165" t="s">
        <v>1648</v>
      </c>
      <c r="P177" s="165" t="s">
        <v>1648</v>
      </c>
      <c r="Q177" s="165" t="s">
        <v>1648</v>
      </c>
    </row>
    <row r="178" spans="1:17" ht="13.5" thickBot="1" x14ac:dyDescent="0.25">
      <c r="A178" s="165" t="s">
        <v>342</v>
      </c>
      <c r="B178" s="168" t="s">
        <v>341</v>
      </c>
      <c r="C178" s="165" t="s">
        <v>25</v>
      </c>
      <c r="D178" s="166">
        <v>7</v>
      </c>
      <c r="E178" s="166">
        <v>14</v>
      </c>
      <c r="F178" s="165" t="s">
        <v>1648</v>
      </c>
      <c r="G178" s="167">
        <v>2739</v>
      </c>
      <c r="H178" s="165" t="s">
        <v>1823</v>
      </c>
      <c r="I178" s="165" t="s">
        <v>1648</v>
      </c>
      <c r="J178" s="165" t="s">
        <v>1823</v>
      </c>
      <c r="K178" s="165" t="s">
        <v>1648</v>
      </c>
      <c r="L178" s="165" t="s">
        <v>1648</v>
      </c>
      <c r="M178" s="165" t="s">
        <v>1649</v>
      </c>
      <c r="N178" s="165" t="s">
        <v>1649</v>
      </c>
      <c r="O178" s="165" t="s">
        <v>1648</v>
      </c>
      <c r="P178" s="165" t="s">
        <v>1648</v>
      </c>
      <c r="Q178" s="165" t="s">
        <v>1648</v>
      </c>
    </row>
    <row r="179" spans="1:17" ht="13.5" thickBot="1" x14ac:dyDescent="0.25">
      <c r="A179" s="165" t="s">
        <v>350</v>
      </c>
      <c r="B179" s="168" t="s">
        <v>349</v>
      </c>
      <c r="C179" s="165" t="s">
        <v>25</v>
      </c>
      <c r="D179" s="166">
        <v>5</v>
      </c>
      <c r="E179" s="166">
        <v>14</v>
      </c>
      <c r="F179" s="165" t="s">
        <v>1648</v>
      </c>
      <c r="G179" s="167">
        <v>8000</v>
      </c>
      <c r="H179" s="165" t="s">
        <v>1738</v>
      </c>
      <c r="I179" s="165" t="s">
        <v>1648</v>
      </c>
      <c r="J179" s="165" t="s">
        <v>1827</v>
      </c>
      <c r="K179" s="165" t="s">
        <v>1648</v>
      </c>
      <c r="L179" s="165" t="s">
        <v>1648</v>
      </c>
      <c r="M179" s="165" t="s">
        <v>1648</v>
      </c>
      <c r="N179" s="165" t="s">
        <v>1648</v>
      </c>
      <c r="O179" s="165" t="s">
        <v>1648</v>
      </c>
      <c r="P179" s="165" t="s">
        <v>1648</v>
      </c>
      <c r="Q179" s="165" t="s">
        <v>1648</v>
      </c>
    </row>
    <row r="180" spans="1:17" ht="13.5" thickBot="1" x14ac:dyDescent="0.25">
      <c r="A180" s="165" t="s">
        <v>358</v>
      </c>
      <c r="B180" s="168" t="s">
        <v>357</v>
      </c>
      <c r="C180" s="165" t="s">
        <v>25</v>
      </c>
      <c r="D180" s="166">
        <v>5</v>
      </c>
      <c r="E180" s="166">
        <v>16</v>
      </c>
      <c r="F180" s="165" t="s">
        <v>1648</v>
      </c>
      <c r="G180" s="167">
        <v>1650</v>
      </c>
      <c r="H180" s="165" t="s">
        <v>1731</v>
      </c>
      <c r="I180" s="165" t="s">
        <v>1648</v>
      </c>
      <c r="J180" s="165" t="s">
        <v>1731</v>
      </c>
      <c r="K180" s="165" t="s">
        <v>1649</v>
      </c>
      <c r="L180" s="165" t="s">
        <v>1648</v>
      </c>
      <c r="M180" s="165" t="s">
        <v>1649</v>
      </c>
      <c r="N180" s="165" t="s">
        <v>1649</v>
      </c>
      <c r="O180" s="165" t="s">
        <v>1648</v>
      </c>
      <c r="P180" s="165" t="s">
        <v>1648</v>
      </c>
      <c r="Q180" s="165" t="s">
        <v>1648</v>
      </c>
    </row>
    <row r="181" spans="1:17" ht="13.5" thickBot="1" x14ac:dyDescent="0.25">
      <c r="A181" s="165" t="s">
        <v>378</v>
      </c>
      <c r="B181" s="168" t="s">
        <v>377</v>
      </c>
      <c r="C181" s="165" t="s">
        <v>25</v>
      </c>
      <c r="D181" s="166">
        <v>6</v>
      </c>
      <c r="E181" s="166">
        <v>10</v>
      </c>
      <c r="F181" s="165" t="s">
        <v>1648</v>
      </c>
      <c r="G181" s="167">
        <v>45000</v>
      </c>
      <c r="H181" s="165" t="s">
        <v>1734</v>
      </c>
      <c r="I181" s="165" t="s">
        <v>1648</v>
      </c>
      <c r="J181" s="165" t="s">
        <v>1734</v>
      </c>
      <c r="K181" s="165" t="s">
        <v>1648</v>
      </c>
      <c r="L181" s="165" t="s">
        <v>1648</v>
      </c>
      <c r="M181" s="165" t="s">
        <v>1648</v>
      </c>
      <c r="N181" s="165" t="s">
        <v>1648</v>
      </c>
      <c r="O181" s="165" t="s">
        <v>1648</v>
      </c>
      <c r="P181" s="165" t="s">
        <v>1648</v>
      </c>
      <c r="Q181" s="165" t="s">
        <v>1649</v>
      </c>
    </row>
    <row r="182" spans="1:17" ht="13.5" thickBot="1" x14ac:dyDescent="0.25">
      <c r="A182" s="165" t="s">
        <v>410</v>
      </c>
      <c r="B182" s="168" t="s">
        <v>409</v>
      </c>
      <c r="C182" s="165" t="s">
        <v>25</v>
      </c>
      <c r="D182" s="166">
        <v>3</v>
      </c>
      <c r="E182" s="166">
        <v>6</v>
      </c>
      <c r="F182" s="165" t="s">
        <v>1648</v>
      </c>
      <c r="G182" s="167">
        <v>2500</v>
      </c>
      <c r="H182" s="165" t="s">
        <v>1740</v>
      </c>
      <c r="I182" s="165" t="s">
        <v>1648</v>
      </c>
      <c r="J182" s="165" t="s">
        <v>1740</v>
      </c>
      <c r="K182" s="165" t="s">
        <v>1648</v>
      </c>
      <c r="L182" s="165" t="s">
        <v>1648</v>
      </c>
      <c r="M182" s="165" t="s">
        <v>1649</v>
      </c>
      <c r="N182" s="165" t="s">
        <v>1648</v>
      </c>
      <c r="O182" s="165" t="s">
        <v>1648</v>
      </c>
      <c r="P182" s="165" t="s">
        <v>1648</v>
      </c>
      <c r="Q182" s="165" t="s">
        <v>1648</v>
      </c>
    </row>
    <row r="183" spans="1:17" ht="13.5" thickBot="1" x14ac:dyDescent="0.25">
      <c r="A183" s="165" t="s">
        <v>408</v>
      </c>
      <c r="B183" s="168" t="s">
        <v>407</v>
      </c>
      <c r="C183" s="165" t="s">
        <v>25</v>
      </c>
      <c r="D183" s="166">
        <v>2</v>
      </c>
      <c r="E183" s="166">
        <v>20</v>
      </c>
      <c r="F183" s="165" t="s">
        <v>1648</v>
      </c>
      <c r="G183" s="167">
        <v>1863</v>
      </c>
      <c r="H183" s="165" t="s">
        <v>1844</v>
      </c>
      <c r="I183" s="165" t="s">
        <v>1648</v>
      </c>
      <c r="J183" s="165" t="s">
        <v>1845</v>
      </c>
      <c r="K183" s="165" t="s">
        <v>1648</v>
      </c>
      <c r="L183" s="165" t="s">
        <v>1648</v>
      </c>
      <c r="M183" s="165" t="s">
        <v>1649</v>
      </c>
      <c r="N183" s="165" t="s">
        <v>1648</v>
      </c>
      <c r="O183" s="165" t="s">
        <v>1648</v>
      </c>
      <c r="P183" s="165" t="s">
        <v>1649</v>
      </c>
      <c r="Q183" s="165" t="s">
        <v>1649</v>
      </c>
    </row>
    <row r="184" spans="1:17" ht="13.5" thickBot="1" x14ac:dyDescent="0.25">
      <c r="A184" s="165" t="s">
        <v>433</v>
      </c>
      <c r="B184" s="168" t="s">
        <v>432</v>
      </c>
      <c r="C184" s="165" t="s">
        <v>25</v>
      </c>
      <c r="D184" s="166">
        <v>5</v>
      </c>
      <c r="E184" s="166">
        <v>10</v>
      </c>
      <c r="F184" s="165" t="s">
        <v>1648</v>
      </c>
      <c r="G184" s="167">
        <v>20000</v>
      </c>
      <c r="H184" s="165" t="s">
        <v>1726</v>
      </c>
      <c r="I184" s="165" t="s">
        <v>1648</v>
      </c>
      <c r="J184" s="165" t="s">
        <v>1726</v>
      </c>
      <c r="K184" s="165" t="s">
        <v>1648</v>
      </c>
      <c r="L184" s="165" t="s">
        <v>1648</v>
      </c>
      <c r="M184" s="165" t="s">
        <v>1649</v>
      </c>
      <c r="N184" s="165" t="s">
        <v>1648</v>
      </c>
      <c r="O184" s="165" t="s">
        <v>1648</v>
      </c>
      <c r="P184" s="165" t="s">
        <v>1648</v>
      </c>
      <c r="Q184" s="165" t="s">
        <v>1648</v>
      </c>
    </row>
    <row r="185" spans="1:17" ht="13.5" thickBot="1" x14ac:dyDescent="0.25">
      <c r="A185" s="165" t="s">
        <v>446</v>
      </c>
      <c r="B185" s="168" t="s">
        <v>445</v>
      </c>
      <c r="C185" s="165" t="s">
        <v>25</v>
      </c>
      <c r="D185" s="166">
        <v>7</v>
      </c>
      <c r="E185" s="166">
        <v>13</v>
      </c>
      <c r="F185" s="165" t="s">
        <v>1648</v>
      </c>
      <c r="G185" s="167">
        <v>11893</v>
      </c>
      <c r="H185" s="165" t="s">
        <v>1855</v>
      </c>
      <c r="I185" s="165" t="s">
        <v>1648</v>
      </c>
      <c r="J185" s="165" t="s">
        <v>1855</v>
      </c>
      <c r="K185" s="165" t="s">
        <v>1648</v>
      </c>
      <c r="L185" s="165" t="s">
        <v>1648</v>
      </c>
      <c r="M185" s="165" t="s">
        <v>1649</v>
      </c>
      <c r="N185" s="165" t="s">
        <v>1648</v>
      </c>
      <c r="O185" s="165" t="s">
        <v>1648</v>
      </c>
      <c r="P185" s="165" t="s">
        <v>1648</v>
      </c>
      <c r="Q185" s="165" t="s">
        <v>1648</v>
      </c>
    </row>
    <row r="186" spans="1:17" ht="13.5" thickBot="1" x14ac:dyDescent="0.25">
      <c r="A186" s="165" t="s">
        <v>468</v>
      </c>
      <c r="B186" s="168" t="s">
        <v>467</v>
      </c>
      <c r="C186" s="165" t="s">
        <v>25</v>
      </c>
      <c r="D186" s="166">
        <v>11</v>
      </c>
      <c r="E186" s="166">
        <v>11</v>
      </c>
      <c r="F186" s="165" t="s">
        <v>1648</v>
      </c>
      <c r="G186" s="167">
        <v>30000</v>
      </c>
      <c r="H186" s="165" t="s">
        <v>1858</v>
      </c>
      <c r="I186" s="165" t="s">
        <v>1648</v>
      </c>
      <c r="J186" s="165" t="s">
        <v>1858</v>
      </c>
      <c r="K186" s="165" t="s">
        <v>1648</v>
      </c>
      <c r="L186" s="165" t="s">
        <v>1648</v>
      </c>
      <c r="M186" s="165" t="s">
        <v>1649</v>
      </c>
      <c r="N186" s="165" t="s">
        <v>1648</v>
      </c>
      <c r="O186" s="165" t="s">
        <v>1648</v>
      </c>
      <c r="P186" s="165" t="s">
        <v>1648</v>
      </c>
      <c r="Q186" s="165" t="s">
        <v>1648</v>
      </c>
    </row>
    <row r="187" spans="1:17" ht="13.5" thickBot="1" x14ac:dyDescent="0.25">
      <c r="A187" s="165" t="s">
        <v>474</v>
      </c>
      <c r="B187" s="168" t="s">
        <v>473</v>
      </c>
      <c r="C187" s="165" t="s">
        <v>25</v>
      </c>
      <c r="D187" s="166">
        <v>3</v>
      </c>
      <c r="E187" s="166">
        <v>38</v>
      </c>
      <c r="F187" s="165" t="s">
        <v>1648</v>
      </c>
      <c r="G187" s="167">
        <v>11000</v>
      </c>
      <c r="H187" s="165" t="s">
        <v>1776</v>
      </c>
      <c r="I187" s="165" t="s">
        <v>1648</v>
      </c>
      <c r="J187" s="165" t="s">
        <v>1776</v>
      </c>
      <c r="K187" s="165" t="s">
        <v>1648</v>
      </c>
      <c r="L187" s="165" t="s">
        <v>1648</v>
      </c>
      <c r="M187" s="165" t="s">
        <v>1648</v>
      </c>
      <c r="N187" s="165" t="s">
        <v>1648</v>
      </c>
      <c r="O187" s="165" t="s">
        <v>1648</v>
      </c>
      <c r="P187" s="165" t="s">
        <v>1649</v>
      </c>
      <c r="Q187" s="165" t="s">
        <v>1648</v>
      </c>
    </row>
    <row r="188" spans="1:17" ht="13.5" thickBot="1" x14ac:dyDescent="0.25">
      <c r="A188" s="165" t="s">
        <v>492</v>
      </c>
      <c r="B188" s="168" t="s">
        <v>491</v>
      </c>
      <c r="C188" s="165" t="s">
        <v>25</v>
      </c>
      <c r="D188" s="166">
        <v>2</v>
      </c>
      <c r="E188" s="166">
        <v>17</v>
      </c>
      <c r="F188" s="165" t="s">
        <v>1648</v>
      </c>
      <c r="G188" s="167">
        <v>32415</v>
      </c>
      <c r="H188" s="165" t="s">
        <v>1858</v>
      </c>
      <c r="I188" s="165" t="s">
        <v>1648</v>
      </c>
      <c r="J188" s="165" t="s">
        <v>1863</v>
      </c>
      <c r="K188" s="165" t="s">
        <v>1648</v>
      </c>
      <c r="L188" s="165" t="s">
        <v>1648</v>
      </c>
      <c r="M188" s="165" t="s">
        <v>1649</v>
      </c>
      <c r="N188" s="165" t="s">
        <v>1648</v>
      </c>
      <c r="O188" s="165" t="s">
        <v>1648</v>
      </c>
      <c r="P188" s="165" t="s">
        <v>1648</v>
      </c>
      <c r="Q188" s="165" t="s">
        <v>1648</v>
      </c>
    </row>
    <row r="189" spans="1:17" ht="13.5" thickBot="1" x14ac:dyDescent="0.25">
      <c r="A189" s="165" t="s">
        <v>504</v>
      </c>
      <c r="B189" s="168" t="s">
        <v>503</v>
      </c>
      <c r="C189" s="165" t="s">
        <v>25</v>
      </c>
      <c r="D189" s="166">
        <v>4</v>
      </c>
      <c r="E189" s="166">
        <v>10</v>
      </c>
      <c r="F189" s="165" t="s">
        <v>1648</v>
      </c>
      <c r="G189" s="167">
        <v>2000</v>
      </c>
      <c r="H189" s="165" t="s">
        <v>1745</v>
      </c>
      <c r="I189" s="165" t="s">
        <v>1648</v>
      </c>
      <c r="J189" s="165" t="s">
        <v>1751</v>
      </c>
      <c r="K189" s="165" t="s">
        <v>1648</v>
      </c>
      <c r="L189" s="165" t="s">
        <v>1648</v>
      </c>
      <c r="M189" s="165" t="s">
        <v>1649</v>
      </c>
      <c r="N189" s="165" t="s">
        <v>1649</v>
      </c>
      <c r="O189" s="165" t="s">
        <v>1648</v>
      </c>
      <c r="P189" s="165" t="s">
        <v>1648</v>
      </c>
      <c r="Q189" s="165" t="s">
        <v>1648</v>
      </c>
    </row>
    <row r="190" spans="1:17" ht="13.5" thickBot="1" x14ac:dyDescent="0.25">
      <c r="A190" s="165" t="s">
        <v>510</v>
      </c>
      <c r="B190" s="168" t="s">
        <v>509</v>
      </c>
      <c r="C190" s="165" t="s">
        <v>25</v>
      </c>
      <c r="D190" s="166">
        <v>8</v>
      </c>
      <c r="E190" s="166">
        <v>30</v>
      </c>
      <c r="F190" s="165" t="s">
        <v>1648</v>
      </c>
      <c r="G190" s="167">
        <v>8000</v>
      </c>
      <c r="H190" s="165" t="s">
        <v>1726</v>
      </c>
      <c r="I190" s="165" t="s">
        <v>1648</v>
      </c>
      <c r="J190" s="165" t="s">
        <v>1726</v>
      </c>
      <c r="K190" s="165" t="s">
        <v>1648</v>
      </c>
      <c r="L190" s="165" t="s">
        <v>1648</v>
      </c>
      <c r="M190" s="165" t="s">
        <v>1649</v>
      </c>
      <c r="N190" s="165" t="s">
        <v>1648</v>
      </c>
      <c r="O190" s="165" t="s">
        <v>1648</v>
      </c>
      <c r="P190" s="165" t="s">
        <v>1648</v>
      </c>
      <c r="Q190" s="165" t="s">
        <v>1648</v>
      </c>
    </row>
    <row r="191" spans="1:17" ht="13.5" thickBot="1" x14ac:dyDescent="0.25">
      <c r="A191" s="165" t="s">
        <v>520</v>
      </c>
      <c r="B191" s="168" t="s">
        <v>519</v>
      </c>
      <c r="C191" s="165" t="s">
        <v>25</v>
      </c>
      <c r="D191" s="166">
        <v>6</v>
      </c>
      <c r="E191" s="166">
        <v>17</v>
      </c>
      <c r="F191" s="165" t="s">
        <v>1648</v>
      </c>
      <c r="G191" s="167">
        <v>2800</v>
      </c>
      <c r="H191" s="165" t="s">
        <v>1868</v>
      </c>
      <c r="I191" s="165" t="s">
        <v>1648</v>
      </c>
      <c r="J191" s="165" t="s">
        <v>1762</v>
      </c>
      <c r="K191" s="165" t="s">
        <v>1648</v>
      </c>
      <c r="L191" s="165" t="s">
        <v>1648</v>
      </c>
      <c r="M191" s="165" t="s">
        <v>1649</v>
      </c>
      <c r="N191" s="165" t="s">
        <v>1648</v>
      </c>
      <c r="O191" s="165" t="s">
        <v>1648</v>
      </c>
      <c r="P191" s="165" t="s">
        <v>1648</v>
      </c>
      <c r="Q191" s="165" t="s">
        <v>1648</v>
      </c>
    </row>
    <row r="192" spans="1:17" ht="13.5" thickBot="1" x14ac:dyDescent="0.25">
      <c r="A192" s="165" t="s">
        <v>524</v>
      </c>
      <c r="B192" s="168" t="s">
        <v>523</v>
      </c>
      <c r="C192" s="165" t="s">
        <v>25</v>
      </c>
      <c r="D192" s="166">
        <v>3</v>
      </c>
      <c r="E192" s="166">
        <v>12</v>
      </c>
      <c r="F192" s="165" t="s">
        <v>1648</v>
      </c>
      <c r="G192" s="167">
        <v>5640</v>
      </c>
      <c r="H192" s="165" t="s">
        <v>1737</v>
      </c>
      <c r="I192" s="165" t="s">
        <v>1648</v>
      </c>
      <c r="J192" s="165" t="s">
        <v>1737</v>
      </c>
      <c r="K192" s="165" t="s">
        <v>1648</v>
      </c>
      <c r="L192" s="165" t="s">
        <v>1648</v>
      </c>
      <c r="M192" s="165" t="s">
        <v>1649</v>
      </c>
      <c r="N192" s="165" t="s">
        <v>1648</v>
      </c>
      <c r="O192" s="165" t="s">
        <v>1648</v>
      </c>
      <c r="P192" s="165" t="s">
        <v>1648</v>
      </c>
      <c r="Q192" s="165" t="s">
        <v>1648</v>
      </c>
    </row>
    <row r="193" spans="1:17" ht="13.5" thickBot="1" x14ac:dyDescent="0.25">
      <c r="A193" s="165" t="s">
        <v>536</v>
      </c>
      <c r="B193" s="168" t="s">
        <v>535</v>
      </c>
      <c r="C193" s="165" t="s">
        <v>25</v>
      </c>
      <c r="D193" s="166">
        <v>12</v>
      </c>
      <c r="E193" s="166">
        <v>18</v>
      </c>
      <c r="F193" s="165" t="s">
        <v>1648</v>
      </c>
      <c r="G193" s="167">
        <v>6500</v>
      </c>
      <c r="H193" s="165" t="s">
        <v>1873</v>
      </c>
      <c r="I193" s="165" t="s">
        <v>1648</v>
      </c>
      <c r="J193" s="165" t="s">
        <v>1746</v>
      </c>
      <c r="K193" s="165" t="s">
        <v>1649</v>
      </c>
      <c r="L193" s="165" t="s">
        <v>1648</v>
      </c>
      <c r="M193" s="165" t="s">
        <v>1649</v>
      </c>
      <c r="N193" s="165" t="s">
        <v>1649</v>
      </c>
      <c r="O193" s="165" t="s">
        <v>1648</v>
      </c>
      <c r="P193" s="165" t="s">
        <v>1648</v>
      </c>
      <c r="Q193" s="165" t="s">
        <v>1648</v>
      </c>
    </row>
    <row r="194" spans="1:17" ht="13.5" thickBot="1" x14ac:dyDescent="0.25">
      <c r="A194" s="165" t="s">
        <v>554</v>
      </c>
      <c r="B194" s="168" t="s">
        <v>553</v>
      </c>
      <c r="C194" s="165" t="s">
        <v>25</v>
      </c>
      <c r="D194" s="166">
        <v>6</v>
      </c>
      <c r="E194" s="166">
        <v>8</v>
      </c>
      <c r="F194" s="165" t="s">
        <v>1648</v>
      </c>
      <c r="G194" s="167">
        <v>3485</v>
      </c>
      <c r="H194" s="165" t="s">
        <v>1740</v>
      </c>
      <c r="I194" s="165" t="s">
        <v>1648</v>
      </c>
      <c r="J194" s="165" t="s">
        <v>1740</v>
      </c>
      <c r="K194" s="165" t="s">
        <v>1649</v>
      </c>
      <c r="L194" s="165" t="s">
        <v>1648</v>
      </c>
      <c r="M194" s="165" t="s">
        <v>1649</v>
      </c>
      <c r="N194" s="165" t="s">
        <v>1648</v>
      </c>
      <c r="O194" s="165" t="s">
        <v>1648</v>
      </c>
      <c r="P194" s="165" t="s">
        <v>1648</v>
      </c>
      <c r="Q194" s="165" t="s">
        <v>1648</v>
      </c>
    </row>
    <row r="195" spans="1:17" ht="13.5" thickBot="1" x14ac:dyDescent="0.25">
      <c r="A195" s="165" t="s">
        <v>564</v>
      </c>
      <c r="B195" s="168" t="s">
        <v>563</v>
      </c>
      <c r="C195" s="165" t="s">
        <v>25</v>
      </c>
      <c r="D195" s="166">
        <v>11</v>
      </c>
      <c r="E195" s="166">
        <v>13</v>
      </c>
      <c r="F195" s="165" t="s">
        <v>1648</v>
      </c>
      <c r="G195" s="167">
        <v>2765</v>
      </c>
      <c r="H195" s="165" t="s">
        <v>1756</v>
      </c>
      <c r="I195" s="165" t="s">
        <v>1648</v>
      </c>
      <c r="J195" s="165" t="s">
        <v>1756</v>
      </c>
      <c r="K195" s="165" t="s">
        <v>1648</v>
      </c>
      <c r="L195" s="165" t="s">
        <v>1648</v>
      </c>
      <c r="M195" s="165" t="s">
        <v>1649</v>
      </c>
      <c r="N195" s="165" t="s">
        <v>1649</v>
      </c>
      <c r="O195" s="165" t="s">
        <v>1648</v>
      </c>
      <c r="P195" s="165" t="s">
        <v>1649</v>
      </c>
      <c r="Q195" s="165" t="s">
        <v>1648</v>
      </c>
    </row>
    <row r="196" spans="1:17" ht="13.5" thickBot="1" x14ac:dyDescent="0.25">
      <c r="A196" s="165" t="s">
        <v>568</v>
      </c>
      <c r="B196" s="168" t="s">
        <v>567</v>
      </c>
      <c r="C196" s="165" t="s">
        <v>25</v>
      </c>
      <c r="D196" s="166">
        <v>6</v>
      </c>
      <c r="E196" s="166">
        <v>12</v>
      </c>
      <c r="F196" s="165" t="s">
        <v>1648</v>
      </c>
      <c r="G196" s="167">
        <v>15500</v>
      </c>
      <c r="H196" s="165" t="s">
        <v>1738</v>
      </c>
      <c r="I196" s="165" t="s">
        <v>1648</v>
      </c>
      <c r="J196" s="165" t="s">
        <v>1738</v>
      </c>
      <c r="K196" s="165" t="s">
        <v>1648</v>
      </c>
      <c r="L196" s="165" t="s">
        <v>1648</v>
      </c>
      <c r="M196" s="165" t="s">
        <v>1649</v>
      </c>
      <c r="N196" s="165" t="s">
        <v>1648</v>
      </c>
      <c r="O196" s="165" t="s">
        <v>1648</v>
      </c>
      <c r="P196" s="165" t="s">
        <v>1648</v>
      </c>
      <c r="Q196" s="165" t="s">
        <v>1648</v>
      </c>
    </row>
    <row r="197" spans="1:17" ht="13.5" thickBot="1" x14ac:dyDescent="0.25">
      <c r="A197" s="165" t="s">
        <v>576</v>
      </c>
      <c r="B197" s="168" t="s">
        <v>575</v>
      </c>
      <c r="C197" s="165" t="s">
        <v>25</v>
      </c>
      <c r="D197" s="166">
        <v>10</v>
      </c>
      <c r="E197" s="166">
        <v>27</v>
      </c>
      <c r="F197" s="165" t="s">
        <v>1648</v>
      </c>
      <c r="G197" s="167">
        <v>6000</v>
      </c>
      <c r="H197" s="165" t="s">
        <v>1769</v>
      </c>
      <c r="I197" s="165" t="s">
        <v>1648</v>
      </c>
      <c r="J197" s="165" t="s">
        <v>1769</v>
      </c>
      <c r="K197" s="165" t="s">
        <v>1648</v>
      </c>
      <c r="L197" s="165" t="s">
        <v>1648</v>
      </c>
      <c r="M197" s="165" t="s">
        <v>1649</v>
      </c>
      <c r="N197" s="165" t="s">
        <v>1648</v>
      </c>
      <c r="O197" s="165" t="s">
        <v>1648</v>
      </c>
      <c r="P197" s="165" t="s">
        <v>1648</v>
      </c>
      <c r="Q197" s="165" t="s">
        <v>1648</v>
      </c>
    </row>
    <row r="198" spans="1:17" ht="13.5" thickBot="1" x14ac:dyDescent="0.25">
      <c r="A198" s="165" t="s">
        <v>584</v>
      </c>
      <c r="B198" s="168" t="s">
        <v>583</v>
      </c>
      <c r="C198" s="165" t="s">
        <v>25</v>
      </c>
      <c r="D198" s="166">
        <v>9</v>
      </c>
      <c r="E198" s="166">
        <v>25</v>
      </c>
      <c r="F198" s="165" t="s">
        <v>1648</v>
      </c>
      <c r="G198" s="167">
        <v>2283</v>
      </c>
      <c r="H198" s="165" t="s">
        <v>1823</v>
      </c>
      <c r="I198" s="165" t="s">
        <v>1648</v>
      </c>
      <c r="J198" s="165" t="s">
        <v>1823</v>
      </c>
      <c r="K198" s="165" t="s">
        <v>1648</v>
      </c>
      <c r="L198" s="165" t="s">
        <v>1648</v>
      </c>
      <c r="M198" s="165" t="s">
        <v>1649</v>
      </c>
      <c r="N198" s="165" t="s">
        <v>1649</v>
      </c>
      <c r="O198" s="165" t="s">
        <v>1648</v>
      </c>
      <c r="P198" s="165" t="s">
        <v>1648</v>
      </c>
      <c r="Q198" s="165" t="s">
        <v>1648</v>
      </c>
    </row>
    <row r="199" spans="1:17" ht="13.5" thickBot="1" x14ac:dyDescent="0.25">
      <c r="A199" s="165" t="s">
        <v>610</v>
      </c>
      <c r="B199" s="168" t="s">
        <v>609</v>
      </c>
      <c r="C199" s="165" t="s">
        <v>25</v>
      </c>
      <c r="D199" s="166">
        <v>8</v>
      </c>
      <c r="E199" s="166">
        <v>10</v>
      </c>
      <c r="F199" s="165" t="s">
        <v>1648</v>
      </c>
      <c r="G199" s="167">
        <v>2500</v>
      </c>
      <c r="H199" s="165" t="s">
        <v>1747</v>
      </c>
      <c r="I199" s="165" t="s">
        <v>1648</v>
      </c>
      <c r="J199" s="165" t="s">
        <v>1747</v>
      </c>
      <c r="K199" s="165" t="s">
        <v>1648</v>
      </c>
      <c r="L199" s="165" t="s">
        <v>1648</v>
      </c>
      <c r="M199" s="165" t="s">
        <v>1649</v>
      </c>
      <c r="N199" s="165" t="s">
        <v>1649</v>
      </c>
      <c r="O199" s="165" t="s">
        <v>1648</v>
      </c>
      <c r="P199" s="165" t="s">
        <v>1648</v>
      </c>
      <c r="Q199" s="165" t="s">
        <v>1648</v>
      </c>
    </row>
    <row r="200" spans="1:17" ht="13.5" thickBot="1" x14ac:dyDescent="0.25">
      <c r="A200" s="165" t="s">
        <v>618</v>
      </c>
      <c r="B200" s="168" t="s">
        <v>617</v>
      </c>
      <c r="C200" s="165" t="s">
        <v>25</v>
      </c>
      <c r="D200" s="166">
        <v>4</v>
      </c>
      <c r="E200" s="166">
        <v>15</v>
      </c>
      <c r="F200" s="165" t="s">
        <v>1648</v>
      </c>
      <c r="G200" s="167">
        <v>2300</v>
      </c>
      <c r="H200" s="165" t="s">
        <v>1745</v>
      </c>
      <c r="I200" s="165" t="s">
        <v>1648</v>
      </c>
      <c r="J200" s="165" t="s">
        <v>1745</v>
      </c>
      <c r="K200" s="165" t="s">
        <v>1648</v>
      </c>
      <c r="L200" s="165" t="s">
        <v>1648</v>
      </c>
      <c r="M200" s="165" t="s">
        <v>1649</v>
      </c>
      <c r="N200" s="165" t="s">
        <v>1648</v>
      </c>
      <c r="O200" s="165" t="s">
        <v>1648</v>
      </c>
      <c r="P200" s="165" t="s">
        <v>1648</v>
      </c>
      <c r="Q200" s="165" t="s">
        <v>1648</v>
      </c>
    </row>
    <row r="201" spans="1:17" ht="13.5" thickBot="1" x14ac:dyDescent="0.25">
      <c r="A201" s="165" t="s">
        <v>626</v>
      </c>
      <c r="B201" s="168" t="s">
        <v>625</v>
      </c>
      <c r="C201" s="165" t="s">
        <v>25</v>
      </c>
      <c r="D201" s="166">
        <v>12</v>
      </c>
      <c r="E201" s="166">
        <v>4</v>
      </c>
      <c r="F201" s="165" t="s">
        <v>1648</v>
      </c>
      <c r="G201" s="167">
        <v>1200</v>
      </c>
      <c r="H201" s="165" t="s">
        <v>1889</v>
      </c>
      <c r="I201" s="165" t="s">
        <v>1648</v>
      </c>
      <c r="J201" s="165" t="s">
        <v>1889</v>
      </c>
      <c r="K201" s="165" t="s">
        <v>1648</v>
      </c>
      <c r="L201" s="165" t="s">
        <v>1648</v>
      </c>
      <c r="M201" s="165" t="s">
        <v>1649</v>
      </c>
      <c r="N201" s="165" t="s">
        <v>1649</v>
      </c>
      <c r="O201" s="165" t="s">
        <v>1648</v>
      </c>
      <c r="P201" s="165" t="s">
        <v>1648</v>
      </c>
      <c r="Q201" s="165" t="s">
        <v>1648</v>
      </c>
    </row>
    <row r="202" spans="1:17" ht="13.5" thickBot="1" x14ac:dyDescent="0.25">
      <c r="A202" s="165" t="s">
        <v>634</v>
      </c>
      <c r="B202" s="168" t="s">
        <v>633</v>
      </c>
      <c r="C202" s="165" t="s">
        <v>25</v>
      </c>
      <c r="D202" s="166">
        <v>3</v>
      </c>
      <c r="E202" s="166">
        <v>15</v>
      </c>
      <c r="F202" s="165" t="s">
        <v>1648</v>
      </c>
      <c r="G202" s="167">
        <v>27454</v>
      </c>
      <c r="H202" s="165" t="s">
        <v>1732</v>
      </c>
      <c r="I202" s="165" t="s">
        <v>1648</v>
      </c>
      <c r="J202" s="165" t="s">
        <v>1613</v>
      </c>
      <c r="K202" s="165" t="s">
        <v>1648</v>
      </c>
      <c r="L202" s="165" t="s">
        <v>1648</v>
      </c>
      <c r="M202" s="165" t="s">
        <v>1649</v>
      </c>
      <c r="N202" s="165" t="s">
        <v>1648</v>
      </c>
      <c r="O202" s="165" t="s">
        <v>1648</v>
      </c>
      <c r="P202" s="165" t="s">
        <v>1648</v>
      </c>
      <c r="Q202" s="165" t="s">
        <v>1648</v>
      </c>
    </row>
    <row r="203" spans="1:17" ht="13.5" thickBot="1" x14ac:dyDescent="0.25">
      <c r="A203" s="165" t="s">
        <v>650</v>
      </c>
      <c r="B203" s="168" t="s">
        <v>649</v>
      </c>
      <c r="C203" s="165" t="s">
        <v>25</v>
      </c>
      <c r="D203" s="166">
        <v>7</v>
      </c>
      <c r="E203" s="166">
        <v>19</v>
      </c>
      <c r="F203" s="165" t="s">
        <v>1648</v>
      </c>
      <c r="G203" s="167">
        <v>12201</v>
      </c>
      <c r="H203" s="165" t="s">
        <v>1737</v>
      </c>
      <c r="I203" s="165" t="s">
        <v>1648</v>
      </c>
      <c r="J203" s="165" t="s">
        <v>1737</v>
      </c>
      <c r="K203" s="165" t="s">
        <v>1648</v>
      </c>
      <c r="L203" s="165" t="s">
        <v>1648</v>
      </c>
      <c r="M203" s="165" t="s">
        <v>1649</v>
      </c>
      <c r="N203" s="165" t="s">
        <v>1648</v>
      </c>
      <c r="O203" s="165" t="s">
        <v>1648</v>
      </c>
      <c r="P203" s="165" t="s">
        <v>1648</v>
      </c>
      <c r="Q203" s="165" t="s">
        <v>1648</v>
      </c>
    </row>
    <row r="204" spans="1:17" ht="13.5" thickBot="1" x14ac:dyDescent="0.25">
      <c r="A204" s="165" t="s">
        <v>652</v>
      </c>
      <c r="B204" s="168" t="s">
        <v>651</v>
      </c>
      <c r="C204" s="165" t="s">
        <v>25</v>
      </c>
      <c r="D204" s="166">
        <v>6</v>
      </c>
      <c r="E204" s="166">
        <v>7</v>
      </c>
      <c r="F204" s="165" t="s">
        <v>1648</v>
      </c>
      <c r="G204" s="167">
        <v>8700</v>
      </c>
      <c r="H204" s="165" t="s">
        <v>1890</v>
      </c>
      <c r="I204" s="165" t="s">
        <v>1648</v>
      </c>
      <c r="J204" s="165" t="s">
        <v>1891</v>
      </c>
      <c r="K204" s="165" t="s">
        <v>1648</v>
      </c>
      <c r="L204" s="165" t="s">
        <v>1648</v>
      </c>
      <c r="M204" s="165" t="s">
        <v>1649</v>
      </c>
      <c r="N204" s="165" t="s">
        <v>1648</v>
      </c>
      <c r="O204" s="165" t="s">
        <v>1648</v>
      </c>
      <c r="P204" s="165" t="s">
        <v>1649</v>
      </c>
      <c r="Q204" s="165" t="s">
        <v>1648</v>
      </c>
    </row>
    <row r="205" spans="1:17" ht="13.5" thickBot="1" x14ac:dyDescent="0.25">
      <c r="A205" s="165" t="s">
        <v>660</v>
      </c>
      <c r="B205" s="168" t="s">
        <v>659</v>
      </c>
      <c r="C205" s="165" t="s">
        <v>25</v>
      </c>
      <c r="D205" s="166">
        <v>4</v>
      </c>
      <c r="E205" s="166">
        <v>12</v>
      </c>
      <c r="F205" s="165" t="s">
        <v>1648</v>
      </c>
      <c r="G205" s="167">
        <v>15361</v>
      </c>
      <c r="H205" s="165" t="s">
        <v>1738</v>
      </c>
      <c r="I205" s="165" t="s">
        <v>1648</v>
      </c>
      <c r="J205" s="165" t="s">
        <v>1738</v>
      </c>
      <c r="K205" s="165" t="s">
        <v>1648</v>
      </c>
      <c r="L205" s="165" t="s">
        <v>1648</v>
      </c>
      <c r="M205" s="165" t="s">
        <v>1649</v>
      </c>
      <c r="N205" s="165" t="s">
        <v>1648</v>
      </c>
      <c r="O205" s="165" t="s">
        <v>1648</v>
      </c>
      <c r="P205" s="165" t="s">
        <v>1648</v>
      </c>
      <c r="Q205" s="165" t="s">
        <v>1649</v>
      </c>
    </row>
    <row r="206" spans="1:17" ht="13.5" thickBot="1" x14ac:dyDescent="0.25">
      <c r="A206" s="165" t="s">
        <v>666</v>
      </c>
      <c r="B206" s="168" t="s">
        <v>665</v>
      </c>
      <c r="C206" s="165" t="s">
        <v>25</v>
      </c>
      <c r="D206" s="166">
        <v>8</v>
      </c>
      <c r="E206" s="166">
        <v>7</v>
      </c>
      <c r="F206" s="165" t="s">
        <v>1648</v>
      </c>
      <c r="G206" s="167">
        <v>9976</v>
      </c>
      <c r="H206" s="165" t="s">
        <v>1893</v>
      </c>
      <c r="I206" s="165" t="s">
        <v>1648</v>
      </c>
      <c r="J206" s="165" t="s">
        <v>1893</v>
      </c>
      <c r="K206" s="165" t="s">
        <v>1648</v>
      </c>
      <c r="L206" s="165" t="s">
        <v>1648</v>
      </c>
      <c r="M206" s="165" t="s">
        <v>1649</v>
      </c>
      <c r="N206" s="165" t="s">
        <v>1648</v>
      </c>
      <c r="O206" s="165" t="s">
        <v>1648</v>
      </c>
      <c r="P206" s="165" t="s">
        <v>1648</v>
      </c>
      <c r="Q206" s="165" t="s">
        <v>1648</v>
      </c>
    </row>
    <row r="207" spans="1:17" ht="13.5" thickBot="1" x14ac:dyDescent="0.25">
      <c r="A207" s="165" t="s">
        <v>670</v>
      </c>
      <c r="B207" s="168" t="s">
        <v>669</v>
      </c>
      <c r="C207" s="165" t="s">
        <v>25</v>
      </c>
      <c r="D207" s="166">
        <v>9</v>
      </c>
      <c r="E207" s="166">
        <v>10</v>
      </c>
      <c r="F207" s="165" t="s">
        <v>1648</v>
      </c>
      <c r="G207" s="167">
        <v>18000</v>
      </c>
      <c r="H207" s="165" t="s">
        <v>1894</v>
      </c>
      <c r="I207" s="165" t="s">
        <v>1648</v>
      </c>
      <c r="J207" s="165" t="s">
        <v>1739</v>
      </c>
      <c r="K207" s="165" t="s">
        <v>1648</v>
      </c>
      <c r="L207" s="165" t="s">
        <v>1648</v>
      </c>
      <c r="M207" s="165" t="s">
        <v>1649</v>
      </c>
      <c r="N207" s="165" t="s">
        <v>1648</v>
      </c>
      <c r="O207" s="165" t="s">
        <v>1648</v>
      </c>
      <c r="P207" s="165" t="s">
        <v>1648</v>
      </c>
      <c r="Q207" s="165" t="s">
        <v>1648</v>
      </c>
    </row>
    <row r="208" spans="1:17" ht="13.5" thickBot="1" x14ac:dyDescent="0.25">
      <c r="A208" s="165" t="s">
        <v>676</v>
      </c>
      <c r="B208" s="168" t="s">
        <v>675</v>
      </c>
      <c r="C208" s="165" t="s">
        <v>25</v>
      </c>
      <c r="D208" s="166">
        <v>8</v>
      </c>
      <c r="E208" s="166">
        <v>23</v>
      </c>
      <c r="F208" s="165" t="s">
        <v>1648</v>
      </c>
      <c r="G208" s="167">
        <v>3600</v>
      </c>
      <c r="H208" s="165" t="s">
        <v>1747</v>
      </c>
      <c r="I208" s="165" t="s">
        <v>1648</v>
      </c>
      <c r="J208" s="165" t="s">
        <v>1747</v>
      </c>
      <c r="K208" s="165" t="s">
        <v>1648</v>
      </c>
      <c r="L208" s="165" t="s">
        <v>1648</v>
      </c>
      <c r="M208" s="165" t="s">
        <v>1649</v>
      </c>
      <c r="N208" s="165" t="s">
        <v>1649</v>
      </c>
      <c r="O208" s="165" t="s">
        <v>1648</v>
      </c>
      <c r="P208" s="165" t="s">
        <v>1648</v>
      </c>
      <c r="Q208" s="165" t="s">
        <v>1648</v>
      </c>
    </row>
    <row r="209" spans="1:17" ht="13.5" thickBot="1" x14ac:dyDescent="0.25">
      <c r="A209" s="165" t="s">
        <v>682</v>
      </c>
      <c r="B209" s="168" t="s">
        <v>681</v>
      </c>
      <c r="C209" s="165" t="s">
        <v>25</v>
      </c>
      <c r="D209" s="166">
        <v>9</v>
      </c>
      <c r="E209" s="166">
        <v>11</v>
      </c>
      <c r="F209" s="165" t="s">
        <v>1648</v>
      </c>
      <c r="G209" s="167">
        <v>2404</v>
      </c>
      <c r="H209" s="165" t="s">
        <v>1897</v>
      </c>
      <c r="I209" s="165" t="s">
        <v>1648</v>
      </c>
      <c r="J209" s="165" t="s">
        <v>1897</v>
      </c>
      <c r="K209" s="165" t="s">
        <v>1648</v>
      </c>
      <c r="L209" s="165" t="s">
        <v>1648</v>
      </c>
      <c r="M209" s="165" t="s">
        <v>1649</v>
      </c>
      <c r="N209" s="165" t="s">
        <v>1649</v>
      </c>
      <c r="O209" s="165" t="s">
        <v>1648</v>
      </c>
      <c r="P209" s="165" t="s">
        <v>1648</v>
      </c>
      <c r="Q209" s="165" t="s">
        <v>1648</v>
      </c>
    </row>
    <row r="210" spans="1:17" ht="13.5" thickBot="1" x14ac:dyDescent="0.25">
      <c r="A210" s="165" t="s">
        <v>694</v>
      </c>
      <c r="B210" s="168" t="s">
        <v>693</v>
      </c>
      <c r="C210" s="165" t="s">
        <v>25</v>
      </c>
      <c r="D210" s="166">
        <v>10</v>
      </c>
      <c r="E210" s="166">
        <v>22</v>
      </c>
      <c r="F210" s="165" t="s">
        <v>1648</v>
      </c>
      <c r="G210" s="167">
        <v>100</v>
      </c>
      <c r="H210" s="165" t="s">
        <v>1744</v>
      </c>
      <c r="I210" s="165" t="s">
        <v>1648</v>
      </c>
      <c r="J210" s="165" t="s">
        <v>1744</v>
      </c>
      <c r="K210" s="165" t="s">
        <v>1648</v>
      </c>
      <c r="L210" s="165" t="s">
        <v>1648</v>
      </c>
      <c r="M210" s="165" t="s">
        <v>1649</v>
      </c>
      <c r="N210" s="165" t="s">
        <v>1649</v>
      </c>
      <c r="O210" s="165" t="s">
        <v>1648</v>
      </c>
      <c r="P210" s="165" t="s">
        <v>1649</v>
      </c>
      <c r="Q210" s="165" t="s">
        <v>1648</v>
      </c>
    </row>
    <row r="211" spans="1:17" ht="13.5" thickBot="1" x14ac:dyDescent="0.25">
      <c r="A211" s="165" t="s">
        <v>700</v>
      </c>
      <c r="B211" s="168" t="s">
        <v>699</v>
      </c>
      <c r="C211" s="165" t="s">
        <v>25</v>
      </c>
      <c r="D211" s="166">
        <v>4</v>
      </c>
      <c r="E211" s="166">
        <v>11</v>
      </c>
      <c r="F211" s="165" t="s">
        <v>1648</v>
      </c>
      <c r="G211" s="167">
        <v>15600</v>
      </c>
      <c r="H211" s="165" t="s">
        <v>1808</v>
      </c>
      <c r="I211" s="165" t="s">
        <v>1648</v>
      </c>
      <c r="J211" s="165" t="s">
        <v>1899</v>
      </c>
      <c r="K211" s="165" t="s">
        <v>1648</v>
      </c>
      <c r="L211" s="165" t="s">
        <v>1648</v>
      </c>
      <c r="M211" s="165" t="s">
        <v>1649</v>
      </c>
      <c r="N211" s="165" t="s">
        <v>1648</v>
      </c>
      <c r="O211" s="165" t="s">
        <v>1648</v>
      </c>
      <c r="P211" s="165" t="s">
        <v>1648</v>
      </c>
      <c r="Q211" s="165" t="s">
        <v>1648</v>
      </c>
    </row>
    <row r="212" spans="1:17" ht="13.5" thickBot="1" x14ac:dyDescent="0.25">
      <c r="A212" s="165" t="s">
        <v>702</v>
      </c>
      <c r="B212" s="168" t="s">
        <v>701</v>
      </c>
      <c r="C212" s="165" t="s">
        <v>25</v>
      </c>
      <c r="D212" s="166">
        <v>8</v>
      </c>
      <c r="E212" s="166">
        <v>16</v>
      </c>
      <c r="F212" s="165" t="s">
        <v>1648</v>
      </c>
      <c r="G212" s="167">
        <v>16600</v>
      </c>
      <c r="H212" s="165" t="s">
        <v>1726</v>
      </c>
      <c r="I212" s="165" t="s">
        <v>1648</v>
      </c>
      <c r="J212" s="165" t="s">
        <v>1726</v>
      </c>
      <c r="K212" s="165" t="s">
        <v>1648</v>
      </c>
      <c r="L212" s="165" t="s">
        <v>1648</v>
      </c>
      <c r="M212" s="165" t="s">
        <v>1649</v>
      </c>
      <c r="N212" s="165" t="s">
        <v>1648</v>
      </c>
      <c r="O212" s="165" t="s">
        <v>1648</v>
      </c>
      <c r="P212" s="165" t="s">
        <v>1648</v>
      </c>
      <c r="Q212" s="165" t="s">
        <v>1648</v>
      </c>
    </row>
    <row r="213" spans="1:17" ht="13.5" thickBot="1" x14ac:dyDescent="0.25">
      <c r="A213" s="165" t="s">
        <v>718</v>
      </c>
      <c r="B213" s="168" t="s">
        <v>717</v>
      </c>
      <c r="C213" s="165" t="s">
        <v>25</v>
      </c>
      <c r="D213" s="166">
        <v>5</v>
      </c>
      <c r="E213" s="166">
        <v>12</v>
      </c>
      <c r="F213" s="165" t="s">
        <v>1648</v>
      </c>
      <c r="G213" s="167">
        <v>2500</v>
      </c>
      <c r="H213" s="165" t="s">
        <v>1745</v>
      </c>
      <c r="I213" s="165" t="s">
        <v>1648</v>
      </c>
      <c r="J213" s="165" t="s">
        <v>1745</v>
      </c>
      <c r="K213" s="165" t="s">
        <v>1648</v>
      </c>
      <c r="L213" s="165" t="s">
        <v>1648</v>
      </c>
      <c r="M213" s="165" t="s">
        <v>1649</v>
      </c>
      <c r="N213" s="165" t="s">
        <v>1648</v>
      </c>
      <c r="O213" s="165" t="s">
        <v>1648</v>
      </c>
      <c r="P213" s="165" t="s">
        <v>1648</v>
      </c>
      <c r="Q213" s="165" t="s">
        <v>1648</v>
      </c>
    </row>
    <row r="214" spans="1:17" ht="13.5" thickBot="1" x14ac:dyDescent="0.25">
      <c r="A214" s="165" t="s">
        <v>722</v>
      </c>
      <c r="B214" s="168" t="s">
        <v>721</v>
      </c>
      <c r="C214" s="165" t="s">
        <v>25</v>
      </c>
      <c r="D214" s="166">
        <v>4</v>
      </c>
      <c r="E214" s="166">
        <v>18</v>
      </c>
      <c r="F214" s="165" t="s">
        <v>1648</v>
      </c>
      <c r="G214" s="167">
        <v>6000</v>
      </c>
      <c r="H214" s="165" t="s">
        <v>1901</v>
      </c>
      <c r="I214" s="165" t="s">
        <v>1648</v>
      </c>
      <c r="J214" s="165" t="s">
        <v>1766</v>
      </c>
      <c r="K214" s="165" t="s">
        <v>1648</v>
      </c>
      <c r="L214" s="165" t="s">
        <v>1648</v>
      </c>
      <c r="M214" s="165" t="s">
        <v>1649</v>
      </c>
      <c r="N214" s="165" t="s">
        <v>1648</v>
      </c>
      <c r="O214" s="165" t="s">
        <v>1648</v>
      </c>
      <c r="P214" s="165" t="s">
        <v>1648</v>
      </c>
      <c r="Q214" s="165" t="s">
        <v>1648</v>
      </c>
    </row>
    <row r="215" spans="1:17" ht="13.5" thickBot="1" x14ac:dyDescent="0.25">
      <c r="A215" s="165" t="s">
        <v>724</v>
      </c>
      <c r="B215" s="168" t="s">
        <v>723</v>
      </c>
      <c r="C215" s="165" t="s">
        <v>25</v>
      </c>
      <c r="D215" s="166">
        <v>8</v>
      </c>
      <c r="E215" s="166">
        <v>7</v>
      </c>
      <c r="F215" s="165" t="s">
        <v>1648</v>
      </c>
      <c r="G215" s="167">
        <v>6800</v>
      </c>
      <c r="H215" s="165" t="s">
        <v>1733</v>
      </c>
      <c r="I215" s="165" t="s">
        <v>1648</v>
      </c>
      <c r="J215" s="165" t="s">
        <v>1733</v>
      </c>
      <c r="K215" s="165" t="s">
        <v>1648</v>
      </c>
      <c r="L215" s="165" t="s">
        <v>1648</v>
      </c>
      <c r="M215" s="165" t="s">
        <v>1648</v>
      </c>
      <c r="N215" s="165" t="s">
        <v>1648</v>
      </c>
      <c r="O215" s="165" t="s">
        <v>1648</v>
      </c>
      <c r="P215" s="165" t="s">
        <v>1648</v>
      </c>
      <c r="Q215" s="165" t="s">
        <v>1648</v>
      </c>
    </row>
    <row r="216" spans="1:17" ht="13.5" thickBot="1" x14ac:dyDescent="0.25">
      <c r="A216" s="165" t="s">
        <v>734</v>
      </c>
      <c r="B216" s="168" t="s">
        <v>733</v>
      </c>
      <c r="C216" s="165" t="s">
        <v>25</v>
      </c>
      <c r="D216" s="166">
        <v>6</v>
      </c>
      <c r="E216" s="166">
        <v>13</v>
      </c>
      <c r="F216" s="165" t="s">
        <v>1648</v>
      </c>
      <c r="G216" s="167">
        <v>2632</v>
      </c>
      <c r="H216" s="165" t="s">
        <v>1747</v>
      </c>
      <c r="I216" s="165" t="s">
        <v>1648</v>
      </c>
      <c r="J216" s="165" t="s">
        <v>1747</v>
      </c>
      <c r="K216" s="165" t="s">
        <v>1648</v>
      </c>
      <c r="L216" s="165" t="s">
        <v>1648</v>
      </c>
      <c r="M216" s="165" t="s">
        <v>1649</v>
      </c>
      <c r="N216" s="165" t="s">
        <v>1649</v>
      </c>
      <c r="O216" s="165" t="s">
        <v>1648</v>
      </c>
      <c r="P216" s="165" t="s">
        <v>1648</v>
      </c>
      <c r="Q216" s="165" t="s">
        <v>1648</v>
      </c>
    </row>
    <row r="217" spans="1:17" ht="13.5" thickBot="1" x14ac:dyDescent="0.25">
      <c r="A217" s="165" t="s">
        <v>738</v>
      </c>
      <c r="B217" s="168" t="s">
        <v>737</v>
      </c>
      <c r="C217" s="165" t="s">
        <v>25</v>
      </c>
      <c r="D217" s="166">
        <v>6</v>
      </c>
      <c r="E217" s="166">
        <v>15</v>
      </c>
      <c r="F217" s="165" t="s">
        <v>1648</v>
      </c>
      <c r="G217" s="167">
        <v>1042</v>
      </c>
      <c r="H217" s="165" t="s">
        <v>1742</v>
      </c>
      <c r="I217" s="165" t="s">
        <v>1648</v>
      </c>
      <c r="J217" s="165" t="s">
        <v>1742</v>
      </c>
      <c r="K217" s="165" t="s">
        <v>1648</v>
      </c>
      <c r="L217" s="165" t="s">
        <v>1648</v>
      </c>
      <c r="M217" s="165" t="s">
        <v>1649</v>
      </c>
      <c r="N217" s="165" t="s">
        <v>1649</v>
      </c>
      <c r="O217" s="165" t="s">
        <v>1648</v>
      </c>
      <c r="P217" s="165" t="s">
        <v>1648</v>
      </c>
      <c r="Q217" s="165" t="s">
        <v>1649</v>
      </c>
    </row>
    <row r="218" spans="1:17" ht="13.5" thickBot="1" x14ac:dyDescent="0.25">
      <c r="A218" s="165" t="s">
        <v>740</v>
      </c>
      <c r="B218" s="168" t="s">
        <v>739</v>
      </c>
      <c r="C218" s="165" t="s">
        <v>25</v>
      </c>
      <c r="D218" s="166">
        <v>5</v>
      </c>
      <c r="E218" s="166">
        <v>10</v>
      </c>
      <c r="F218" s="165" t="s">
        <v>1648</v>
      </c>
      <c r="G218" s="167">
        <v>2700</v>
      </c>
      <c r="H218" s="165" t="s">
        <v>1823</v>
      </c>
      <c r="I218" s="165" t="s">
        <v>1648</v>
      </c>
      <c r="J218" s="165" t="s">
        <v>1823</v>
      </c>
      <c r="K218" s="165" t="s">
        <v>1648</v>
      </c>
      <c r="L218" s="165" t="s">
        <v>1648</v>
      </c>
      <c r="M218" s="165" t="s">
        <v>1649</v>
      </c>
      <c r="N218" s="165" t="s">
        <v>1649</v>
      </c>
      <c r="O218" s="165" t="s">
        <v>1648</v>
      </c>
      <c r="P218" s="165" t="s">
        <v>1648</v>
      </c>
      <c r="Q218" s="165" t="s">
        <v>1649</v>
      </c>
    </row>
    <row r="219" spans="1:17" ht="13.5" thickBot="1" x14ac:dyDescent="0.25">
      <c r="A219" s="165" t="s">
        <v>748</v>
      </c>
      <c r="B219" s="168" t="s">
        <v>747</v>
      </c>
      <c r="C219" s="165" t="s">
        <v>25</v>
      </c>
      <c r="D219" s="166">
        <v>10</v>
      </c>
      <c r="E219" s="166">
        <v>21</v>
      </c>
      <c r="F219" s="165" t="s">
        <v>1648</v>
      </c>
      <c r="G219" s="167">
        <v>14100</v>
      </c>
      <c r="H219" s="165" t="s">
        <v>1842</v>
      </c>
      <c r="I219" s="165" t="s">
        <v>1648</v>
      </c>
      <c r="J219" s="165" t="s">
        <v>1905</v>
      </c>
      <c r="K219" s="165" t="s">
        <v>1648</v>
      </c>
      <c r="L219" s="165" t="s">
        <v>1648</v>
      </c>
      <c r="M219" s="165" t="s">
        <v>1649</v>
      </c>
      <c r="N219" s="165" t="s">
        <v>1648</v>
      </c>
      <c r="O219" s="165" t="s">
        <v>1648</v>
      </c>
      <c r="P219" s="165" t="s">
        <v>1648</v>
      </c>
      <c r="Q219" s="165" t="s">
        <v>1648</v>
      </c>
    </row>
    <row r="220" spans="1:17" ht="13.5" thickBot="1" x14ac:dyDescent="0.25">
      <c r="A220" s="165" t="s">
        <v>776</v>
      </c>
      <c r="B220" s="168" t="s">
        <v>775</v>
      </c>
      <c r="C220" s="165" t="s">
        <v>25</v>
      </c>
      <c r="D220" s="166">
        <v>2</v>
      </c>
      <c r="E220" s="166">
        <v>6</v>
      </c>
      <c r="F220" s="165" t="s">
        <v>1649</v>
      </c>
      <c r="G220" s="167">
        <v>900</v>
      </c>
      <c r="H220" s="165" t="s">
        <v>1912</v>
      </c>
      <c r="I220" s="165" t="s">
        <v>1649</v>
      </c>
      <c r="J220" s="165" t="s">
        <v>1613</v>
      </c>
      <c r="K220" s="165" t="s">
        <v>1649</v>
      </c>
      <c r="L220" s="165" t="s">
        <v>1649</v>
      </c>
      <c r="M220" s="165" t="s">
        <v>1649</v>
      </c>
      <c r="N220" s="165" t="s">
        <v>1648</v>
      </c>
      <c r="O220" s="165" t="s">
        <v>1648</v>
      </c>
      <c r="P220" s="165" t="s">
        <v>1648</v>
      </c>
      <c r="Q220" s="165" t="s">
        <v>1648</v>
      </c>
    </row>
    <row r="221" spans="1:17" ht="13.5" thickBot="1" x14ac:dyDescent="0.25">
      <c r="A221" s="165" t="s">
        <v>790</v>
      </c>
      <c r="B221" s="168" t="s">
        <v>789</v>
      </c>
      <c r="C221" s="165" t="s">
        <v>25</v>
      </c>
      <c r="D221" s="166">
        <v>4</v>
      </c>
      <c r="E221" s="166">
        <v>14</v>
      </c>
      <c r="F221" s="165" t="s">
        <v>1648</v>
      </c>
      <c r="G221" s="167">
        <v>10000</v>
      </c>
      <c r="H221" s="165" t="s">
        <v>1728</v>
      </c>
      <c r="I221" s="165" t="s">
        <v>1648</v>
      </c>
      <c r="J221" s="165" t="s">
        <v>1913</v>
      </c>
      <c r="K221" s="165" t="s">
        <v>1648</v>
      </c>
      <c r="L221" s="165" t="s">
        <v>1648</v>
      </c>
      <c r="M221" s="165" t="s">
        <v>1649</v>
      </c>
      <c r="N221" s="165" t="s">
        <v>1648</v>
      </c>
      <c r="O221" s="165" t="s">
        <v>1648</v>
      </c>
      <c r="P221" s="165" t="s">
        <v>1648</v>
      </c>
      <c r="Q221" s="165" t="s">
        <v>1648</v>
      </c>
    </row>
    <row r="222" spans="1:17" ht="13.5" thickBot="1" x14ac:dyDescent="0.25">
      <c r="A222" s="165" t="s">
        <v>792</v>
      </c>
      <c r="B222" s="168" t="s">
        <v>791</v>
      </c>
      <c r="C222" s="165" t="s">
        <v>25</v>
      </c>
      <c r="D222" s="166">
        <v>10</v>
      </c>
      <c r="E222" s="166">
        <v>34</v>
      </c>
      <c r="F222" s="165" t="s">
        <v>1648</v>
      </c>
      <c r="G222" s="167">
        <v>8100</v>
      </c>
      <c r="H222" s="165" t="s">
        <v>1726</v>
      </c>
      <c r="I222" s="165" t="s">
        <v>1648</v>
      </c>
      <c r="J222" s="165" t="s">
        <v>1726</v>
      </c>
      <c r="K222" s="165" t="s">
        <v>1648</v>
      </c>
      <c r="L222" s="165" t="s">
        <v>1648</v>
      </c>
      <c r="M222" s="165" t="s">
        <v>1649</v>
      </c>
      <c r="N222" s="165" t="s">
        <v>1648</v>
      </c>
      <c r="O222" s="165" t="s">
        <v>1648</v>
      </c>
      <c r="P222" s="165" t="s">
        <v>1648</v>
      </c>
      <c r="Q222" s="165" t="s">
        <v>1648</v>
      </c>
    </row>
    <row r="223" spans="1:17" ht="13.5" thickBot="1" x14ac:dyDescent="0.25">
      <c r="A223" s="165" t="s">
        <v>796</v>
      </c>
      <c r="B223" s="168" t="s">
        <v>795</v>
      </c>
      <c r="C223" s="165" t="s">
        <v>25</v>
      </c>
      <c r="D223" s="166">
        <v>10</v>
      </c>
      <c r="E223" s="166">
        <v>15</v>
      </c>
      <c r="F223" s="165" t="s">
        <v>1648</v>
      </c>
      <c r="G223" s="167">
        <v>16000</v>
      </c>
      <c r="H223" s="165" t="s">
        <v>1914</v>
      </c>
      <c r="I223" s="165" t="s">
        <v>1648</v>
      </c>
      <c r="J223" s="165" t="s">
        <v>1915</v>
      </c>
      <c r="K223" s="165" t="s">
        <v>1648</v>
      </c>
      <c r="L223" s="165" t="s">
        <v>1648</v>
      </c>
      <c r="M223" s="165" t="s">
        <v>1649</v>
      </c>
      <c r="N223" s="165" t="s">
        <v>1648</v>
      </c>
      <c r="O223" s="165" t="s">
        <v>1648</v>
      </c>
      <c r="P223" s="165" t="s">
        <v>1648</v>
      </c>
      <c r="Q223" s="165" t="s">
        <v>1648</v>
      </c>
    </row>
    <row r="224" spans="1:17" ht="13.5" thickBot="1" x14ac:dyDescent="0.25">
      <c r="A224" s="165" t="s">
        <v>798</v>
      </c>
      <c r="B224" s="168" t="s">
        <v>797</v>
      </c>
      <c r="C224" s="165" t="s">
        <v>25</v>
      </c>
      <c r="D224" s="166">
        <v>11</v>
      </c>
      <c r="E224" s="166">
        <v>24</v>
      </c>
      <c r="F224" s="165" t="s">
        <v>1648</v>
      </c>
      <c r="G224" s="167">
        <v>5506</v>
      </c>
      <c r="H224" s="165" t="s">
        <v>1733</v>
      </c>
      <c r="I224" s="165" t="s">
        <v>1648</v>
      </c>
      <c r="J224" s="165" t="s">
        <v>1733</v>
      </c>
      <c r="K224" s="165" t="s">
        <v>1648</v>
      </c>
      <c r="L224" s="165" t="s">
        <v>1648</v>
      </c>
      <c r="M224" s="165" t="s">
        <v>1649</v>
      </c>
      <c r="N224" s="165" t="s">
        <v>1648</v>
      </c>
      <c r="O224" s="165" t="s">
        <v>1648</v>
      </c>
      <c r="P224" s="165" t="s">
        <v>1648</v>
      </c>
      <c r="Q224" s="165" t="s">
        <v>1648</v>
      </c>
    </row>
    <row r="225" spans="1:17" ht="13.5" thickBot="1" x14ac:dyDescent="0.25">
      <c r="A225" s="165" t="s">
        <v>804</v>
      </c>
      <c r="B225" s="168" t="s">
        <v>803</v>
      </c>
      <c r="C225" s="165" t="s">
        <v>25</v>
      </c>
      <c r="D225" s="166">
        <v>6</v>
      </c>
      <c r="E225" s="166">
        <v>13</v>
      </c>
      <c r="F225" s="165" t="s">
        <v>1648</v>
      </c>
      <c r="G225" s="167">
        <v>1042</v>
      </c>
      <c r="H225" s="165" t="s">
        <v>1744</v>
      </c>
      <c r="I225" s="165" t="s">
        <v>1648</v>
      </c>
      <c r="J225" s="165" t="s">
        <v>1744</v>
      </c>
      <c r="K225" s="165" t="s">
        <v>1648</v>
      </c>
      <c r="L225" s="165" t="s">
        <v>1648</v>
      </c>
      <c r="M225" s="165" t="s">
        <v>1649</v>
      </c>
      <c r="N225" s="165" t="s">
        <v>1648</v>
      </c>
      <c r="O225" s="165" t="s">
        <v>1648</v>
      </c>
      <c r="P225" s="165" t="s">
        <v>1648</v>
      </c>
      <c r="Q225" s="165" t="s">
        <v>1649</v>
      </c>
    </row>
    <row r="226" spans="1:17" ht="13.5" thickBot="1" x14ac:dyDescent="0.25">
      <c r="A226" s="165" t="s">
        <v>19</v>
      </c>
      <c r="B226" s="168" t="s">
        <v>18</v>
      </c>
      <c r="C226" s="165" t="s">
        <v>22</v>
      </c>
      <c r="D226" s="166">
        <v>18</v>
      </c>
      <c r="E226" s="166">
        <v>40</v>
      </c>
      <c r="F226" s="165" t="s">
        <v>1648</v>
      </c>
      <c r="G226" s="167">
        <v>4000</v>
      </c>
      <c r="H226" s="165" t="s">
        <v>1724</v>
      </c>
      <c r="I226" s="165" t="s">
        <v>1648</v>
      </c>
      <c r="J226" s="165" t="s">
        <v>1724</v>
      </c>
      <c r="K226" s="165" t="s">
        <v>1648</v>
      </c>
      <c r="L226" s="165" t="s">
        <v>1648</v>
      </c>
      <c r="M226" s="165" t="s">
        <v>1649</v>
      </c>
      <c r="N226" s="165" t="s">
        <v>1649</v>
      </c>
      <c r="O226" s="165" t="s">
        <v>1648</v>
      </c>
      <c r="P226" s="165" t="s">
        <v>1648</v>
      </c>
      <c r="Q226" s="165" t="s">
        <v>1649</v>
      </c>
    </row>
    <row r="227" spans="1:17" ht="13.5" thickBot="1" x14ac:dyDescent="0.25">
      <c r="A227" s="165" t="s">
        <v>36</v>
      </c>
      <c r="B227" s="168" t="s">
        <v>35</v>
      </c>
      <c r="C227" s="165" t="s">
        <v>22</v>
      </c>
      <c r="D227" s="166">
        <v>10</v>
      </c>
      <c r="E227" s="166">
        <v>22</v>
      </c>
      <c r="F227" s="165" t="s">
        <v>1648</v>
      </c>
      <c r="G227" s="167">
        <v>2500</v>
      </c>
      <c r="H227" s="165" t="s">
        <v>1731</v>
      </c>
      <c r="I227" s="165" t="s">
        <v>1648</v>
      </c>
      <c r="J227" s="165" t="s">
        <v>1731</v>
      </c>
      <c r="K227" s="165" t="s">
        <v>1649</v>
      </c>
      <c r="L227" s="165" t="s">
        <v>1648</v>
      </c>
      <c r="M227" s="165" t="s">
        <v>1648</v>
      </c>
      <c r="N227" s="165" t="s">
        <v>1649</v>
      </c>
      <c r="O227" s="165" t="s">
        <v>1648</v>
      </c>
      <c r="P227" s="165" t="s">
        <v>1648</v>
      </c>
      <c r="Q227" s="165" t="s">
        <v>1648</v>
      </c>
    </row>
    <row r="228" spans="1:17" ht="13.5" thickBot="1" x14ac:dyDescent="0.25">
      <c r="A228" s="165" t="s">
        <v>64</v>
      </c>
      <c r="B228" s="168" t="s">
        <v>63</v>
      </c>
      <c r="C228" s="165" t="s">
        <v>22</v>
      </c>
      <c r="D228" s="166">
        <v>21</v>
      </c>
      <c r="E228" s="166">
        <v>26</v>
      </c>
      <c r="F228" s="165" t="s">
        <v>1648</v>
      </c>
      <c r="G228" s="167">
        <v>30540</v>
      </c>
      <c r="H228" s="165" t="s">
        <v>1613</v>
      </c>
      <c r="I228" s="165" t="s">
        <v>1648</v>
      </c>
      <c r="J228" s="165" t="s">
        <v>1613</v>
      </c>
      <c r="K228" s="165" t="s">
        <v>1648</v>
      </c>
      <c r="L228" s="165" t="s">
        <v>1648</v>
      </c>
      <c r="M228" s="165" t="s">
        <v>1648</v>
      </c>
      <c r="N228" s="165" t="s">
        <v>1648</v>
      </c>
      <c r="O228" s="165" t="s">
        <v>1648</v>
      </c>
      <c r="P228" s="165" t="s">
        <v>1648</v>
      </c>
      <c r="Q228" s="165" t="s">
        <v>1649</v>
      </c>
    </row>
    <row r="229" spans="1:17" ht="13.5" thickBot="1" x14ac:dyDescent="0.25">
      <c r="A229" s="165" t="s">
        <v>68</v>
      </c>
      <c r="B229" s="168" t="s">
        <v>67</v>
      </c>
      <c r="C229" s="165" t="s">
        <v>22</v>
      </c>
      <c r="D229" s="166">
        <v>15</v>
      </c>
      <c r="E229" s="166">
        <v>25</v>
      </c>
      <c r="F229" s="165" t="s">
        <v>1648</v>
      </c>
      <c r="G229" s="167">
        <v>29000</v>
      </c>
      <c r="H229" s="165" t="s">
        <v>1746</v>
      </c>
      <c r="I229" s="165" t="s">
        <v>1648</v>
      </c>
      <c r="J229" s="165" t="s">
        <v>1746</v>
      </c>
      <c r="K229" s="165" t="s">
        <v>1648</v>
      </c>
      <c r="L229" s="165" t="s">
        <v>1648</v>
      </c>
      <c r="M229" s="165" t="s">
        <v>1648</v>
      </c>
      <c r="N229" s="165" t="s">
        <v>1648</v>
      </c>
      <c r="O229" s="165" t="s">
        <v>1648</v>
      </c>
      <c r="P229" s="165" t="s">
        <v>1648</v>
      </c>
      <c r="Q229" s="165" t="s">
        <v>1648</v>
      </c>
    </row>
    <row r="230" spans="1:17" ht="13.5" thickBot="1" x14ac:dyDescent="0.25">
      <c r="A230" s="165" t="s">
        <v>88</v>
      </c>
      <c r="B230" s="168" t="s">
        <v>87</v>
      </c>
      <c r="C230" s="165" t="s">
        <v>22</v>
      </c>
      <c r="D230" s="166">
        <v>15</v>
      </c>
      <c r="E230" s="166">
        <v>21</v>
      </c>
      <c r="F230" s="165" t="s">
        <v>1648</v>
      </c>
      <c r="G230" s="167">
        <v>2100</v>
      </c>
      <c r="H230" s="165" t="s">
        <v>1758</v>
      </c>
      <c r="I230" s="165" t="s">
        <v>1648</v>
      </c>
      <c r="J230" s="165" t="s">
        <v>1758</v>
      </c>
      <c r="K230" s="165" t="s">
        <v>1649</v>
      </c>
      <c r="L230" s="165" t="s">
        <v>1648</v>
      </c>
      <c r="M230" s="165" t="s">
        <v>1649</v>
      </c>
      <c r="N230" s="165" t="s">
        <v>1649</v>
      </c>
      <c r="O230" s="165" t="s">
        <v>1648</v>
      </c>
      <c r="P230" s="165" t="s">
        <v>1648</v>
      </c>
      <c r="Q230" s="165" t="s">
        <v>1648</v>
      </c>
    </row>
    <row r="231" spans="1:17" ht="13.5" thickBot="1" x14ac:dyDescent="0.25">
      <c r="A231" s="165" t="s">
        <v>94</v>
      </c>
      <c r="B231" s="168" t="s">
        <v>93</v>
      </c>
      <c r="C231" s="165" t="s">
        <v>22</v>
      </c>
      <c r="D231" s="166">
        <v>12</v>
      </c>
      <c r="E231" s="166">
        <v>22</v>
      </c>
      <c r="F231" s="165" t="s">
        <v>1648</v>
      </c>
      <c r="G231" s="167">
        <v>35700</v>
      </c>
      <c r="H231" s="165" t="s">
        <v>1761</v>
      </c>
      <c r="I231" s="165" t="s">
        <v>1648</v>
      </c>
      <c r="J231" s="165" t="s">
        <v>1761</v>
      </c>
      <c r="K231" s="165" t="s">
        <v>1648</v>
      </c>
      <c r="L231" s="165" t="s">
        <v>1648</v>
      </c>
      <c r="M231" s="165" t="s">
        <v>1649</v>
      </c>
      <c r="N231" s="165" t="s">
        <v>1648</v>
      </c>
      <c r="O231" s="165" t="s">
        <v>1648</v>
      </c>
      <c r="P231" s="165" t="s">
        <v>1648</v>
      </c>
      <c r="Q231" s="165" t="s">
        <v>1648</v>
      </c>
    </row>
    <row r="232" spans="1:17" ht="13.5" thickBot="1" x14ac:dyDescent="0.25">
      <c r="A232" s="165" t="s">
        <v>104</v>
      </c>
      <c r="B232" s="168" t="s">
        <v>103</v>
      </c>
      <c r="C232" s="165" t="s">
        <v>22</v>
      </c>
      <c r="D232" s="166">
        <v>10</v>
      </c>
      <c r="E232" s="166">
        <v>22</v>
      </c>
      <c r="F232" s="165" t="s">
        <v>1648</v>
      </c>
      <c r="G232" s="167">
        <v>3500</v>
      </c>
      <c r="H232" s="165" t="s">
        <v>1759</v>
      </c>
      <c r="I232" s="165" t="s">
        <v>1648</v>
      </c>
      <c r="J232" s="165" t="s">
        <v>1759</v>
      </c>
      <c r="K232" s="165" t="s">
        <v>1649</v>
      </c>
      <c r="L232" s="165" t="s">
        <v>1648</v>
      </c>
      <c r="M232" s="165" t="s">
        <v>1649</v>
      </c>
      <c r="N232" s="165" t="s">
        <v>1648</v>
      </c>
      <c r="O232" s="165" t="s">
        <v>1648</v>
      </c>
      <c r="P232" s="165" t="s">
        <v>1648</v>
      </c>
      <c r="Q232" s="165" t="s">
        <v>1648</v>
      </c>
    </row>
    <row r="233" spans="1:17" ht="13.5" thickBot="1" x14ac:dyDescent="0.25">
      <c r="A233" s="165" t="s">
        <v>116</v>
      </c>
      <c r="B233" s="168" t="s">
        <v>115</v>
      </c>
      <c r="C233" s="165" t="s">
        <v>22</v>
      </c>
      <c r="D233" s="166">
        <v>20</v>
      </c>
      <c r="E233" s="166">
        <v>31</v>
      </c>
      <c r="F233" s="165" t="s">
        <v>1648</v>
      </c>
      <c r="G233" s="167">
        <v>3632</v>
      </c>
      <c r="H233" s="165" t="s">
        <v>1768</v>
      </c>
      <c r="I233" s="165" t="s">
        <v>1648</v>
      </c>
      <c r="J233" s="165" t="s">
        <v>1768</v>
      </c>
      <c r="K233" s="165" t="s">
        <v>1648</v>
      </c>
      <c r="L233" s="165" t="s">
        <v>1648</v>
      </c>
      <c r="M233" s="165" t="s">
        <v>1649</v>
      </c>
      <c r="N233" s="165" t="s">
        <v>1649</v>
      </c>
      <c r="O233" s="165" t="s">
        <v>1648</v>
      </c>
      <c r="P233" s="165" t="s">
        <v>1649</v>
      </c>
      <c r="Q233" s="165" t="s">
        <v>1649</v>
      </c>
    </row>
    <row r="234" spans="1:17" ht="13.5" thickBot="1" x14ac:dyDescent="0.25">
      <c r="A234" s="165" t="s">
        <v>118</v>
      </c>
      <c r="B234" s="168" t="s">
        <v>117</v>
      </c>
      <c r="C234" s="165" t="s">
        <v>22</v>
      </c>
      <c r="D234" s="166">
        <v>6</v>
      </c>
      <c r="E234" s="166">
        <v>24</v>
      </c>
      <c r="F234" s="165" t="s">
        <v>1648</v>
      </c>
      <c r="G234" s="167">
        <v>6233</v>
      </c>
      <c r="H234" s="165" t="s">
        <v>1728</v>
      </c>
      <c r="I234" s="165" t="s">
        <v>1648</v>
      </c>
      <c r="J234" s="165" t="s">
        <v>1728</v>
      </c>
      <c r="K234" s="165" t="s">
        <v>1648</v>
      </c>
      <c r="L234" s="165" t="s">
        <v>1648</v>
      </c>
      <c r="M234" s="165" t="s">
        <v>1649</v>
      </c>
      <c r="N234" s="165" t="s">
        <v>1648</v>
      </c>
      <c r="O234" s="165" t="s">
        <v>1648</v>
      </c>
      <c r="P234" s="165" t="s">
        <v>1648</v>
      </c>
      <c r="Q234" s="165" t="s">
        <v>1648</v>
      </c>
    </row>
    <row r="235" spans="1:17" ht="13.5" thickBot="1" x14ac:dyDescent="0.25">
      <c r="A235" s="165" t="s">
        <v>122</v>
      </c>
      <c r="B235" s="168" t="s">
        <v>121</v>
      </c>
      <c r="C235" s="165" t="s">
        <v>22</v>
      </c>
      <c r="D235" s="166">
        <v>10</v>
      </c>
      <c r="E235" s="166">
        <v>12</v>
      </c>
      <c r="F235" s="165" t="s">
        <v>1648</v>
      </c>
      <c r="G235" s="167">
        <v>3788</v>
      </c>
      <c r="H235" s="165" t="s">
        <v>1770</v>
      </c>
      <c r="I235" s="165" t="s">
        <v>1648</v>
      </c>
      <c r="J235" s="165" t="s">
        <v>1770</v>
      </c>
      <c r="K235" s="165" t="s">
        <v>1648</v>
      </c>
      <c r="L235" s="165" t="s">
        <v>1648</v>
      </c>
      <c r="M235" s="165" t="s">
        <v>1648</v>
      </c>
      <c r="N235" s="165" t="s">
        <v>1649</v>
      </c>
      <c r="O235" s="165" t="s">
        <v>1648</v>
      </c>
      <c r="P235" s="165" t="s">
        <v>1648</v>
      </c>
      <c r="Q235" s="165" t="s">
        <v>1648</v>
      </c>
    </row>
    <row r="236" spans="1:17" ht="13.5" thickBot="1" x14ac:dyDescent="0.25">
      <c r="A236" s="165" t="s">
        <v>158</v>
      </c>
      <c r="B236" s="168" t="s">
        <v>157</v>
      </c>
      <c r="C236" s="165" t="s">
        <v>22</v>
      </c>
      <c r="D236" s="166">
        <v>9</v>
      </c>
      <c r="E236" s="166">
        <v>22</v>
      </c>
      <c r="F236" s="165" t="s">
        <v>1648</v>
      </c>
      <c r="G236" s="167">
        <v>4000</v>
      </c>
      <c r="H236" s="165" t="s">
        <v>1747</v>
      </c>
      <c r="I236" s="165" t="s">
        <v>1648</v>
      </c>
      <c r="J236" s="165" t="s">
        <v>1747</v>
      </c>
      <c r="K236" s="165" t="s">
        <v>1648</v>
      </c>
      <c r="L236" s="165" t="s">
        <v>1648</v>
      </c>
      <c r="M236" s="165" t="s">
        <v>1648</v>
      </c>
      <c r="N236" s="165" t="s">
        <v>1649</v>
      </c>
      <c r="O236" s="165" t="s">
        <v>1648</v>
      </c>
      <c r="P236" s="165" t="s">
        <v>1648</v>
      </c>
      <c r="Q236" s="165" t="s">
        <v>1648</v>
      </c>
    </row>
    <row r="237" spans="1:17" ht="13.5" thickBot="1" x14ac:dyDescent="0.25">
      <c r="A237" s="165" t="s">
        <v>162</v>
      </c>
      <c r="B237" s="168" t="s">
        <v>161</v>
      </c>
      <c r="C237" s="165" t="s">
        <v>22</v>
      </c>
      <c r="D237" s="166">
        <v>18</v>
      </c>
      <c r="E237" s="166">
        <v>34</v>
      </c>
      <c r="F237" s="165" t="s">
        <v>1648</v>
      </c>
      <c r="G237" s="167">
        <v>3425</v>
      </c>
      <c r="H237" s="165" t="s">
        <v>1775</v>
      </c>
      <c r="I237" s="165" t="s">
        <v>1648</v>
      </c>
      <c r="J237" s="165" t="s">
        <v>1775</v>
      </c>
      <c r="K237" s="165" t="s">
        <v>1649</v>
      </c>
      <c r="L237" s="165" t="s">
        <v>1648</v>
      </c>
      <c r="M237" s="165" t="s">
        <v>1649</v>
      </c>
      <c r="N237" s="165" t="s">
        <v>1649</v>
      </c>
      <c r="O237" s="165" t="s">
        <v>1648</v>
      </c>
      <c r="P237" s="165" t="s">
        <v>1648</v>
      </c>
      <c r="Q237" s="165" t="s">
        <v>1648</v>
      </c>
    </row>
    <row r="238" spans="1:17" ht="13.5" thickBot="1" x14ac:dyDescent="0.25">
      <c r="A238" s="165" t="s">
        <v>166</v>
      </c>
      <c r="B238" s="168" t="s">
        <v>165</v>
      </c>
      <c r="C238" s="165" t="s">
        <v>22</v>
      </c>
      <c r="D238" s="166">
        <v>12</v>
      </c>
      <c r="E238" s="166">
        <v>21</v>
      </c>
      <c r="F238" s="165" t="s">
        <v>1648</v>
      </c>
      <c r="G238" s="167">
        <v>9000</v>
      </c>
      <c r="H238" s="165" t="s">
        <v>1776</v>
      </c>
      <c r="I238" s="165" t="s">
        <v>1648</v>
      </c>
      <c r="J238" s="165" t="s">
        <v>1776</v>
      </c>
      <c r="K238" s="165" t="s">
        <v>1648</v>
      </c>
      <c r="L238" s="165" t="s">
        <v>1648</v>
      </c>
      <c r="M238" s="165" t="s">
        <v>1648</v>
      </c>
      <c r="N238" s="165" t="s">
        <v>1648</v>
      </c>
      <c r="O238" s="165" t="s">
        <v>1648</v>
      </c>
      <c r="P238" s="165" t="s">
        <v>1648</v>
      </c>
      <c r="Q238" s="165" t="s">
        <v>1648</v>
      </c>
    </row>
    <row r="239" spans="1:17" ht="13.5" thickBot="1" x14ac:dyDescent="0.25">
      <c r="A239" s="165" t="s">
        <v>168</v>
      </c>
      <c r="B239" s="168" t="s">
        <v>167</v>
      </c>
      <c r="C239" s="165" t="s">
        <v>22</v>
      </c>
      <c r="D239" s="166">
        <v>28</v>
      </c>
      <c r="E239" s="166">
        <v>48</v>
      </c>
      <c r="F239" s="165" t="s">
        <v>1648</v>
      </c>
      <c r="G239" s="167">
        <v>37200</v>
      </c>
      <c r="H239" s="165" t="s">
        <v>1777</v>
      </c>
      <c r="I239" s="165" t="s">
        <v>1648</v>
      </c>
      <c r="J239" s="165" t="s">
        <v>1732</v>
      </c>
      <c r="K239" s="165" t="s">
        <v>1648</v>
      </c>
      <c r="L239" s="165" t="s">
        <v>1648</v>
      </c>
      <c r="M239" s="165" t="s">
        <v>1648</v>
      </c>
      <c r="N239" s="165" t="s">
        <v>1648</v>
      </c>
      <c r="O239" s="165" t="s">
        <v>1648</v>
      </c>
      <c r="P239" s="165" t="s">
        <v>1648</v>
      </c>
      <c r="Q239" s="165" t="s">
        <v>1648</v>
      </c>
    </row>
    <row r="240" spans="1:17" ht="13.5" thickBot="1" x14ac:dyDescent="0.25">
      <c r="A240" s="165" t="s">
        <v>182</v>
      </c>
      <c r="B240" s="168" t="s">
        <v>181</v>
      </c>
      <c r="C240" s="165" t="s">
        <v>22</v>
      </c>
      <c r="D240" s="166">
        <v>8</v>
      </c>
      <c r="E240" s="166">
        <v>16</v>
      </c>
      <c r="F240" s="165" t="s">
        <v>1648</v>
      </c>
      <c r="G240" s="167">
        <v>3000</v>
      </c>
      <c r="H240" s="165" t="s">
        <v>1756</v>
      </c>
      <c r="I240" s="165" t="s">
        <v>1648</v>
      </c>
      <c r="J240" s="165" t="s">
        <v>1756</v>
      </c>
      <c r="K240" s="165" t="s">
        <v>1648</v>
      </c>
      <c r="L240" s="165" t="s">
        <v>1648</v>
      </c>
      <c r="M240" s="165" t="s">
        <v>1649</v>
      </c>
      <c r="N240" s="165" t="s">
        <v>1648</v>
      </c>
      <c r="O240" s="165" t="s">
        <v>1648</v>
      </c>
      <c r="P240" s="165" t="s">
        <v>1648</v>
      </c>
      <c r="Q240" s="165" t="s">
        <v>1648</v>
      </c>
    </row>
    <row r="241" spans="1:17" ht="13.5" thickBot="1" x14ac:dyDescent="0.25">
      <c r="A241" s="165" t="s">
        <v>192</v>
      </c>
      <c r="B241" s="168" t="s">
        <v>191</v>
      </c>
      <c r="C241" s="165" t="s">
        <v>22</v>
      </c>
      <c r="D241" s="166">
        <v>18</v>
      </c>
      <c r="E241" s="166">
        <v>18</v>
      </c>
      <c r="F241" s="165" t="s">
        <v>1648</v>
      </c>
      <c r="G241" s="167">
        <v>25000</v>
      </c>
      <c r="H241" s="165" t="s">
        <v>1734</v>
      </c>
      <c r="I241" s="165" t="s">
        <v>1648</v>
      </c>
      <c r="J241" s="165" t="s">
        <v>1734</v>
      </c>
      <c r="K241" s="165" t="s">
        <v>1648</v>
      </c>
      <c r="L241" s="165" t="s">
        <v>1648</v>
      </c>
      <c r="M241" s="165" t="s">
        <v>1648</v>
      </c>
      <c r="N241" s="165" t="s">
        <v>1649</v>
      </c>
      <c r="O241" s="165" t="s">
        <v>1648</v>
      </c>
      <c r="P241" s="165" t="s">
        <v>1649</v>
      </c>
      <c r="Q241" s="165" t="s">
        <v>1649</v>
      </c>
    </row>
    <row r="242" spans="1:17" ht="13.5" thickBot="1" x14ac:dyDescent="0.25">
      <c r="A242" s="165" t="s">
        <v>198</v>
      </c>
      <c r="B242" s="168" t="s">
        <v>197</v>
      </c>
      <c r="C242" s="165" t="s">
        <v>22</v>
      </c>
      <c r="D242" s="166">
        <v>11</v>
      </c>
      <c r="E242" s="166">
        <v>32</v>
      </c>
      <c r="F242" s="165" t="s">
        <v>1648</v>
      </c>
      <c r="G242" s="167">
        <v>10000</v>
      </c>
      <c r="H242" s="165" t="s">
        <v>1787</v>
      </c>
      <c r="I242" s="165" t="s">
        <v>1648</v>
      </c>
      <c r="J242" s="165" t="s">
        <v>1787</v>
      </c>
      <c r="K242" s="165" t="s">
        <v>1648</v>
      </c>
      <c r="L242" s="165" t="s">
        <v>1648</v>
      </c>
      <c r="M242" s="165" t="s">
        <v>1649</v>
      </c>
      <c r="N242" s="165" t="s">
        <v>1648</v>
      </c>
      <c r="O242" s="165" t="s">
        <v>1648</v>
      </c>
      <c r="P242" s="165" t="s">
        <v>1648</v>
      </c>
      <c r="Q242" s="165" t="s">
        <v>1649</v>
      </c>
    </row>
    <row r="243" spans="1:17" ht="13.5" thickBot="1" x14ac:dyDescent="0.25">
      <c r="A243" s="165" t="s">
        <v>224</v>
      </c>
      <c r="B243" s="168" t="s">
        <v>223</v>
      </c>
      <c r="C243" s="165" t="s">
        <v>22</v>
      </c>
      <c r="D243" s="166">
        <v>20</v>
      </c>
      <c r="E243" s="166">
        <v>30</v>
      </c>
      <c r="F243" s="165" t="s">
        <v>1648</v>
      </c>
      <c r="G243" s="167">
        <v>42589</v>
      </c>
      <c r="H243" s="165" t="s">
        <v>1793</v>
      </c>
      <c r="I243" s="165" t="s">
        <v>1648</v>
      </c>
      <c r="J243" s="165" t="s">
        <v>1793</v>
      </c>
      <c r="K243" s="165" t="s">
        <v>1648</v>
      </c>
      <c r="L243" s="165" t="s">
        <v>1648</v>
      </c>
      <c r="M243" s="165" t="s">
        <v>1648</v>
      </c>
      <c r="N243" s="165" t="s">
        <v>1649</v>
      </c>
      <c r="O243" s="165" t="s">
        <v>1648</v>
      </c>
      <c r="P243" s="165" t="s">
        <v>1648</v>
      </c>
      <c r="Q243" s="165" t="s">
        <v>1649</v>
      </c>
    </row>
    <row r="244" spans="1:17" ht="13.5" thickBot="1" x14ac:dyDescent="0.25">
      <c r="A244" s="165" t="s">
        <v>226</v>
      </c>
      <c r="B244" s="168" t="s">
        <v>225</v>
      </c>
      <c r="C244" s="165" t="s">
        <v>22</v>
      </c>
      <c r="D244" s="166">
        <v>18</v>
      </c>
      <c r="E244" s="166">
        <v>24</v>
      </c>
      <c r="F244" s="165" t="s">
        <v>1648</v>
      </c>
      <c r="G244" s="167">
        <v>51000</v>
      </c>
      <c r="H244" s="165" t="s">
        <v>1734</v>
      </c>
      <c r="I244" s="165" t="s">
        <v>1648</v>
      </c>
      <c r="J244" s="165" t="s">
        <v>1794</v>
      </c>
      <c r="K244" s="165" t="s">
        <v>1648</v>
      </c>
      <c r="L244" s="165" t="s">
        <v>1648</v>
      </c>
      <c r="M244" s="165" t="s">
        <v>1649</v>
      </c>
      <c r="N244" s="165" t="s">
        <v>1648</v>
      </c>
      <c r="O244" s="165" t="s">
        <v>1648</v>
      </c>
      <c r="P244" s="165" t="s">
        <v>1648</v>
      </c>
      <c r="Q244" s="165" t="s">
        <v>1649</v>
      </c>
    </row>
    <row r="245" spans="1:17" ht="13.5" thickBot="1" x14ac:dyDescent="0.25">
      <c r="A245" s="165" t="s">
        <v>234</v>
      </c>
      <c r="B245" s="168" t="s">
        <v>233</v>
      </c>
      <c r="C245" s="165" t="s">
        <v>22</v>
      </c>
      <c r="D245" s="166">
        <v>6</v>
      </c>
      <c r="E245" s="166">
        <v>13</v>
      </c>
      <c r="F245" s="165" t="s">
        <v>1648</v>
      </c>
      <c r="G245" s="167">
        <v>3766</v>
      </c>
      <c r="H245" s="165" t="s">
        <v>1747</v>
      </c>
      <c r="I245" s="165" t="s">
        <v>1648</v>
      </c>
      <c r="J245" s="165" t="s">
        <v>1747</v>
      </c>
      <c r="K245" s="165" t="s">
        <v>1648</v>
      </c>
      <c r="L245" s="165" t="s">
        <v>1648</v>
      </c>
      <c r="M245" s="165" t="s">
        <v>1649</v>
      </c>
      <c r="N245" s="165" t="s">
        <v>1649</v>
      </c>
      <c r="O245" s="165" t="s">
        <v>1648</v>
      </c>
      <c r="P245" s="165" t="s">
        <v>1648</v>
      </c>
      <c r="Q245" s="165" t="s">
        <v>1648</v>
      </c>
    </row>
    <row r="246" spans="1:17" ht="13.5" thickBot="1" x14ac:dyDescent="0.25">
      <c r="A246" s="165" t="s">
        <v>244</v>
      </c>
      <c r="B246" s="168" t="s">
        <v>243</v>
      </c>
      <c r="C246" s="165" t="s">
        <v>22</v>
      </c>
      <c r="D246" s="166">
        <v>8</v>
      </c>
      <c r="E246" s="166">
        <v>12</v>
      </c>
      <c r="F246" s="165" t="s">
        <v>1648</v>
      </c>
      <c r="G246" s="167">
        <v>2609</v>
      </c>
      <c r="H246" s="165" t="s">
        <v>1747</v>
      </c>
      <c r="I246" s="165" t="s">
        <v>1648</v>
      </c>
      <c r="J246" s="165" t="s">
        <v>1747</v>
      </c>
      <c r="K246" s="165" t="s">
        <v>1648</v>
      </c>
      <c r="L246" s="165" t="s">
        <v>1648</v>
      </c>
      <c r="M246" s="165" t="s">
        <v>1649</v>
      </c>
      <c r="N246" s="165" t="s">
        <v>1649</v>
      </c>
      <c r="O246" s="165" t="s">
        <v>1648</v>
      </c>
      <c r="P246" s="165" t="s">
        <v>1648</v>
      </c>
      <c r="Q246" s="165" t="s">
        <v>1648</v>
      </c>
    </row>
    <row r="247" spans="1:17" ht="13.5" thickBot="1" x14ac:dyDescent="0.25">
      <c r="A247" s="165" t="s">
        <v>260</v>
      </c>
      <c r="B247" s="168" t="s">
        <v>259</v>
      </c>
      <c r="C247" s="165" t="s">
        <v>22</v>
      </c>
      <c r="D247" s="166">
        <v>13</v>
      </c>
      <c r="E247" s="166">
        <v>25</v>
      </c>
      <c r="F247" s="165" t="s">
        <v>1648</v>
      </c>
      <c r="G247" s="167">
        <v>19103</v>
      </c>
      <c r="H247" s="165" t="s">
        <v>1792</v>
      </c>
      <c r="I247" s="165" t="s">
        <v>1648</v>
      </c>
      <c r="J247" s="165" t="s">
        <v>1792</v>
      </c>
      <c r="K247" s="165" t="s">
        <v>1648</v>
      </c>
      <c r="L247" s="165" t="s">
        <v>1648</v>
      </c>
      <c r="M247" s="165" t="s">
        <v>1649</v>
      </c>
      <c r="N247" s="165" t="s">
        <v>1648</v>
      </c>
      <c r="O247" s="165" t="s">
        <v>1648</v>
      </c>
      <c r="P247" s="165" t="s">
        <v>1649</v>
      </c>
      <c r="Q247" s="165" t="s">
        <v>1648</v>
      </c>
    </row>
    <row r="248" spans="1:17" ht="13.5" thickBot="1" x14ac:dyDescent="0.25">
      <c r="A248" s="165" t="s">
        <v>268</v>
      </c>
      <c r="B248" s="168" t="s">
        <v>267</v>
      </c>
      <c r="C248" s="165" t="s">
        <v>22</v>
      </c>
      <c r="D248" s="166">
        <v>8</v>
      </c>
      <c r="E248" s="166">
        <v>10</v>
      </c>
      <c r="F248" s="165" t="s">
        <v>1648</v>
      </c>
      <c r="G248" s="167">
        <v>7362</v>
      </c>
      <c r="H248" s="165" t="s">
        <v>1733</v>
      </c>
      <c r="I248" s="165" t="s">
        <v>1648</v>
      </c>
      <c r="J248" s="165" t="s">
        <v>1733</v>
      </c>
      <c r="K248" s="165" t="s">
        <v>1648</v>
      </c>
      <c r="L248" s="165" t="s">
        <v>1648</v>
      </c>
      <c r="M248" s="165" t="s">
        <v>1649</v>
      </c>
      <c r="N248" s="165" t="s">
        <v>1648</v>
      </c>
      <c r="O248" s="165" t="s">
        <v>1648</v>
      </c>
      <c r="P248" s="165" t="s">
        <v>1648</v>
      </c>
      <c r="Q248" s="165" t="s">
        <v>1648</v>
      </c>
    </row>
    <row r="249" spans="1:17" ht="13.5" thickBot="1" x14ac:dyDescent="0.25">
      <c r="A249" s="165" t="s">
        <v>270</v>
      </c>
      <c r="B249" s="168" t="s">
        <v>269</v>
      </c>
      <c r="C249" s="165" t="s">
        <v>22</v>
      </c>
      <c r="D249" s="166">
        <v>23</v>
      </c>
      <c r="E249" s="166">
        <v>37</v>
      </c>
      <c r="F249" s="165" t="s">
        <v>1648</v>
      </c>
      <c r="G249" s="167">
        <v>37260</v>
      </c>
      <c r="H249" s="165" t="s">
        <v>1761</v>
      </c>
      <c r="I249" s="165" t="s">
        <v>1648</v>
      </c>
      <c r="J249" s="165" t="s">
        <v>1761</v>
      </c>
      <c r="K249" s="165" t="s">
        <v>1648</v>
      </c>
      <c r="L249" s="165" t="s">
        <v>1648</v>
      </c>
      <c r="M249" s="165" t="s">
        <v>1648</v>
      </c>
      <c r="N249" s="165" t="s">
        <v>1648</v>
      </c>
      <c r="O249" s="165" t="s">
        <v>1648</v>
      </c>
      <c r="P249" s="165" t="s">
        <v>1648</v>
      </c>
      <c r="Q249" s="165" t="s">
        <v>1648</v>
      </c>
    </row>
    <row r="250" spans="1:17" ht="13.5" thickBot="1" x14ac:dyDescent="0.25">
      <c r="A250" s="165" t="s">
        <v>274</v>
      </c>
      <c r="B250" s="168" t="s">
        <v>273</v>
      </c>
      <c r="C250" s="165" t="s">
        <v>22</v>
      </c>
      <c r="D250" s="166">
        <v>16</v>
      </c>
      <c r="E250" s="166">
        <v>26</v>
      </c>
      <c r="F250" s="165" t="s">
        <v>1648</v>
      </c>
      <c r="G250" s="167">
        <v>7000</v>
      </c>
      <c r="H250" s="165" t="s">
        <v>1803</v>
      </c>
      <c r="I250" s="165" t="s">
        <v>1648</v>
      </c>
      <c r="J250" s="165" t="s">
        <v>1804</v>
      </c>
      <c r="K250" s="165" t="s">
        <v>1648</v>
      </c>
      <c r="L250" s="165" t="s">
        <v>1648</v>
      </c>
      <c r="M250" s="165" t="s">
        <v>1648</v>
      </c>
      <c r="N250" s="165" t="s">
        <v>1648</v>
      </c>
      <c r="O250" s="165" t="s">
        <v>1648</v>
      </c>
      <c r="P250" s="165" t="s">
        <v>1648</v>
      </c>
      <c r="Q250" s="165" t="s">
        <v>1648</v>
      </c>
    </row>
    <row r="251" spans="1:17" ht="13.5" thickBot="1" x14ac:dyDescent="0.25">
      <c r="A251" s="165" t="s">
        <v>276</v>
      </c>
      <c r="B251" s="168" t="s">
        <v>275</v>
      </c>
      <c r="C251" s="165" t="s">
        <v>22</v>
      </c>
      <c r="D251" s="166">
        <v>10</v>
      </c>
      <c r="E251" s="166">
        <v>15</v>
      </c>
      <c r="F251" s="165" t="s">
        <v>1648</v>
      </c>
      <c r="G251" s="167">
        <v>39100</v>
      </c>
      <c r="H251" s="165" t="s">
        <v>1805</v>
      </c>
      <c r="I251" s="165" t="s">
        <v>1648</v>
      </c>
      <c r="J251" s="165" t="s">
        <v>1806</v>
      </c>
      <c r="K251" s="165" t="s">
        <v>1648</v>
      </c>
      <c r="L251" s="165" t="s">
        <v>1648</v>
      </c>
      <c r="M251" s="165" t="s">
        <v>1649</v>
      </c>
      <c r="N251" s="165" t="s">
        <v>1648</v>
      </c>
      <c r="O251" s="165" t="s">
        <v>1648</v>
      </c>
      <c r="P251" s="165" t="s">
        <v>1648</v>
      </c>
      <c r="Q251" s="165" t="s">
        <v>1648</v>
      </c>
    </row>
    <row r="252" spans="1:17" ht="13.5" thickBot="1" x14ac:dyDescent="0.25">
      <c r="A252" s="165" t="s">
        <v>282</v>
      </c>
      <c r="B252" s="168" t="s">
        <v>281</v>
      </c>
      <c r="C252" s="165" t="s">
        <v>22</v>
      </c>
      <c r="D252" s="166">
        <v>10</v>
      </c>
      <c r="E252" s="166">
        <v>14</v>
      </c>
      <c r="F252" s="165" t="s">
        <v>1648</v>
      </c>
      <c r="G252" s="167">
        <v>2000</v>
      </c>
      <c r="H252" s="165" t="s">
        <v>1759</v>
      </c>
      <c r="I252" s="165" t="s">
        <v>1648</v>
      </c>
      <c r="J252" s="165" t="s">
        <v>1759</v>
      </c>
      <c r="K252" s="165" t="s">
        <v>1648</v>
      </c>
      <c r="L252" s="165" t="s">
        <v>1648</v>
      </c>
      <c r="M252" s="165" t="s">
        <v>1649</v>
      </c>
      <c r="N252" s="165" t="s">
        <v>1648</v>
      </c>
      <c r="O252" s="165" t="s">
        <v>1648</v>
      </c>
      <c r="P252" s="165" t="s">
        <v>1648</v>
      </c>
      <c r="Q252" s="165" t="s">
        <v>1648</v>
      </c>
    </row>
    <row r="253" spans="1:17" ht="13.5" thickBot="1" x14ac:dyDescent="0.25">
      <c r="A253" s="165" t="s">
        <v>288</v>
      </c>
      <c r="B253" s="168" t="s">
        <v>287</v>
      </c>
      <c r="C253" s="165" t="s">
        <v>22</v>
      </c>
      <c r="D253" s="166">
        <v>11</v>
      </c>
      <c r="E253" s="166">
        <v>10</v>
      </c>
      <c r="F253" s="165" t="s">
        <v>1648</v>
      </c>
      <c r="G253" s="167">
        <v>39302</v>
      </c>
      <c r="H253" s="165" t="s">
        <v>1726</v>
      </c>
      <c r="I253" s="165" t="s">
        <v>1648</v>
      </c>
      <c r="J253" s="165" t="s">
        <v>1726</v>
      </c>
      <c r="K253" s="165" t="s">
        <v>1648</v>
      </c>
      <c r="L253" s="165" t="s">
        <v>1648</v>
      </c>
      <c r="M253" s="165" t="s">
        <v>1649</v>
      </c>
      <c r="N253" s="165" t="s">
        <v>1648</v>
      </c>
      <c r="O253" s="165" t="s">
        <v>1648</v>
      </c>
      <c r="P253" s="165" t="s">
        <v>1648</v>
      </c>
      <c r="Q253" s="165" t="s">
        <v>1648</v>
      </c>
    </row>
    <row r="254" spans="1:17" ht="13.5" thickBot="1" x14ac:dyDescent="0.25">
      <c r="A254" s="165" t="s">
        <v>292</v>
      </c>
      <c r="B254" s="168" t="s">
        <v>291</v>
      </c>
      <c r="C254" s="165" t="s">
        <v>22</v>
      </c>
      <c r="D254" s="166">
        <v>14</v>
      </c>
      <c r="E254" s="166">
        <v>38</v>
      </c>
      <c r="F254" s="165" t="s">
        <v>1648</v>
      </c>
      <c r="G254" s="167">
        <v>12000</v>
      </c>
      <c r="H254" s="165" t="s">
        <v>1809</v>
      </c>
      <c r="I254" s="165" t="s">
        <v>1648</v>
      </c>
      <c r="J254" s="165" t="s">
        <v>1809</v>
      </c>
      <c r="K254" s="165" t="s">
        <v>1648</v>
      </c>
      <c r="L254" s="165" t="s">
        <v>1648</v>
      </c>
      <c r="M254" s="165" t="s">
        <v>1649</v>
      </c>
      <c r="N254" s="165" t="s">
        <v>1648</v>
      </c>
      <c r="O254" s="165" t="s">
        <v>1648</v>
      </c>
      <c r="P254" s="165" t="s">
        <v>1648</v>
      </c>
      <c r="Q254" s="165" t="s">
        <v>1648</v>
      </c>
    </row>
    <row r="255" spans="1:17" ht="13.5" thickBot="1" x14ac:dyDescent="0.25">
      <c r="A255" s="165" t="s">
        <v>294</v>
      </c>
      <c r="B255" s="168" t="s">
        <v>293</v>
      </c>
      <c r="C255" s="165" t="s">
        <v>22</v>
      </c>
      <c r="D255" s="166">
        <v>3</v>
      </c>
      <c r="E255" s="166">
        <v>2</v>
      </c>
      <c r="F255" s="165" t="s">
        <v>1648</v>
      </c>
      <c r="G255" s="167">
        <v>16568</v>
      </c>
      <c r="H255" s="165" t="s">
        <v>1810</v>
      </c>
      <c r="I255" s="165" t="s">
        <v>1648</v>
      </c>
      <c r="J255" s="165" t="s">
        <v>1748</v>
      </c>
      <c r="K255" s="165" t="s">
        <v>1648</v>
      </c>
      <c r="L255" s="165" t="s">
        <v>1648</v>
      </c>
      <c r="M255" s="165" t="s">
        <v>1649</v>
      </c>
      <c r="N255" s="165" t="s">
        <v>1648</v>
      </c>
      <c r="O255" s="165" t="s">
        <v>1648</v>
      </c>
      <c r="P255" s="165" t="s">
        <v>1648</v>
      </c>
      <c r="Q255" s="165" t="s">
        <v>1648</v>
      </c>
    </row>
    <row r="256" spans="1:17" ht="13.5" thickBot="1" x14ac:dyDescent="0.25">
      <c r="A256" s="165" t="s">
        <v>312</v>
      </c>
      <c r="B256" s="168" t="s">
        <v>311</v>
      </c>
      <c r="C256" s="165" t="s">
        <v>22</v>
      </c>
      <c r="D256" s="166">
        <v>13</v>
      </c>
      <c r="E256" s="166">
        <v>45</v>
      </c>
      <c r="F256" s="165" t="s">
        <v>1648</v>
      </c>
      <c r="G256" s="167">
        <v>18500</v>
      </c>
      <c r="H256" s="165" t="s">
        <v>1776</v>
      </c>
      <c r="I256" s="165" t="s">
        <v>1648</v>
      </c>
      <c r="J256" s="165" t="s">
        <v>1776</v>
      </c>
      <c r="K256" s="165" t="s">
        <v>1648</v>
      </c>
      <c r="L256" s="165" t="s">
        <v>1648</v>
      </c>
      <c r="M256" s="165" t="s">
        <v>1649</v>
      </c>
      <c r="N256" s="165" t="s">
        <v>1648</v>
      </c>
      <c r="O256" s="165" t="s">
        <v>1648</v>
      </c>
      <c r="P256" s="165" t="s">
        <v>1648</v>
      </c>
      <c r="Q256" s="165" t="s">
        <v>1648</v>
      </c>
    </row>
    <row r="257" spans="1:17" ht="13.5" thickBot="1" x14ac:dyDescent="0.25">
      <c r="A257" s="165" t="s">
        <v>320</v>
      </c>
      <c r="B257" s="168" t="s">
        <v>319</v>
      </c>
      <c r="C257" s="165" t="s">
        <v>22</v>
      </c>
      <c r="D257" s="166">
        <v>15</v>
      </c>
      <c r="E257" s="166">
        <v>22</v>
      </c>
      <c r="F257" s="165" t="s">
        <v>1648</v>
      </c>
      <c r="G257" s="167">
        <v>20000</v>
      </c>
      <c r="H257" s="165" t="s">
        <v>1746</v>
      </c>
      <c r="I257" s="165" t="s">
        <v>1648</v>
      </c>
      <c r="J257" s="165" t="s">
        <v>1746</v>
      </c>
      <c r="K257" s="165" t="s">
        <v>1648</v>
      </c>
      <c r="L257" s="165" t="s">
        <v>1648</v>
      </c>
      <c r="M257" s="165" t="s">
        <v>1649</v>
      </c>
      <c r="N257" s="165" t="s">
        <v>1649</v>
      </c>
      <c r="O257" s="165" t="s">
        <v>1648</v>
      </c>
      <c r="P257" s="165" t="s">
        <v>1648</v>
      </c>
      <c r="Q257" s="165" t="s">
        <v>1649</v>
      </c>
    </row>
    <row r="258" spans="1:17" ht="13.5" thickBot="1" x14ac:dyDescent="0.25">
      <c r="A258" s="165" t="s">
        <v>330</v>
      </c>
      <c r="B258" s="168" t="s">
        <v>329</v>
      </c>
      <c r="C258" s="165" t="s">
        <v>22</v>
      </c>
      <c r="D258" s="166">
        <v>10</v>
      </c>
      <c r="E258" s="166">
        <v>11</v>
      </c>
      <c r="F258" s="165" t="s">
        <v>1648</v>
      </c>
      <c r="G258" s="167">
        <v>3600</v>
      </c>
      <c r="H258" s="165" t="s">
        <v>1820</v>
      </c>
      <c r="I258" s="165" t="s">
        <v>1648</v>
      </c>
      <c r="J258" s="165" t="s">
        <v>1820</v>
      </c>
      <c r="K258" s="165" t="s">
        <v>1648</v>
      </c>
      <c r="L258" s="165" t="s">
        <v>1648</v>
      </c>
      <c r="M258" s="165" t="s">
        <v>1649</v>
      </c>
      <c r="N258" s="165" t="s">
        <v>1649</v>
      </c>
      <c r="O258" s="165" t="s">
        <v>1648</v>
      </c>
      <c r="P258" s="165" t="s">
        <v>1648</v>
      </c>
      <c r="Q258" s="165" t="s">
        <v>1648</v>
      </c>
    </row>
    <row r="259" spans="1:17" ht="13.5" thickBot="1" x14ac:dyDescent="0.25">
      <c r="A259" s="165" t="s">
        <v>332</v>
      </c>
      <c r="B259" s="168" t="s">
        <v>331</v>
      </c>
      <c r="C259" s="165" t="s">
        <v>22</v>
      </c>
      <c r="D259" s="166">
        <v>7</v>
      </c>
      <c r="E259" s="166">
        <v>36</v>
      </c>
      <c r="F259" s="165" t="s">
        <v>1648</v>
      </c>
      <c r="G259" s="167">
        <v>0</v>
      </c>
      <c r="H259" s="165" t="s">
        <v>1821</v>
      </c>
      <c r="I259" s="165" t="s">
        <v>1648</v>
      </c>
      <c r="J259" s="165" t="s">
        <v>1821</v>
      </c>
      <c r="K259" s="165" t="s">
        <v>1648</v>
      </c>
      <c r="L259" s="165" t="s">
        <v>1648</v>
      </c>
      <c r="M259" s="165" t="s">
        <v>1649</v>
      </c>
      <c r="N259" s="165" t="s">
        <v>1648</v>
      </c>
      <c r="O259" s="165" t="s">
        <v>1648</v>
      </c>
      <c r="P259" s="165" t="s">
        <v>1648</v>
      </c>
      <c r="Q259" s="165" t="s">
        <v>1648</v>
      </c>
    </row>
    <row r="260" spans="1:17" ht="13.5" thickBot="1" x14ac:dyDescent="0.25">
      <c r="A260" s="165" t="s">
        <v>336</v>
      </c>
      <c r="B260" s="168" t="s">
        <v>335</v>
      </c>
      <c r="C260" s="165" t="s">
        <v>22</v>
      </c>
      <c r="D260" s="166">
        <v>13</v>
      </c>
      <c r="E260" s="166">
        <v>30</v>
      </c>
      <c r="F260" s="165" t="s">
        <v>1648</v>
      </c>
      <c r="G260" s="167">
        <v>17932</v>
      </c>
      <c r="H260" s="165" t="s">
        <v>1737</v>
      </c>
      <c r="I260" s="165" t="s">
        <v>1648</v>
      </c>
      <c r="J260" s="165" t="s">
        <v>1762</v>
      </c>
      <c r="K260" s="165" t="s">
        <v>1648</v>
      </c>
      <c r="L260" s="165" t="s">
        <v>1648</v>
      </c>
      <c r="M260" s="165" t="s">
        <v>1649</v>
      </c>
      <c r="N260" s="165" t="s">
        <v>1648</v>
      </c>
      <c r="O260" s="165" t="s">
        <v>1648</v>
      </c>
      <c r="P260" s="165" t="s">
        <v>1648</v>
      </c>
      <c r="Q260" s="165" t="s">
        <v>1649</v>
      </c>
    </row>
    <row r="261" spans="1:17" ht="13.5" thickBot="1" x14ac:dyDescent="0.25">
      <c r="A261" s="165" t="s">
        <v>338</v>
      </c>
      <c r="B261" s="168" t="s">
        <v>337</v>
      </c>
      <c r="C261" s="165" t="s">
        <v>22</v>
      </c>
      <c r="D261" s="166">
        <v>9</v>
      </c>
      <c r="E261" s="166">
        <v>25</v>
      </c>
      <c r="F261" s="165" t="s">
        <v>1648</v>
      </c>
      <c r="G261" s="167">
        <v>8000</v>
      </c>
      <c r="H261" s="165" t="s">
        <v>1822</v>
      </c>
      <c r="I261" s="165" t="s">
        <v>1648</v>
      </c>
      <c r="J261" s="165" t="s">
        <v>1822</v>
      </c>
      <c r="K261" s="165" t="s">
        <v>1648</v>
      </c>
      <c r="L261" s="165" t="s">
        <v>1648</v>
      </c>
      <c r="M261" s="165" t="s">
        <v>1649</v>
      </c>
      <c r="N261" s="165" t="s">
        <v>1648</v>
      </c>
      <c r="O261" s="165" t="s">
        <v>1648</v>
      </c>
      <c r="P261" s="165" t="s">
        <v>1648</v>
      </c>
      <c r="Q261" s="165" t="s">
        <v>1648</v>
      </c>
    </row>
    <row r="262" spans="1:17" ht="13.5" thickBot="1" x14ac:dyDescent="0.25">
      <c r="A262" s="165" t="s">
        <v>340</v>
      </c>
      <c r="B262" s="168" t="s">
        <v>339</v>
      </c>
      <c r="C262" s="165" t="s">
        <v>22</v>
      </c>
      <c r="D262" s="166">
        <v>6</v>
      </c>
      <c r="E262" s="166">
        <v>8</v>
      </c>
      <c r="F262" s="165" t="s">
        <v>1648</v>
      </c>
      <c r="G262" s="167">
        <v>2468</v>
      </c>
      <c r="H262" s="165" t="s">
        <v>1745</v>
      </c>
      <c r="I262" s="165" t="s">
        <v>1648</v>
      </c>
      <c r="J262" s="165" t="s">
        <v>1745</v>
      </c>
      <c r="K262" s="165" t="s">
        <v>1648</v>
      </c>
      <c r="L262" s="165" t="s">
        <v>1648</v>
      </c>
      <c r="M262" s="165" t="s">
        <v>1649</v>
      </c>
      <c r="N262" s="165" t="s">
        <v>1649</v>
      </c>
      <c r="O262" s="165" t="s">
        <v>1648</v>
      </c>
      <c r="P262" s="165" t="s">
        <v>1648</v>
      </c>
      <c r="Q262" s="165" t="s">
        <v>1648</v>
      </c>
    </row>
    <row r="263" spans="1:17" ht="13.5" thickBot="1" x14ac:dyDescent="0.25">
      <c r="A263" s="165" t="s">
        <v>346</v>
      </c>
      <c r="B263" s="168" t="s">
        <v>345</v>
      </c>
      <c r="C263" s="165" t="s">
        <v>22</v>
      </c>
      <c r="D263" s="166">
        <v>13</v>
      </c>
      <c r="E263" s="166">
        <v>19</v>
      </c>
      <c r="F263" s="165" t="s">
        <v>1648</v>
      </c>
      <c r="G263" s="167">
        <v>11900</v>
      </c>
      <c r="H263" s="165" t="s">
        <v>1812</v>
      </c>
      <c r="I263" s="165" t="s">
        <v>1648</v>
      </c>
      <c r="J263" s="165" t="s">
        <v>1812</v>
      </c>
      <c r="K263" s="165" t="s">
        <v>1648</v>
      </c>
      <c r="L263" s="165" t="s">
        <v>1648</v>
      </c>
      <c r="M263" s="165" t="s">
        <v>1648</v>
      </c>
      <c r="N263" s="165" t="s">
        <v>1648</v>
      </c>
      <c r="O263" s="165" t="s">
        <v>1648</v>
      </c>
      <c r="P263" s="165" t="s">
        <v>1648</v>
      </c>
      <c r="Q263" s="165" t="s">
        <v>1648</v>
      </c>
    </row>
    <row r="264" spans="1:17" ht="13.5" thickBot="1" x14ac:dyDescent="0.25">
      <c r="A264" s="165" t="s">
        <v>348</v>
      </c>
      <c r="B264" s="168" t="s">
        <v>347</v>
      </c>
      <c r="C264" s="165" t="s">
        <v>22</v>
      </c>
      <c r="D264" s="166">
        <v>11</v>
      </c>
      <c r="E264" s="166">
        <v>27</v>
      </c>
      <c r="F264" s="165" t="s">
        <v>1648</v>
      </c>
      <c r="G264" s="167">
        <v>40000</v>
      </c>
      <c r="H264" s="165" t="s">
        <v>1825</v>
      </c>
      <c r="I264" s="165" t="s">
        <v>1648</v>
      </c>
      <c r="J264" s="165" t="s">
        <v>1826</v>
      </c>
      <c r="K264" s="165" t="s">
        <v>1648</v>
      </c>
      <c r="L264" s="165" t="s">
        <v>1648</v>
      </c>
      <c r="M264" s="165" t="s">
        <v>1649</v>
      </c>
      <c r="N264" s="165" t="s">
        <v>1648</v>
      </c>
      <c r="O264" s="165" t="s">
        <v>1648</v>
      </c>
      <c r="P264" s="165" t="s">
        <v>1648</v>
      </c>
      <c r="Q264" s="165" t="s">
        <v>1648</v>
      </c>
    </row>
    <row r="265" spans="1:17" ht="13.5" thickBot="1" x14ac:dyDescent="0.25">
      <c r="A265" s="165" t="s">
        <v>356</v>
      </c>
      <c r="B265" s="168" t="s">
        <v>355</v>
      </c>
      <c r="C265" s="165" t="s">
        <v>22</v>
      </c>
      <c r="D265" s="166">
        <v>26</v>
      </c>
      <c r="E265" s="166">
        <v>37</v>
      </c>
      <c r="F265" s="165" t="s">
        <v>1648</v>
      </c>
      <c r="G265" s="167">
        <v>47019</v>
      </c>
      <c r="H265" s="165" t="s">
        <v>1761</v>
      </c>
      <c r="I265" s="165" t="s">
        <v>1648</v>
      </c>
      <c r="J265" s="165" t="s">
        <v>1761</v>
      </c>
      <c r="K265" s="165" t="s">
        <v>1648</v>
      </c>
      <c r="L265" s="165" t="s">
        <v>1648</v>
      </c>
      <c r="M265" s="165" t="s">
        <v>1649</v>
      </c>
      <c r="N265" s="165" t="s">
        <v>1648</v>
      </c>
      <c r="O265" s="165" t="s">
        <v>1648</v>
      </c>
      <c r="P265" s="165" t="s">
        <v>1648</v>
      </c>
      <c r="Q265" s="165" t="s">
        <v>1648</v>
      </c>
    </row>
    <row r="266" spans="1:17" ht="13.5" thickBot="1" x14ac:dyDescent="0.25">
      <c r="A266" s="165" t="s">
        <v>360</v>
      </c>
      <c r="B266" s="168" t="s">
        <v>359</v>
      </c>
      <c r="C266" s="165" t="s">
        <v>22</v>
      </c>
      <c r="D266" s="166">
        <v>7</v>
      </c>
      <c r="E266" s="166">
        <v>16</v>
      </c>
      <c r="F266" s="165" t="s">
        <v>1648</v>
      </c>
      <c r="G266" s="167">
        <v>3000</v>
      </c>
      <c r="H266" s="165" t="s">
        <v>1830</v>
      </c>
      <c r="I266" s="165" t="s">
        <v>1648</v>
      </c>
      <c r="J266" s="165" t="s">
        <v>1613</v>
      </c>
      <c r="K266" s="165" t="s">
        <v>1648</v>
      </c>
      <c r="L266" s="165" t="s">
        <v>1648</v>
      </c>
      <c r="M266" s="165" t="s">
        <v>1649</v>
      </c>
      <c r="N266" s="165" t="s">
        <v>1649</v>
      </c>
      <c r="O266" s="165" t="s">
        <v>1648</v>
      </c>
      <c r="P266" s="165" t="s">
        <v>1648</v>
      </c>
      <c r="Q266" s="165" t="s">
        <v>1648</v>
      </c>
    </row>
    <row r="267" spans="1:17" ht="13.5" thickBot="1" x14ac:dyDescent="0.25">
      <c r="A267" s="165" t="s">
        <v>368</v>
      </c>
      <c r="B267" s="168" t="s">
        <v>367</v>
      </c>
      <c r="C267" s="165" t="s">
        <v>22</v>
      </c>
      <c r="D267" s="166">
        <v>11</v>
      </c>
      <c r="E267" s="166">
        <v>24</v>
      </c>
      <c r="F267" s="165" t="s">
        <v>1648</v>
      </c>
      <c r="G267" s="167">
        <v>12000</v>
      </c>
      <c r="H267" s="165" t="s">
        <v>1831</v>
      </c>
      <c r="I267" s="165" t="s">
        <v>1648</v>
      </c>
      <c r="J267" s="165" t="s">
        <v>1831</v>
      </c>
      <c r="K267" s="165" t="s">
        <v>1648</v>
      </c>
      <c r="L267" s="165" t="s">
        <v>1648</v>
      </c>
      <c r="M267" s="165" t="s">
        <v>1649</v>
      </c>
      <c r="N267" s="165" t="s">
        <v>1649</v>
      </c>
      <c r="O267" s="165" t="s">
        <v>1648</v>
      </c>
      <c r="P267" s="165" t="s">
        <v>1648</v>
      </c>
      <c r="Q267" s="165" t="s">
        <v>1648</v>
      </c>
    </row>
    <row r="268" spans="1:17" ht="13.5" thickBot="1" x14ac:dyDescent="0.25">
      <c r="A268" s="165" t="s">
        <v>370</v>
      </c>
      <c r="B268" s="168" t="s">
        <v>369</v>
      </c>
      <c r="C268" s="165" t="s">
        <v>22</v>
      </c>
      <c r="D268" s="166">
        <v>10</v>
      </c>
      <c r="E268" s="166">
        <v>17</v>
      </c>
      <c r="F268" s="165" t="s">
        <v>1648</v>
      </c>
      <c r="G268" s="167">
        <v>11832</v>
      </c>
      <c r="H268" s="165" t="s">
        <v>1832</v>
      </c>
      <c r="I268" s="165" t="s">
        <v>1648</v>
      </c>
      <c r="J268" s="165" t="s">
        <v>1832</v>
      </c>
      <c r="K268" s="165" t="s">
        <v>1648</v>
      </c>
      <c r="L268" s="165" t="s">
        <v>1648</v>
      </c>
      <c r="M268" s="165" t="s">
        <v>1648</v>
      </c>
      <c r="N268" s="165" t="s">
        <v>1648</v>
      </c>
      <c r="O268" s="165" t="s">
        <v>1648</v>
      </c>
      <c r="P268" s="165" t="s">
        <v>1648</v>
      </c>
      <c r="Q268" s="165" t="s">
        <v>1648</v>
      </c>
    </row>
    <row r="269" spans="1:17" ht="13.5" thickBot="1" x14ac:dyDescent="0.25">
      <c r="A269" s="165" t="s">
        <v>384</v>
      </c>
      <c r="B269" s="168" t="s">
        <v>383</v>
      </c>
      <c r="C269" s="165" t="s">
        <v>22</v>
      </c>
      <c r="D269" s="166">
        <v>9</v>
      </c>
      <c r="E269" s="166">
        <v>11</v>
      </c>
      <c r="F269" s="165" t="s">
        <v>1648</v>
      </c>
      <c r="G269" s="167">
        <v>13196</v>
      </c>
      <c r="H269" s="165" t="s">
        <v>1835</v>
      </c>
      <c r="I269" s="165" t="s">
        <v>1648</v>
      </c>
      <c r="J269" s="165" t="s">
        <v>1835</v>
      </c>
      <c r="K269" s="165" t="s">
        <v>1648</v>
      </c>
      <c r="L269" s="165" t="s">
        <v>1648</v>
      </c>
      <c r="M269" s="165" t="s">
        <v>1649</v>
      </c>
      <c r="N269" s="165" t="s">
        <v>1648</v>
      </c>
      <c r="O269" s="165" t="s">
        <v>1648</v>
      </c>
      <c r="P269" s="165" t="s">
        <v>1648</v>
      </c>
      <c r="Q269" s="165" t="s">
        <v>1648</v>
      </c>
    </row>
    <row r="270" spans="1:17" ht="13.5" thickBot="1" x14ac:dyDescent="0.25">
      <c r="A270" s="165" t="s">
        <v>390</v>
      </c>
      <c r="B270" s="168" t="s">
        <v>389</v>
      </c>
      <c r="C270" s="165" t="s">
        <v>22</v>
      </c>
      <c r="D270" s="166">
        <v>6</v>
      </c>
      <c r="E270" s="166">
        <v>16</v>
      </c>
      <c r="F270" s="165" t="s">
        <v>1648</v>
      </c>
      <c r="G270" s="167">
        <v>6149</v>
      </c>
      <c r="H270" s="165" t="s">
        <v>1737</v>
      </c>
      <c r="I270" s="165" t="s">
        <v>1648</v>
      </c>
      <c r="J270" s="165" t="s">
        <v>1737</v>
      </c>
      <c r="K270" s="165" t="s">
        <v>1648</v>
      </c>
      <c r="L270" s="165" t="s">
        <v>1648</v>
      </c>
      <c r="M270" s="165" t="s">
        <v>1649</v>
      </c>
      <c r="N270" s="165" t="s">
        <v>1648</v>
      </c>
      <c r="O270" s="165" t="s">
        <v>1648</v>
      </c>
      <c r="P270" s="165" t="s">
        <v>1648</v>
      </c>
      <c r="Q270" s="165" t="s">
        <v>1648</v>
      </c>
    </row>
    <row r="271" spans="1:17" ht="13.5" thickBot="1" x14ac:dyDescent="0.25">
      <c r="A271" s="165" t="s">
        <v>404</v>
      </c>
      <c r="B271" s="168" t="s">
        <v>403</v>
      </c>
      <c r="C271" s="165" t="s">
        <v>22</v>
      </c>
      <c r="D271" s="166">
        <v>8</v>
      </c>
      <c r="E271" s="166">
        <v>10</v>
      </c>
      <c r="F271" s="165" t="s">
        <v>1648</v>
      </c>
      <c r="G271" s="167">
        <v>16000</v>
      </c>
      <c r="H271" s="165" t="s">
        <v>1840</v>
      </c>
      <c r="I271" s="165" t="s">
        <v>1648</v>
      </c>
      <c r="J271" s="165" t="s">
        <v>1841</v>
      </c>
      <c r="K271" s="165" t="s">
        <v>1648</v>
      </c>
      <c r="L271" s="165" t="s">
        <v>1648</v>
      </c>
      <c r="M271" s="165" t="s">
        <v>1649</v>
      </c>
      <c r="N271" s="165" t="s">
        <v>1648</v>
      </c>
      <c r="O271" s="165" t="s">
        <v>1648</v>
      </c>
      <c r="P271" s="165" t="s">
        <v>1648</v>
      </c>
      <c r="Q271" s="165" t="s">
        <v>1649</v>
      </c>
    </row>
    <row r="272" spans="1:17" ht="13.5" thickBot="1" x14ac:dyDescent="0.25">
      <c r="A272" s="165" t="s">
        <v>423</v>
      </c>
      <c r="B272" s="168" t="s">
        <v>422</v>
      </c>
      <c r="C272" s="165" t="s">
        <v>22</v>
      </c>
      <c r="D272" s="166">
        <v>3</v>
      </c>
      <c r="E272" s="166">
        <v>10</v>
      </c>
      <c r="F272" s="165" t="s">
        <v>1648</v>
      </c>
      <c r="G272" s="167">
        <v>58000</v>
      </c>
      <c r="H272" s="165" t="s">
        <v>1723</v>
      </c>
      <c r="I272" s="165" t="s">
        <v>1648</v>
      </c>
      <c r="J272" s="165" t="s">
        <v>1723</v>
      </c>
      <c r="K272" s="165" t="s">
        <v>1648</v>
      </c>
      <c r="L272" s="165" t="s">
        <v>1648</v>
      </c>
      <c r="M272" s="165" t="s">
        <v>1649</v>
      </c>
      <c r="N272" s="165" t="s">
        <v>1648</v>
      </c>
      <c r="O272" s="165" t="s">
        <v>1648</v>
      </c>
      <c r="P272" s="165" t="s">
        <v>1648</v>
      </c>
      <c r="Q272" s="165" t="s">
        <v>1649</v>
      </c>
    </row>
    <row r="273" spans="1:17" ht="13.5" thickBot="1" x14ac:dyDescent="0.25">
      <c r="A273" s="165" t="s">
        <v>439</v>
      </c>
      <c r="B273" s="168" t="s">
        <v>438</v>
      </c>
      <c r="C273" s="165" t="s">
        <v>22</v>
      </c>
      <c r="D273" s="166">
        <v>20</v>
      </c>
      <c r="E273" s="166">
        <v>38</v>
      </c>
      <c r="F273" s="165" t="s">
        <v>1648</v>
      </c>
      <c r="G273" s="167">
        <v>9332</v>
      </c>
      <c r="H273" s="165" t="s">
        <v>1854</v>
      </c>
      <c r="I273" s="165" t="s">
        <v>1648</v>
      </c>
      <c r="J273" s="165" t="s">
        <v>1854</v>
      </c>
      <c r="K273" s="165" t="s">
        <v>1648</v>
      </c>
      <c r="L273" s="165" t="s">
        <v>1648</v>
      </c>
      <c r="M273" s="165" t="s">
        <v>1648</v>
      </c>
      <c r="N273" s="165" t="s">
        <v>1648</v>
      </c>
      <c r="O273" s="165" t="s">
        <v>1648</v>
      </c>
      <c r="P273" s="165" t="s">
        <v>1648</v>
      </c>
      <c r="Q273" s="165" t="s">
        <v>1648</v>
      </c>
    </row>
    <row r="274" spans="1:17" ht="13.5" thickBot="1" x14ac:dyDescent="0.25">
      <c r="A274" s="165" t="s">
        <v>452</v>
      </c>
      <c r="B274" s="168" t="s">
        <v>451</v>
      </c>
      <c r="C274" s="165" t="s">
        <v>22</v>
      </c>
      <c r="D274" s="166">
        <v>10</v>
      </c>
      <c r="E274" s="166">
        <v>24</v>
      </c>
      <c r="F274" s="165" t="s">
        <v>1648</v>
      </c>
      <c r="G274" s="167">
        <v>60000</v>
      </c>
      <c r="H274" s="165" t="s">
        <v>1761</v>
      </c>
      <c r="I274" s="165" t="s">
        <v>1648</v>
      </c>
      <c r="J274" s="165" t="s">
        <v>1761</v>
      </c>
      <c r="K274" s="165" t="s">
        <v>1648</v>
      </c>
      <c r="L274" s="165" t="s">
        <v>1648</v>
      </c>
      <c r="M274" s="165" t="s">
        <v>1649</v>
      </c>
      <c r="N274" s="165" t="s">
        <v>1648</v>
      </c>
      <c r="O274" s="165" t="s">
        <v>1648</v>
      </c>
      <c r="P274" s="165" t="s">
        <v>1648</v>
      </c>
      <c r="Q274" s="165" t="s">
        <v>1648</v>
      </c>
    </row>
    <row r="275" spans="1:17" ht="13.5" thickBot="1" x14ac:dyDescent="0.25">
      <c r="A275" s="165" t="s">
        <v>458</v>
      </c>
      <c r="B275" s="168" t="s">
        <v>457</v>
      </c>
      <c r="C275" s="165" t="s">
        <v>22</v>
      </c>
      <c r="D275" s="166">
        <v>8</v>
      </c>
      <c r="E275" s="166">
        <v>11</v>
      </c>
      <c r="F275" s="165" t="s">
        <v>1648</v>
      </c>
      <c r="G275" s="167">
        <v>30500</v>
      </c>
      <c r="H275" s="165" t="s">
        <v>1855</v>
      </c>
      <c r="I275" s="165" t="s">
        <v>1648</v>
      </c>
      <c r="J275" s="165" t="s">
        <v>1855</v>
      </c>
      <c r="K275" s="165" t="s">
        <v>1648</v>
      </c>
      <c r="L275" s="165" t="s">
        <v>1648</v>
      </c>
      <c r="M275" s="165" t="s">
        <v>1649</v>
      </c>
      <c r="N275" s="165" t="s">
        <v>1648</v>
      </c>
      <c r="O275" s="165" t="s">
        <v>1648</v>
      </c>
      <c r="P275" s="165" t="s">
        <v>1648</v>
      </c>
      <c r="Q275" s="165" t="s">
        <v>1648</v>
      </c>
    </row>
    <row r="276" spans="1:17" ht="13.5" thickBot="1" x14ac:dyDescent="0.25">
      <c r="A276" s="165" t="s">
        <v>472</v>
      </c>
      <c r="B276" s="168" t="s">
        <v>471</v>
      </c>
      <c r="C276" s="165" t="s">
        <v>22</v>
      </c>
      <c r="D276" s="166">
        <v>56</v>
      </c>
      <c r="E276" s="166">
        <v>31</v>
      </c>
      <c r="F276" s="165" t="s">
        <v>1648</v>
      </c>
      <c r="G276" s="167">
        <v>20000</v>
      </c>
      <c r="H276" s="165" t="s">
        <v>1859</v>
      </c>
      <c r="I276" s="165" t="s">
        <v>1648</v>
      </c>
      <c r="J276" s="165" t="s">
        <v>1730</v>
      </c>
      <c r="K276" s="165" t="s">
        <v>1648</v>
      </c>
      <c r="L276" s="165" t="s">
        <v>1648</v>
      </c>
      <c r="M276" s="165" t="s">
        <v>1648</v>
      </c>
      <c r="N276" s="165" t="s">
        <v>1649</v>
      </c>
      <c r="O276" s="165" t="s">
        <v>1648</v>
      </c>
      <c r="P276" s="165" t="s">
        <v>1648</v>
      </c>
      <c r="Q276" s="165" t="s">
        <v>1648</v>
      </c>
    </row>
    <row r="277" spans="1:17" ht="13.5" thickBot="1" x14ac:dyDescent="0.25">
      <c r="A277" s="165" t="s">
        <v>482</v>
      </c>
      <c r="B277" s="168" t="s">
        <v>481</v>
      </c>
      <c r="C277" s="165" t="s">
        <v>22</v>
      </c>
      <c r="D277" s="166">
        <v>18</v>
      </c>
      <c r="E277" s="166">
        <v>29</v>
      </c>
      <c r="F277" s="165" t="s">
        <v>1648</v>
      </c>
      <c r="G277" s="167">
        <v>12000</v>
      </c>
      <c r="H277" s="165" t="s">
        <v>1860</v>
      </c>
      <c r="I277" s="165" t="s">
        <v>1648</v>
      </c>
      <c r="J277" s="165" t="s">
        <v>1860</v>
      </c>
      <c r="K277" s="165" t="s">
        <v>1648</v>
      </c>
      <c r="L277" s="165" t="s">
        <v>1648</v>
      </c>
      <c r="M277" s="165" t="s">
        <v>1649</v>
      </c>
      <c r="N277" s="165" t="s">
        <v>1649</v>
      </c>
      <c r="O277" s="165" t="s">
        <v>1648</v>
      </c>
      <c r="P277" s="165" t="s">
        <v>1648</v>
      </c>
      <c r="Q277" s="165" t="s">
        <v>1648</v>
      </c>
    </row>
    <row r="278" spans="1:17" ht="13.5" thickBot="1" x14ac:dyDescent="0.25">
      <c r="A278" s="165" t="s">
        <v>486</v>
      </c>
      <c r="B278" s="168" t="s">
        <v>485</v>
      </c>
      <c r="C278" s="165" t="s">
        <v>22</v>
      </c>
      <c r="D278" s="166">
        <v>14</v>
      </c>
      <c r="E278" s="166">
        <v>27</v>
      </c>
      <c r="F278" s="165" t="s">
        <v>1648</v>
      </c>
      <c r="G278" s="167">
        <v>12000</v>
      </c>
      <c r="H278" s="165" t="s">
        <v>1734</v>
      </c>
      <c r="I278" s="165" t="s">
        <v>1648</v>
      </c>
      <c r="J278" s="165" t="s">
        <v>1734</v>
      </c>
      <c r="K278" s="165" t="s">
        <v>1648</v>
      </c>
      <c r="L278" s="165" t="s">
        <v>1648</v>
      </c>
      <c r="M278" s="165" t="s">
        <v>1649</v>
      </c>
      <c r="N278" s="165" t="s">
        <v>1648</v>
      </c>
      <c r="O278" s="165" t="s">
        <v>1648</v>
      </c>
      <c r="P278" s="165" t="s">
        <v>1648</v>
      </c>
      <c r="Q278" s="165" t="s">
        <v>1648</v>
      </c>
    </row>
    <row r="279" spans="1:17" ht="13.5" thickBot="1" x14ac:dyDescent="0.25">
      <c r="A279" s="165" t="s">
        <v>496</v>
      </c>
      <c r="B279" s="168" t="s">
        <v>495</v>
      </c>
      <c r="C279" s="165" t="s">
        <v>22</v>
      </c>
      <c r="D279" s="166">
        <v>7</v>
      </c>
      <c r="E279" s="166">
        <v>14</v>
      </c>
      <c r="F279" s="165" t="s">
        <v>1648</v>
      </c>
      <c r="G279" s="167">
        <v>5500</v>
      </c>
      <c r="H279" s="165" t="s">
        <v>1864</v>
      </c>
      <c r="I279" s="165" t="s">
        <v>1648</v>
      </c>
      <c r="J279" s="165" t="s">
        <v>1864</v>
      </c>
      <c r="K279" s="165" t="s">
        <v>1648</v>
      </c>
      <c r="L279" s="165" t="s">
        <v>1648</v>
      </c>
      <c r="M279" s="165" t="s">
        <v>1649</v>
      </c>
      <c r="N279" s="165" t="s">
        <v>1648</v>
      </c>
      <c r="O279" s="165" t="s">
        <v>1648</v>
      </c>
      <c r="P279" s="165" t="s">
        <v>1648</v>
      </c>
      <c r="Q279" s="165" t="s">
        <v>1648</v>
      </c>
    </row>
    <row r="280" spans="1:17" ht="13.5" thickBot="1" x14ac:dyDescent="0.25">
      <c r="A280" s="165" t="s">
        <v>500</v>
      </c>
      <c r="B280" s="168" t="s">
        <v>499</v>
      </c>
      <c r="C280" s="165" t="s">
        <v>22</v>
      </c>
      <c r="D280" s="166">
        <v>8</v>
      </c>
      <c r="E280" s="166">
        <v>19</v>
      </c>
      <c r="F280" s="165" t="s">
        <v>1648</v>
      </c>
      <c r="G280" s="167">
        <v>3500</v>
      </c>
      <c r="H280" s="165" t="s">
        <v>1865</v>
      </c>
      <c r="I280" s="165" t="s">
        <v>1648</v>
      </c>
      <c r="J280" s="165" t="s">
        <v>1866</v>
      </c>
      <c r="K280" s="165" t="s">
        <v>1648</v>
      </c>
      <c r="L280" s="165" t="s">
        <v>1648</v>
      </c>
      <c r="M280" s="165" t="s">
        <v>1649</v>
      </c>
      <c r="N280" s="165" t="s">
        <v>1649</v>
      </c>
      <c r="O280" s="165" t="s">
        <v>1648</v>
      </c>
      <c r="P280" s="165" t="s">
        <v>1648</v>
      </c>
      <c r="Q280" s="165" t="s">
        <v>1648</v>
      </c>
    </row>
    <row r="281" spans="1:17" ht="13.5" thickBot="1" x14ac:dyDescent="0.25">
      <c r="A281" s="165" t="s">
        <v>502</v>
      </c>
      <c r="B281" s="168" t="s">
        <v>501</v>
      </c>
      <c r="C281" s="165" t="s">
        <v>22</v>
      </c>
      <c r="D281" s="166">
        <v>28</v>
      </c>
      <c r="E281" s="166">
        <v>29</v>
      </c>
      <c r="F281" s="165" t="s">
        <v>1648</v>
      </c>
      <c r="G281" s="167">
        <v>34300</v>
      </c>
      <c r="H281" s="165" t="s">
        <v>1723</v>
      </c>
      <c r="I281" s="165" t="s">
        <v>1648</v>
      </c>
      <c r="J281" s="165" t="s">
        <v>1723</v>
      </c>
      <c r="K281" s="165" t="s">
        <v>1648</v>
      </c>
      <c r="L281" s="165" t="s">
        <v>1648</v>
      </c>
      <c r="M281" s="165" t="s">
        <v>1648</v>
      </c>
      <c r="N281" s="165" t="s">
        <v>1648</v>
      </c>
      <c r="O281" s="165" t="s">
        <v>1648</v>
      </c>
      <c r="P281" s="165" t="s">
        <v>1648</v>
      </c>
      <c r="Q281" s="165" t="s">
        <v>1648</v>
      </c>
    </row>
    <row r="282" spans="1:17" ht="13.5" thickBot="1" x14ac:dyDescent="0.25">
      <c r="A282" s="165" t="s">
        <v>506</v>
      </c>
      <c r="B282" s="168" t="s">
        <v>505</v>
      </c>
      <c r="C282" s="165" t="s">
        <v>22</v>
      </c>
      <c r="D282" s="166">
        <v>4</v>
      </c>
      <c r="E282" s="166">
        <v>14</v>
      </c>
      <c r="F282" s="165" t="s">
        <v>1648</v>
      </c>
      <c r="G282" s="167">
        <v>1595</v>
      </c>
      <c r="H282" s="165" t="s">
        <v>1867</v>
      </c>
      <c r="I282" s="165" t="s">
        <v>1648</v>
      </c>
      <c r="J282" s="165" t="s">
        <v>1867</v>
      </c>
      <c r="K282" s="165" t="s">
        <v>1648</v>
      </c>
      <c r="L282" s="165" t="s">
        <v>1648</v>
      </c>
      <c r="M282" s="165" t="s">
        <v>1649</v>
      </c>
      <c r="N282" s="165" t="s">
        <v>1648</v>
      </c>
      <c r="O282" s="165" t="s">
        <v>1648</v>
      </c>
      <c r="P282" s="165" t="s">
        <v>1648</v>
      </c>
      <c r="Q282" s="165" t="s">
        <v>1648</v>
      </c>
    </row>
    <row r="283" spans="1:17" ht="13.5" thickBot="1" x14ac:dyDescent="0.25">
      <c r="A283" s="165" t="s">
        <v>516</v>
      </c>
      <c r="B283" s="168" t="s">
        <v>515</v>
      </c>
      <c r="C283" s="165" t="s">
        <v>22</v>
      </c>
      <c r="D283" s="166">
        <v>14</v>
      </c>
      <c r="E283" s="166">
        <v>14</v>
      </c>
      <c r="F283" s="165" t="s">
        <v>1648</v>
      </c>
      <c r="G283" s="167">
        <v>32688</v>
      </c>
      <c r="H283" s="165" t="s">
        <v>1728</v>
      </c>
      <c r="I283" s="165" t="s">
        <v>1648</v>
      </c>
      <c r="J283" s="165" t="s">
        <v>1728</v>
      </c>
      <c r="K283" s="165" t="s">
        <v>1648</v>
      </c>
      <c r="L283" s="165" t="s">
        <v>1648</v>
      </c>
      <c r="M283" s="165" t="s">
        <v>1649</v>
      </c>
      <c r="N283" s="165" t="s">
        <v>1648</v>
      </c>
      <c r="O283" s="165" t="s">
        <v>1648</v>
      </c>
      <c r="P283" s="165" t="s">
        <v>1648</v>
      </c>
      <c r="Q283" s="165" t="s">
        <v>1648</v>
      </c>
    </row>
    <row r="284" spans="1:17" ht="13.5" thickBot="1" x14ac:dyDescent="0.25">
      <c r="A284" s="165" t="s">
        <v>530</v>
      </c>
      <c r="B284" s="168" t="s">
        <v>529</v>
      </c>
      <c r="C284" s="165" t="s">
        <v>22</v>
      </c>
      <c r="D284" s="166">
        <v>27</v>
      </c>
      <c r="E284" s="166">
        <v>45</v>
      </c>
      <c r="F284" s="165" t="s">
        <v>1648</v>
      </c>
      <c r="G284" s="167">
        <v>13000</v>
      </c>
      <c r="H284" s="165" t="s">
        <v>1871</v>
      </c>
      <c r="I284" s="165" t="s">
        <v>1648</v>
      </c>
      <c r="J284" s="165" t="s">
        <v>1871</v>
      </c>
      <c r="K284" s="165" t="s">
        <v>1649</v>
      </c>
      <c r="L284" s="165" t="s">
        <v>1648</v>
      </c>
      <c r="M284" s="165" t="s">
        <v>1649</v>
      </c>
      <c r="N284" s="165" t="s">
        <v>1648</v>
      </c>
      <c r="O284" s="165" t="s">
        <v>1648</v>
      </c>
      <c r="P284" s="165" t="s">
        <v>1649</v>
      </c>
      <c r="Q284" s="165" t="s">
        <v>1648</v>
      </c>
    </row>
    <row r="285" spans="1:17" ht="13.5" thickBot="1" x14ac:dyDescent="0.25">
      <c r="A285" s="165" t="s">
        <v>546</v>
      </c>
      <c r="B285" s="168" t="s">
        <v>545</v>
      </c>
      <c r="C285" s="165" t="s">
        <v>22</v>
      </c>
      <c r="D285" s="166">
        <v>7</v>
      </c>
      <c r="E285" s="166">
        <v>19</v>
      </c>
      <c r="F285" s="165" t="s">
        <v>1649</v>
      </c>
      <c r="G285" s="167">
        <v>0</v>
      </c>
      <c r="H285" s="165" t="s">
        <v>1613</v>
      </c>
      <c r="I285" s="165" t="s">
        <v>1649</v>
      </c>
      <c r="J285" s="165" t="s">
        <v>1613</v>
      </c>
      <c r="K285" s="165" t="s">
        <v>1649</v>
      </c>
      <c r="L285" s="165" t="s">
        <v>1649</v>
      </c>
      <c r="M285" s="165" t="s">
        <v>1649</v>
      </c>
      <c r="N285" s="165" t="s">
        <v>1649</v>
      </c>
      <c r="O285" s="165" t="s">
        <v>1648</v>
      </c>
      <c r="P285" s="165" t="s">
        <v>1648</v>
      </c>
      <c r="Q285" s="165" t="s">
        <v>1648</v>
      </c>
    </row>
    <row r="286" spans="1:17" ht="13.5" thickBot="1" x14ac:dyDescent="0.25">
      <c r="A286" s="165" t="s">
        <v>556</v>
      </c>
      <c r="B286" s="168" t="s">
        <v>555</v>
      </c>
      <c r="C286" s="165" t="s">
        <v>22</v>
      </c>
      <c r="D286" s="166">
        <v>24</v>
      </c>
      <c r="E286" s="166">
        <v>80</v>
      </c>
      <c r="F286" s="165" t="s">
        <v>1648</v>
      </c>
      <c r="G286" s="167">
        <v>6521</v>
      </c>
      <c r="H286" s="165" t="s">
        <v>1836</v>
      </c>
      <c r="I286" s="165" t="s">
        <v>1648</v>
      </c>
      <c r="J286" s="165" t="s">
        <v>1836</v>
      </c>
      <c r="K286" s="165" t="s">
        <v>1648</v>
      </c>
      <c r="L286" s="165" t="s">
        <v>1648</v>
      </c>
      <c r="M286" s="165" t="s">
        <v>1649</v>
      </c>
      <c r="N286" s="165" t="s">
        <v>1648</v>
      </c>
      <c r="O286" s="165" t="s">
        <v>1648</v>
      </c>
      <c r="P286" s="165" t="s">
        <v>1648</v>
      </c>
      <c r="Q286" s="165" t="s">
        <v>1648</v>
      </c>
    </row>
    <row r="287" spans="1:17" ht="13.5" thickBot="1" x14ac:dyDescent="0.25">
      <c r="A287" s="165" t="s">
        <v>558</v>
      </c>
      <c r="B287" s="168" t="s">
        <v>557</v>
      </c>
      <c r="C287" s="165" t="s">
        <v>22</v>
      </c>
      <c r="D287" s="166">
        <v>15</v>
      </c>
      <c r="E287" s="166">
        <v>25</v>
      </c>
      <c r="F287" s="165" t="s">
        <v>1648</v>
      </c>
      <c r="G287" s="167">
        <v>3000</v>
      </c>
      <c r="H287" s="165" t="s">
        <v>1875</v>
      </c>
      <c r="I287" s="165" t="s">
        <v>1648</v>
      </c>
      <c r="J287" s="165" t="s">
        <v>1875</v>
      </c>
      <c r="K287" s="165" t="s">
        <v>1648</v>
      </c>
      <c r="L287" s="165" t="s">
        <v>1648</v>
      </c>
      <c r="M287" s="165" t="s">
        <v>1648</v>
      </c>
      <c r="N287" s="165" t="s">
        <v>1649</v>
      </c>
      <c r="O287" s="165" t="s">
        <v>1648</v>
      </c>
      <c r="P287" s="165" t="s">
        <v>1649</v>
      </c>
      <c r="Q287" s="165" t="s">
        <v>1648</v>
      </c>
    </row>
    <row r="288" spans="1:17" ht="13.5" thickBot="1" x14ac:dyDescent="0.25">
      <c r="A288" s="165" t="s">
        <v>562</v>
      </c>
      <c r="B288" s="168" t="s">
        <v>561</v>
      </c>
      <c r="C288" s="165" t="s">
        <v>22</v>
      </c>
      <c r="D288" s="166">
        <v>29</v>
      </c>
      <c r="E288" s="166">
        <v>43</v>
      </c>
      <c r="F288" s="165" t="s">
        <v>1648</v>
      </c>
      <c r="G288" s="167">
        <v>32447</v>
      </c>
      <c r="H288" s="165" t="s">
        <v>1876</v>
      </c>
      <c r="I288" s="165" t="s">
        <v>1648</v>
      </c>
      <c r="J288" s="165" t="s">
        <v>1877</v>
      </c>
      <c r="K288" s="165" t="s">
        <v>1648</v>
      </c>
      <c r="L288" s="165" t="s">
        <v>1648</v>
      </c>
      <c r="M288" s="165" t="s">
        <v>1648</v>
      </c>
      <c r="N288" s="165" t="s">
        <v>1648</v>
      </c>
      <c r="O288" s="165" t="s">
        <v>1648</v>
      </c>
      <c r="P288" s="165" t="s">
        <v>1648</v>
      </c>
      <c r="Q288" s="165" t="s">
        <v>1648</v>
      </c>
    </row>
    <row r="289" spans="1:17" ht="13.5" thickBot="1" x14ac:dyDescent="0.25">
      <c r="A289" s="165" t="s">
        <v>570</v>
      </c>
      <c r="B289" s="168" t="s">
        <v>569</v>
      </c>
      <c r="C289" s="165" t="s">
        <v>22</v>
      </c>
      <c r="D289" s="166">
        <v>21</v>
      </c>
      <c r="E289" s="166">
        <v>15</v>
      </c>
      <c r="F289" s="165" t="s">
        <v>1648</v>
      </c>
      <c r="G289" s="167">
        <v>2800</v>
      </c>
      <c r="H289" s="165" t="s">
        <v>1747</v>
      </c>
      <c r="I289" s="165" t="s">
        <v>1648</v>
      </c>
      <c r="J289" s="165" t="s">
        <v>1747</v>
      </c>
      <c r="K289" s="165" t="s">
        <v>1648</v>
      </c>
      <c r="L289" s="165" t="s">
        <v>1648</v>
      </c>
      <c r="M289" s="165" t="s">
        <v>1648</v>
      </c>
      <c r="N289" s="165" t="s">
        <v>1649</v>
      </c>
      <c r="O289" s="165" t="s">
        <v>1648</v>
      </c>
      <c r="P289" s="165" t="s">
        <v>1649</v>
      </c>
      <c r="Q289" s="165" t="s">
        <v>1648</v>
      </c>
    </row>
    <row r="290" spans="1:17" ht="13.5" thickBot="1" x14ac:dyDescent="0.25">
      <c r="A290" s="165" t="s">
        <v>580</v>
      </c>
      <c r="B290" s="168" t="s">
        <v>579</v>
      </c>
      <c r="C290" s="165" t="s">
        <v>22</v>
      </c>
      <c r="D290" s="166">
        <v>15</v>
      </c>
      <c r="E290" s="166">
        <v>11</v>
      </c>
      <c r="F290" s="165" t="s">
        <v>1648</v>
      </c>
      <c r="G290" s="167">
        <v>9000</v>
      </c>
      <c r="H290" s="165" t="s">
        <v>1737</v>
      </c>
      <c r="I290" s="165" t="s">
        <v>1648</v>
      </c>
      <c r="J290" s="165" t="s">
        <v>1766</v>
      </c>
      <c r="K290" s="165" t="s">
        <v>1648</v>
      </c>
      <c r="L290" s="165" t="s">
        <v>1648</v>
      </c>
      <c r="M290" s="165" t="s">
        <v>1648</v>
      </c>
      <c r="N290" s="165" t="s">
        <v>1648</v>
      </c>
      <c r="O290" s="165" t="s">
        <v>1648</v>
      </c>
      <c r="P290" s="165" t="s">
        <v>1648</v>
      </c>
      <c r="Q290" s="165" t="s">
        <v>1648</v>
      </c>
    </row>
    <row r="291" spans="1:17" ht="13.5" thickBot="1" x14ac:dyDescent="0.25">
      <c r="A291" s="165" t="s">
        <v>596</v>
      </c>
      <c r="B291" s="168" t="s">
        <v>595</v>
      </c>
      <c r="C291" s="165" t="s">
        <v>22</v>
      </c>
      <c r="D291" s="166">
        <v>11</v>
      </c>
      <c r="E291" s="166">
        <v>18</v>
      </c>
      <c r="F291" s="165" t="s">
        <v>1648</v>
      </c>
      <c r="G291" s="167">
        <v>7200</v>
      </c>
      <c r="H291" s="165" t="s">
        <v>1881</v>
      </c>
      <c r="I291" s="165" t="s">
        <v>1648</v>
      </c>
      <c r="J291" s="165" t="s">
        <v>1726</v>
      </c>
      <c r="K291" s="165" t="s">
        <v>1648</v>
      </c>
      <c r="L291" s="165" t="s">
        <v>1648</v>
      </c>
      <c r="M291" s="165" t="s">
        <v>1649</v>
      </c>
      <c r="N291" s="165" t="s">
        <v>1648</v>
      </c>
      <c r="O291" s="165" t="s">
        <v>1648</v>
      </c>
      <c r="P291" s="165" t="s">
        <v>1649</v>
      </c>
      <c r="Q291" s="165" t="s">
        <v>1648</v>
      </c>
    </row>
    <row r="292" spans="1:17" ht="13.5" thickBot="1" x14ac:dyDescent="0.25">
      <c r="A292" s="165" t="s">
        <v>598</v>
      </c>
      <c r="B292" s="168" t="s">
        <v>597</v>
      </c>
      <c r="C292" s="165" t="s">
        <v>22</v>
      </c>
      <c r="D292" s="166">
        <v>7</v>
      </c>
      <c r="E292" s="166">
        <v>23</v>
      </c>
      <c r="F292" s="165" t="s">
        <v>1648</v>
      </c>
      <c r="G292" s="167">
        <v>1285</v>
      </c>
      <c r="H292" s="165" t="s">
        <v>1730</v>
      </c>
      <c r="I292" s="165" t="s">
        <v>1648</v>
      </c>
      <c r="J292" s="165" t="s">
        <v>1730</v>
      </c>
      <c r="K292" s="165" t="s">
        <v>1648</v>
      </c>
      <c r="L292" s="165" t="s">
        <v>1648</v>
      </c>
      <c r="M292" s="165" t="s">
        <v>1649</v>
      </c>
      <c r="N292" s="165" t="s">
        <v>1649</v>
      </c>
      <c r="O292" s="165" t="s">
        <v>1648</v>
      </c>
      <c r="P292" s="165" t="s">
        <v>1649</v>
      </c>
      <c r="Q292" s="165" t="s">
        <v>1649</v>
      </c>
    </row>
    <row r="293" spans="1:17" ht="13.5" thickBot="1" x14ac:dyDescent="0.25">
      <c r="A293" s="165" t="s">
        <v>602</v>
      </c>
      <c r="B293" s="168" t="s">
        <v>601</v>
      </c>
      <c r="C293" s="165" t="s">
        <v>22</v>
      </c>
      <c r="D293" s="166">
        <v>18</v>
      </c>
      <c r="E293" s="166">
        <v>45</v>
      </c>
      <c r="F293" s="165" t="s">
        <v>1648</v>
      </c>
      <c r="G293" s="167">
        <v>9400</v>
      </c>
      <c r="H293" s="165" t="s">
        <v>1883</v>
      </c>
      <c r="I293" s="165" t="s">
        <v>1648</v>
      </c>
      <c r="J293" s="165" t="s">
        <v>1884</v>
      </c>
      <c r="K293" s="165" t="s">
        <v>1648</v>
      </c>
      <c r="L293" s="165" t="s">
        <v>1648</v>
      </c>
      <c r="M293" s="165" t="s">
        <v>1649</v>
      </c>
      <c r="N293" s="165" t="s">
        <v>1648</v>
      </c>
      <c r="O293" s="165" t="s">
        <v>1648</v>
      </c>
      <c r="P293" s="165" t="s">
        <v>1648</v>
      </c>
      <c r="Q293" s="165" t="s">
        <v>1649</v>
      </c>
    </row>
    <row r="294" spans="1:17" ht="13.5" thickBot="1" x14ac:dyDescent="0.25">
      <c r="A294" s="165" t="s">
        <v>636</v>
      </c>
      <c r="B294" s="168" t="s">
        <v>635</v>
      </c>
      <c r="C294" s="165" t="s">
        <v>22</v>
      </c>
      <c r="D294" s="166">
        <v>4</v>
      </c>
      <c r="E294" s="166">
        <v>11</v>
      </c>
      <c r="F294" s="165" t="s">
        <v>1648</v>
      </c>
      <c r="G294" s="167">
        <v>34000</v>
      </c>
      <c r="H294" s="165" t="s">
        <v>1821</v>
      </c>
      <c r="I294" s="165" t="s">
        <v>1648</v>
      </c>
      <c r="J294" s="165" t="s">
        <v>1821</v>
      </c>
      <c r="K294" s="165" t="s">
        <v>1648</v>
      </c>
      <c r="L294" s="165" t="s">
        <v>1648</v>
      </c>
      <c r="M294" s="165" t="s">
        <v>1649</v>
      </c>
      <c r="N294" s="165" t="s">
        <v>1648</v>
      </c>
      <c r="O294" s="165" t="s">
        <v>1648</v>
      </c>
      <c r="P294" s="165" t="s">
        <v>1648</v>
      </c>
      <c r="Q294" s="165" t="s">
        <v>1648</v>
      </c>
    </row>
    <row r="295" spans="1:17" ht="13.5" thickBot="1" x14ac:dyDescent="0.25">
      <c r="A295" s="165" t="s">
        <v>662</v>
      </c>
      <c r="B295" s="168" t="s">
        <v>661</v>
      </c>
      <c r="C295" s="165" t="s">
        <v>22</v>
      </c>
      <c r="D295" s="166">
        <v>20</v>
      </c>
      <c r="E295" s="166">
        <v>42</v>
      </c>
      <c r="F295" s="165" t="s">
        <v>1648</v>
      </c>
      <c r="G295" s="167">
        <v>37000</v>
      </c>
      <c r="H295" s="165" t="s">
        <v>1761</v>
      </c>
      <c r="I295" s="165" t="s">
        <v>1648</v>
      </c>
      <c r="J295" s="165" t="s">
        <v>1761</v>
      </c>
      <c r="K295" s="165" t="s">
        <v>1648</v>
      </c>
      <c r="L295" s="165" t="s">
        <v>1648</v>
      </c>
      <c r="M295" s="165" t="s">
        <v>1648</v>
      </c>
      <c r="N295" s="165" t="s">
        <v>1648</v>
      </c>
      <c r="O295" s="165" t="s">
        <v>1648</v>
      </c>
      <c r="P295" s="165" t="s">
        <v>1648</v>
      </c>
      <c r="Q295" s="165" t="s">
        <v>1648</v>
      </c>
    </row>
    <row r="296" spans="1:17" ht="13.5" thickBot="1" x14ac:dyDescent="0.25">
      <c r="A296" s="165" t="s">
        <v>704</v>
      </c>
      <c r="B296" s="168" t="s">
        <v>703</v>
      </c>
      <c r="C296" s="165" t="s">
        <v>22</v>
      </c>
      <c r="D296" s="197" t="s">
        <v>1660</v>
      </c>
      <c r="E296" s="197" t="s">
        <v>1660</v>
      </c>
      <c r="F296" s="165" t="s">
        <v>1648</v>
      </c>
      <c r="G296" s="167">
        <v>20000</v>
      </c>
      <c r="H296" s="165" t="s">
        <v>1808</v>
      </c>
      <c r="I296" s="165" t="s">
        <v>1648</v>
      </c>
      <c r="J296" s="165" t="s">
        <v>1733</v>
      </c>
      <c r="K296" s="165" t="s">
        <v>1648</v>
      </c>
      <c r="L296" s="165" t="s">
        <v>1648</v>
      </c>
      <c r="M296" s="165" t="s">
        <v>1648</v>
      </c>
      <c r="N296" s="165" t="s">
        <v>1648</v>
      </c>
      <c r="O296" s="165" t="s">
        <v>1648</v>
      </c>
      <c r="P296" s="165" t="s">
        <v>1649</v>
      </c>
      <c r="Q296" s="165" t="s">
        <v>1648</v>
      </c>
    </row>
    <row r="297" spans="1:17" ht="13.5" thickBot="1" x14ac:dyDescent="0.25">
      <c r="A297" s="165" t="s">
        <v>706</v>
      </c>
      <c r="B297" s="168" t="s">
        <v>705</v>
      </c>
      <c r="C297" s="165" t="s">
        <v>22</v>
      </c>
      <c r="D297" s="166">
        <v>10</v>
      </c>
      <c r="E297" s="166">
        <v>11</v>
      </c>
      <c r="F297" s="165" t="s">
        <v>1648</v>
      </c>
      <c r="G297" s="167">
        <v>40000</v>
      </c>
      <c r="H297" s="165" t="s">
        <v>1723</v>
      </c>
      <c r="I297" s="165" t="s">
        <v>1648</v>
      </c>
      <c r="J297" s="165" t="s">
        <v>1723</v>
      </c>
      <c r="K297" s="165" t="s">
        <v>1648</v>
      </c>
      <c r="L297" s="165" t="s">
        <v>1648</v>
      </c>
      <c r="M297" s="165" t="s">
        <v>1649</v>
      </c>
      <c r="N297" s="165" t="s">
        <v>1648</v>
      </c>
      <c r="O297" s="165" t="s">
        <v>1648</v>
      </c>
      <c r="P297" s="165" t="s">
        <v>1648</v>
      </c>
      <c r="Q297" s="165" t="s">
        <v>1648</v>
      </c>
    </row>
    <row r="298" spans="1:17" ht="13.5" thickBot="1" x14ac:dyDescent="0.25">
      <c r="A298" s="165" t="s">
        <v>712</v>
      </c>
      <c r="B298" s="168" t="s">
        <v>711</v>
      </c>
      <c r="C298" s="165" t="s">
        <v>22</v>
      </c>
      <c r="D298" s="166">
        <v>12</v>
      </c>
      <c r="E298" s="166">
        <v>17</v>
      </c>
      <c r="F298" s="165" t="s">
        <v>1648</v>
      </c>
      <c r="G298" s="167">
        <v>4000</v>
      </c>
      <c r="H298" s="165" t="s">
        <v>1730</v>
      </c>
      <c r="I298" s="165" t="s">
        <v>1648</v>
      </c>
      <c r="J298" s="165" t="s">
        <v>1730</v>
      </c>
      <c r="K298" s="165" t="s">
        <v>1648</v>
      </c>
      <c r="L298" s="165" t="s">
        <v>1648</v>
      </c>
      <c r="M298" s="165" t="s">
        <v>1649</v>
      </c>
      <c r="N298" s="165" t="s">
        <v>1649</v>
      </c>
      <c r="O298" s="165" t="s">
        <v>1648</v>
      </c>
      <c r="P298" s="165" t="s">
        <v>1648</v>
      </c>
      <c r="Q298" s="165" t="s">
        <v>1648</v>
      </c>
    </row>
    <row r="299" spans="1:17" ht="13.5" thickBot="1" x14ac:dyDescent="0.25">
      <c r="A299" s="165" t="s">
        <v>730</v>
      </c>
      <c r="B299" s="168" t="s">
        <v>729</v>
      </c>
      <c r="C299" s="165" t="s">
        <v>22</v>
      </c>
      <c r="D299" s="166">
        <v>13</v>
      </c>
      <c r="E299" s="166">
        <v>20</v>
      </c>
      <c r="F299" s="165" t="s">
        <v>1648</v>
      </c>
      <c r="G299" s="167">
        <v>3674</v>
      </c>
      <c r="H299" s="165" t="s">
        <v>1823</v>
      </c>
      <c r="I299" s="165" t="s">
        <v>1648</v>
      </c>
      <c r="J299" s="165" t="s">
        <v>1823</v>
      </c>
      <c r="K299" s="165" t="s">
        <v>1648</v>
      </c>
      <c r="L299" s="165" t="s">
        <v>1648</v>
      </c>
      <c r="M299" s="165" t="s">
        <v>1649</v>
      </c>
      <c r="N299" s="165" t="s">
        <v>1649</v>
      </c>
      <c r="O299" s="165" t="s">
        <v>1648</v>
      </c>
      <c r="P299" s="165" t="s">
        <v>1648</v>
      </c>
      <c r="Q299" s="165" t="s">
        <v>1648</v>
      </c>
    </row>
    <row r="300" spans="1:17" ht="13.5" thickBot="1" x14ac:dyDescent="0.25">
      <c r="A300" s="165" t="s">
        <v>742</v>
      </c>
      <c r="B300" s="168" t="s">
        <v>741</v>
      </c>
      <c r="C300" s="165" t="s">
        <v>22</v>
      </c>
      <c r="D300" s="166">
        <v>3</v>
      </c>
      <c r="E300" s="166">
        <v>14</v>
      </c>
      <c r="F300" s="165" t="s">
        <v>1648</v>
      </c>
      <c r="G300" s="167">
        <v>14758</v>
      </c>
      <c r="H300" s="165" t="s">
        <v>1904</v>
      </c>
      <c r="I300" s="165" t="s">
        <v>1648</v>
      </c>
      <c r="J300" s="165" t="s">
        <v>1904</v>
      </c>
      <c r="K300" s="165" t="s">
        <v>1648</v>
      </c>
      <c r="L300" s="165" t="s">
        <v>1648</v>
      </c>
      <c r="M300" s="165" t="s">
        <v>1649</v>
      </c>
      <c r="N300" s="165" t="s">
        <v>1648</v>
      </c>
      <c r="O300" s="165" t="s">
        <v>1648</v>
      </c>
      <c r="P300" s="165" t="s">
        <v>1648</v>
      </c>
      <c r="Q300" s="165" t="s">
        <v>1648</v>
      </c>
    </row>
    <row r="301" spans="1:17" ht="13.5" thickBot="1" x14ac:dyDescent="0.25">
      <c r="A301" s="165" t="s">
        <v>746</v>
      </c>
      <c r="B301" s="168" t="s">
        <v>745</v>
      </c>
      <c r="C301" s="165" t="s">
        <v>22</v>
      </c>
      <c r="D301" s="166">
        <v>9</v>
      </c>
      <c r="E301" s="166">
        <v>22</v>
      </c>
      <c r="F301" s="165" t="s">
        <v>1648</v>
      </c>
      <c r="G301" s="167">
        <v>3100</v>
      </c>
      <c r="H301" s="165" t="s">
        <v>1725</v>
      </c>
      <c r="I301" s="165" t="s">
        <v>1648</v>
      </c>
      <c r="J301" s="165" t="s">
        <v>1725</v>
      </c>
      <c r="K301" s="165" t="s">
        <v>1648</v>
      </c>
      <c r="L301" s="165" t="s">
        <v>1648</v>
      </c>
      <c r="M301" s="165" t="s">
        <v>1648</v>
      </c>
      <c r="N301" s="165" t="s">
        <v>1649</v>
      </c>
      <c r="O301" s="165" t="s">
        <v>1648</v>
      </c>
      <c r="P301" s="165" t="s">
        <v>1648</v>
      </c>
      <c r="Q301" s="165" t="s">
        <v>1649</v>
      </c>
    </row>
    <row r="302" spans="1:17" ht="13.5" thickBot="1" x14ac:dyDescent="0.25">
      <c r="A302" s="165" t="s">
        <v>766</v>
      </c>
      <c r="B302" s="168" t="s">
        <v>765</v>
      </c>
      <c r="C302" s="165" t="s">
        <v>22</v>
      </c>
      <c r="D302" s="166">
        <v>6</v>
      </c>
      <c r="E302" s="166">
        <v>10</v>
      </c>
      <c r="F302" s="165" t="s">
        <v>1648</v>
      </c>
      <c r="G302" s="167">
        <v>3000</v>
      </c>
      <c r="H302" s="165" t="s">
        <v>1910</v>
      </c>
      <c r="I302" s="165" t="s">
        <v>1648</v>
      </c>
      <c r="J302" s="165" t="s">
        <v>1910</v>
      </c>
      <c r="K302" s="165" t="s">
        <v>1648</v>
      </c>
      <c r="L302" s="165" t="s">
        <v>1648</v>
      </c>
      <c r="M302" s="165" t="s">
        <v>1649</v>
      </c>
      <c r="N302" s="165" t="s">
        <v>1649</v>
      </c>
      <c r="O302" s="165" t="s">
        <v>1648</v>
      </c>
      <c r="P302" s="165" t="s">
        <v>1649</v>
      </c>
      <c r="Q302" s="165" t="s">
        <v>1649</v>
      </c>
    </row>
    <row r="303" spans="1:17" ht="13.5" thickBot="1" x14ac:dyDescent="0.25">
      <c r="A303" s="165" t="s">
        <v>786</v>
      </c>
      <c r="B303" s="168" t="s">
        <v>785</v>
      </c>
      <c r="C303" s="165" t="s">
        <v>22</v>
      </c>
      <c r="D303" s="166">
        <v>14</v>
      </c>
      <c r="E303" s="166">
        <v>20</v>
      </c>
      <c r="F303" s="165" t="s">
        <v>1648</v>
      </c>
      <c r="G303" s="167">
        <v>27206</v>
      </c>
      <c r="H303" s="165" t="s">
        <v>1761</v>
      </c>
      <c r="I303" s="165" t="s">
        <v>1648</v>
      </c>
      <c r="J303" s="165" t="s">
        <v>1761</v>
      </c>
      <c r="K303" s="165" t="s">
        <v>1648</v>
      </c>
      <c r="L303" s="165" t="s">
        <v>1648</v>
      </c>
      <c r="M303" s="165" t="s">
        <v>1649</v>
      </c>
      <c r="N303" s="165" t="s">
        <v>1648</v>
      </c>
      <c r="O303" s="165" t="s">
        <v>1648</v>
      </c>
      <c r="P303" s="165" t="s">
        <v>1648</v>
      </c>
      <c r="Q303" s="165" t="s">
        <v>1648</v>
      </c>
    </row>
    <row r="304" spans="1:17" ht="13.5" thickBot="1" x14ac:dyDescent="0.25">
      <c r="A304" s="165" t="s">
        <v>812</v>
      </c>
      <c r="B304" s="168" t="s">
        <v>811</v>
      </c>
      <c r="C304" s="165" t="s">
        <v>22</v>
      </c>
      <c r="D304" s="166">
        <v>15</v>
      </c>
      <c r="E304" s="166">
        <v>26</v>
      </c>
      <c r="F304" s="165" t="s">
        <v>1648</v>
      </c>
      <c r="G304" s="167">
        <v>29397</v>
      </c>
      <c r="H304" s="165" t="s">
        <v>1788</v>
      </c>
      <c r="I304" s="165" t="s">
        <v>1648</v>
      </c>
      <c r="J304" s="165" t="s">
        <v>1788</v>
      </c>
      <c r="K304" s="165" t="s">
        <v>1648</v>
      </c>
      <c r="L304" s="165" t="s">
        <v>1648</v>
      </c>
      <c r="M304" s="165" t="s">
        <v>1648</v>
      </c>
      <c r="N304" s="165" t="s">
        <v>1648</v>
      </c>
      <c r="O304" s="165" t="s">
        <v>1648</v>
      </c>
      <c r="P304" s="165" t="s">
        <v>1648</v>
      </c>
      <c r="Q304" s="165" t="s">
        <v>1648</v>
      </c>
    </row>
    <row r="305" spans="1:17" ht="13.5" thickBot="1" x14ac:dyDescent="0.25">
      <c r="A305" s="165" t="s">
        <v>38</v>
      </c>
      <c r="B305" s="168" t="s">
        <v>37</v>
      </c>
      <c r="C305" s="165" t="s">
        <v>39</v>
      </c>
      <c r="D305" s="166">
        <v>16</v>
      </c>
      <c r="E305" s="166">
        <v>29</v>
      </c>
      <c r="F305" s="165" t="s">
        <v>1648</v>
      </c>
      <c r="G305" s="167">
        <v>27890</v>
      </c>
      <c r="H305" s="165" t="s">
        <v>1732</v>
      </c>
      <c r="I305" s="165" t="s">
        <v>1648</v>
      </c>
      <c r="J305" s="165" t="s">
        <v>1732</v>
      </c>
      <c r="K305" s="165" t="s">
        <v>1648</v>
      </c>
      <c r="L305" s="165" t="s">
        <v>1648</v>
      </c>
      <c r="M305" s="165" t="s">
        <v>1649</v>
      </c>
      <c r="N305" s="165" t="s">
        <v>1648</v>
      </c>
      <c r="O305" s="165" t="s">
        <v>1648</v>
      </c>
      <c r="P305" s="165" t="s">
        <v>1648</v>
      </c>
      <c r="Q305" s="165" t="s">
        <v>1648</v>
      </c>
    </row>
    <row r="306" spans="1:17" ht="13.5" thickBot="1" x14ac:dyDescent="0.25">
      <c r="A306" s="165" t="s">
        <v>41</v>
      </c>
      <c r="B306" s="168" t="s">
        <v>40</v>
      </c>
      <c r="C306" s="165" t="s">
        <v>39</v>
      </c>
      <c r="D306" s="166">
        <v>5</v>
      </c>
      <c r="E306" s="166">
        <v>9</v>
      </c>
      <c r="F306" s="165" t="s">
        <v>1648</v>
      </c>
      <c r="G306" s="167">
        <v>21979</v>
      </c>
      <c r="H306" s="165" t="s">
        <v>1733</v>
      </c>
      <c r="I306" s="165" t="s">
        <v>1648</v>
      </c>
      <c r="J306" s="165" t="s">
        <v>1733</v>
      </c>
      <c r="K306" s="165" t="s">
        <v>1648</v>
      </c>
      <c r="L306" s="165" t="s">
        <v>1648</v>
      </c>
      <c r="M306" s="165" t="s">
        <v>1648</v>
      </c>
      <c r="N306" s="165" t="s">
        <v>1648</v>
      </c>
      <c r="O306" s="165" t="s">
        <v>1648</v>
      </c>
      <c r="P306" s="165" t="s">
        <v>1648</v>
      </c>
      <c r="Q306" s="165" t="s">
        <v>1649</v>
      </c>
    </row>
    <row r="307" spans="1:17" ht="13.5" thickBot="1" x14ac:dyDescent="0.25">
      <c r="A307" s="165" t="s">
        <v>49</v>
      </c>
      <c r="B307" s="168" t="s">
        <v>48</v>
      </c>
      <c r="C307" s="165" t="s">
        <v>39</v>
      </c>
      <c r="D307" s="166">
        <v>15</v>
      </c>
      <c r="E307" s="166">
        <v>22</v>
      </c>
      <c r="F307" s="165" t="s">
        <v>1648</v>
      </c>
      <c r="G307" s="167">
        <v>29261</v>
      </c>
      <c r="H307" s="165" t="s">
        <v>1736</v>
      </c>
      <c r="I307" s="165" t="s">
        <v>1648</v>
      </c>
      <c r="J307" s="165" t="s">
        <v>1737</v>
      </c>
      <c r="K307" s="165" t="s">
        <v>1648</v>
      </c>
      <c r="L307" s="165" t="s">
        <v>1648</v>
      </c>
      <c r="M307" s="165" t="s">
        <v>1649</v>
      </c>
      <c r="N307" s="165" t="s">
        <v>1648</v>
      </c>
      <c r="O307" s="165" t="s">
        <v>1648</v>
      </c>
      <c r="P307" s="165" t="s">
        <v>1648</v>
      </c>
      <c r="Q307" s="165" t="s">
        <v>1648</v>
      </c>
    </row>
    <row r="308" spans="1:17" ht="13.5" thickBot="1" x14ac:dyDescent="0.25">
      <c r="A308" s="165" t="s">
        <v>72</v>
      </c>
      <c r="B308" s="168" t="s">
        <v>71</v>
      </c>
      <c r="C308" s="165" t="s">
        <v>39</v>
      </c>
      <c r="D308" s="166">
        <v>50</v>
      </c>
      <c r="E308" s="166">
        <v>35</v>
      </c>
      <c r="F308" s="165" t="s">
        <v>1648</v>
      </c>
      <c r="G308" s="167">
        <v>45500</v>
      </c>
      <c r="H308" s="165" t="s">
        <v>1748</v>
      </c>
      <c r="I308" s="165" t="s">
        <v>1648</v>
      </c>
      <c r="J308" s="165" t="s">
        <v>1748</v>
      </c>
      <c r="K308" s="165" t="s">
        <v>1648</v>
      </c>
      <c r="L308" s="165" t="s">
        <v>1648</v>
      </c>
      <c r="M308" s="165" t="s">
        <v>1648</v>
      </c>
      <c r="N308" s="165" t="s">
        <v>1649</v>
      </c>
      <c r="O308" s="165" t="s">
        <v>1648</v>
      </c>
      <c r="P308" s="165" t="s">
        <v>1648</v>
      </c>
      <c r="Q308" s="165" t="s">
        <v>1649</v>
      </c>
    </row>
    <row r="309" spans="1:17" ht="13.5" thickBot="1" x14ac:dyDescent="0.25">
      <c r="A309" s="165" t="s">
        <v>84</v>
      </c>
      <c r="B309" s="168" t="s">
        <v>83</v>
      </c>
      <c r="C309" s="165" t="s">
        <v>39</v>
      </c>
      <c r="D309" s="166">
        <v>29</v>
      </c>
      <c r="E309" s="166">
        <v>60</v>
      </c>
      <c r="F309" s="165" t="s">
        <v>1648</v>
      </c>
      <c r="G309" s="167">
        <v>40000</v>
      </c>
      <c r="H309" s="165" t="s">
        <v>1746</v>
      </c>
      <c r="I309" s="165" t="s">
        <v>1648</v>
      </c>
      <c r="J309" s="165" t="s">
        <v>1746</v>
      </c>
      <c r="K309" s="165" t="s">
        <v>1648</v>
      </c>
      <c r="L309" s="165" t="s">
        <v>1648</v>
      </c>
      <c r="M309" s="165" t="s">
        <v>1648</v>
      </c>
      <c r="N309" s="165" t="s">
        <v>1648</v>
      </c>
      <c r="O309" s="165" t="s">
        <v>1648</v>
      </c>
      <c r="P309" s="165" t="s">
        <v>1648</v>
      </c>
      <c r="Q309" s="165" t="s">
        <v>1648</v>
      </c>
    </row>
    <row r="310" spans="1:17" ht="13.5" thickBot="1" x14ac:dyDescent="0.25">
      <c r="A310" s="165" t="s">
        <v>108</v>
      </c>
      <c r="B310" s="168" t="s">
        <v>107</v>
      </c>
      <c r="C310" s="165" t="s">
        <v>39</v>
      </c>
      <c r="D310" s="166">
        <v>101</v>
      </c>
      <c r="E310" s="166">
        <v>76</v>
      </c>
      <c r="F310" s="165" t="s">
        <v>1648</v>
      </c>
      <c r="G310" s="167">
        <v>75700</v>
      </c>
      <c r="H310" s="165" t="s">
        <v>1765</v>
      </c>
      <c r="I310" s="165" t="s">
        <v>1648</v>
      </c>
      <c r="J310" s="165" t="s">
        <v>1765</v>
      </c>
      <c r="K310" s="165" t="s">
        <v>1648</v>
      </c>
      <c r="L310" s="165" t="s">
        <v>1648</v>
      </c>
      <c r="M310" s="165" t="s">
        <v>1648</v>
      </c>
      <c r="N310" s="165" t="s">
        <v>1649</v>
      </c>
      <c r="O310" s="165" t="s">
        <v>1648</v>
      </c>
      <c r="P310" s="165" t="s">
        <v>1649</v>
      </c>
      <c r="Q310" s="165" t="s">
        <v>1649</v>
      </c>
    </row>
    <row r="311" spans="1:17" ht="13.5" thickBot="1" x14ac:dyDescent="0.25">
      <c r="A311" s="165" t="s">
        <v>114</v>
      </c>
      <c r="B311" s="168" t="s">
        <v>113</v>
      </c>
      <c r="C311" s="165" t="s">
        <v>39</v>
      </c>
      <c r="D311" s="166">
        <v>51</v>
      </c>
      <c r="E311" s="166">
        <v>88</v>
      </c>
      <c r="F311" s="165" t="s">
        <v>1648</v>
      </c>
      <c r="G311" s="167">
        <v>23000</v>
      </c>
      <c r="H311" s="165" t="s">
        <v>1740</v>
      </c>
      <c r="I311" s="165" t="s">
        <v>1648</v>
      </c>
      <c r="J311" s="165" t="s">
        <v>1767</v>
      </c>
      <c r="K311" s="165" t="s">
        <v>1648</v>
      </c>
      <c r="L311" s="165" t="s">
        <v>1648</v>
      </c>
      <c r="M311" s="165" t="s">
        <v>1649</v>
      </c>
      <c r="N311" s="165" t="s">
        <v>1649</v>
      </c>
      <c r="O311" s="165" t="s">
        <v>1648</v>
      </c>
      <c r="P311" s="165" t="s">
        <v>1648</v>
      </c>
      <c r="Q311" s="165" t="s">
        <v>1648</v>
      </c>
    </row>
    <row r="312" spans="1:17" ht="13.5" thickBot="1" x14ac:dyDescent="0.25">
      <c r="A312" s="165" t="s">
        <v>124</v>
      </c>
      <c r="B312" s="168" t="s">
        <v>123</v>
      </c>
      <c r="C312" s="165" t="s">
        <v>39</v>
      </c>
      <c r="D312" s="166">
        <v>36</v>
      </c>
      <c r="E312" s="166">
        <v>32</v>
      </c>
      <c r="F312" s="165" t="s">
        <v>1648</v>
      </c>
      <c r="G312" s="167">
        <v>38783</v>
      </c>
      <c r="H312" s="165" t="s">
        <v>1734</v>
      </c>
      <c r="I312" s="165" t="s">
        <v>1648</v>
      </c>
      <c r="J312" s="165" t="s">
        <v>1734</v>
      </c>
      <c r="K312" s="165" t="s">
        <v>1648</v>
      </c>
      <c r="L312" s="165" t="s">
        <v>1648</v>
      </c>
      <c r="M312" s="165" t="s">
        <v>1648</v>
      </c>
      <c r="N312" s="165" t="s">
        <v>1648</v>
      </c>
      <c r="O312" s="165" t="s">
        <v>1648</v>
      </c>
      <c r="P312" s="165" t="s">
        <v>1648</v>
      </c>
      <c r="Q312" s="165" t="s">
        <v>1648</v>
      </c>
    </row>
    <row r="313" spans="1:17" ht="13.5" thickBot="1" x14ac:dyDescent="0.25">
      <c r="A313" s="165" t="s">
        <v>134</v>
      </c>
      <c r="B313" s="168" t="s">
        <v>133</v>
      </c>
      <c r="C313" s="165" t="s">
        <v>39</v>
      </c>
      <c r="D313" s="166">
        <v>25</v>
      </c>
      <c r="E313" s="166">
        <v>74</v>
      </c>
      <c r="F313" s="165" t="s">
        <v>1648</v>
      </c>
      <c r="G313" s="167">
        <v>2800</v>
      </c>
      <c r="H313" s="165" t="s">
        <v>1745</v>
      </c>
      <c r="I313" s="165" t="s">
        <v>1648</v>
      </c>
      <c r="J313" s="165" t="s">
        <v>1745</v>
      </c>
      <c r="K313" s="165" t="s">
        <v>1648</v>
      </c>
      <c r="L313" s="165" t="s">
        <v>1648</v>
      </c>
      <c r="M313" s="165" t="s">
        <v>1649</v>
      </c>
      <c r="N313" s="165" t="s">
        <v>1649</v>
      </c>
      <c r="O313" s="165" t="s">
        <v>1648</v>
      </c>
      <c r="P313" s="165" t="s">
        <v>1648</v>
      </c>
      <c r="Q313" s="165" t="s">
        <v>1648</v>
      </c>
    </row>
    <row r="314" spans="1:17" ht="13.5" thickBot="1" x14ac:dyDescent="0.25">
      <c r="A314" s="165" t="s">
        <v>150</v>
      </c>
      <c r="B314" s="168" t="s">
        <v>149</v>
      </c>
      <c r="C314" s="165" t="s">
        <v>39</v>
      </c>
      <c r="D314" s="166">
        <v>18</v>
      </c>
      <c r="E314" s="166">
        <v>49</v>
      </c>
      <c r="F314" s="165" t="s">
        <v>1648</v>
      </c>
      <c r="G314" s="167">
        <v>34243</v>
      </c>
      <c r="H314" s="165" t="s">
        <v>1737</v>
      </c>
      <c r="I314" s="165" t="s">
        <v>1648</v>
      </c>
      <c r="J314" s="165" t="s">
        <v>1737</v>
      </c>
      <c r="K314" s="165" t="s">
        <v>1648</v>
      </c>
      <c r="L314" s="165" t="s">
        <v>1648</v>
      </c>
      <c r="M314" s="165" t="s">
        <v>1649</v>
      </c>
      <c r="N314" s="165" t="s">
        <v>1649</v>
      </c>
      <c r="O314" s="165" t="s">
        <v>1648</v>
      </c>
      <c r="P314" s="165" t="s">
        <v>1648</v>
      </c>
      <c r="Q314" s="165" t="s">
        <v>1648</v>
      </c>
    </row>
    <row r="315" spans="1:17" ht="13.5" thickBot="1" x14ac:dyDescent="0.25">
      <c r="A315" s="165" t="s">
        <v>170</v>
      </c>
      <c r="B315" s="168" t="s">
        <v>169</v>
      </c>
      <c r="C315" s="165" t="s">
        <v>39</v>
      </c>
      <c r="D315" s="166">
        <v>18</v>
      </c>
      <c r="E315" s="166">
        <v>22</v>
      </c>
      <c r="F315" s="165" t="s">
        <v>1648</v>
      </c>
      <c r="G315" s="167">
        <v>60500</v>
      </c>
      <c r="H315" s="165" t="s">
        <v>1778</v>
      </c>
      <c r="I315" s="165" t="s">
        <v>1648</v>
      </c>
      <c r="J315" s="165" t="s">
        <v>1778</v>
      </c>
      <c r="K315" s="165" t="s">
        <v>1648</v>
      </c>
      <c r="L315" s="165" t="s">
        <v>1648</v>
      </c>
      <c r="M315" s="165" t="s">
        <v>1648</v>
      </c>
      <c r="N315" s="165" t="s">
        <v>1648</v>
      </c>
      <c r="O315" s="165" t="s">
        <v>1648</v>
      </c>
      <c r="P315" s="165" t="s">
        <v>1648</v>
      </c>
      <c r="Q315" s="165" t="s">
        <v>1648</v>
      </c>
    </row>
    <row r="316" spans="1:17" ht="13.5" thickBot="1" x14ac:dyDescent="0.25">
      <c r="A316" s="165" t="s">
        <v>174</v>
      </c>
      <c r="B316" s="168" t="s">
        <v>173</v>
      </c>
      <c r="C316" s="165" t="s">
        <v>39</v>
      </c>
      <c r="D316" s="166">
        <v>29</v>
      </c>
      <c r="E316" s="166">
        <v>42</v>
      </c>
      <c r="F316" s="165" t="s">
        <v>1648</v>
      </c>
      <c r="G316" s="167">
        <v>19000</v>
      </c>
      <c r="H316" s="165" t="s">
        <v>1779</v>
      </c>
      <c r="I316" s="165" t="s">
        <v>1648</v>
      </c>
      <c r="J316" s="165" t="s">
        <v>1779</v>
      </c>
      <c r="K316" s="165" t="s">
        <v>1648</v>
      </c>
      <c r="L316" s="165" t="s">
        <v>1648</v>
      </c>
      <c r="M316" s="165" t="s">
        <v>1648</v>
      </c>
      <c r="N316" s="165" t="s">
        <v>1649</v>
      </c>
      <c r="O316" s="165" t="s">
        <v>1648</v>
      </c>
      <c r="P316" s="165" t="s">
        <v>1648</v>
      </c>
      <c r="Q316" s="165" t="s">
        <v>1648</v>
      </c>
    </row>
    <row r="317" spans="1:17" ht="13.5" thickBot="1" x14ac:dyDescent="0.25">
      <c r="A317" s="165" t="s">
        <v>188</v>
      </c>
      <c r="B317" s="168" t="s">
        <v>187</v>
      </c>
      <c r="C317" s="165" t="s">
        <v>39</v>
      </c>
      <c r="D317" s="166">
        <v>26</v>
      </c>
      <c r="E317" s="166">
        <v>47</v>
      </c>
      <c r="F317" s="165" t="s">
        <v>1648</v>
      </c>
      <c r="G317" s="167">
        <v>55000</v>
      </c>
      <c r="H317" s="165" t="s">
        <v>1746</v>
      </c>
      <c r="I317" s="165" t="s">
        <v>1648</v>
      </c>
      <c r="J317" s="165" t="s">
        <v>1746</v>
      </c>
      <c r="K317" s="165" t="s">
        <v>1648</v>
      </c>
      <c r="L317" s="165" t="s">
        <v>1648</v>
      </c>
      <c r="M317" s="165" t="s">
        <v>1648</v>
      </c>
      <c r="N317" s="165" t="s">
        <v>1648</v>
      </c>
      <c r="O317" s="165" t="s">
        <v>1648</v>
      </c>
      <c r="P317" s="165" t="s">
        <v>1649</v>
      </c>
      <c r="Q317" s="165" t="s">
        <v>1648</v>
      </c>
    </row>
    <row r="318" spans="1:17" ht="13.5" thickBot="1" x14ac:dyDescent="0.25">
      <c r="A318" s="165" t="s">
        <v>190</v>
      </c>
      <c r="B318" s="168" t="s">
        <v>189</v>
      </c>
      <c r="C318" s="165" t="s">
        <v>39</v>
      </c>
      <c r="D318" s="166">
        <v>14</v>
      </c>
      <c r="E318" s="166">
        <v>46</v>
      </c>
      <c r="F318" s="165" t="s">
        <v>1648</v>
      </c>
      <c r="G318" s="167">
        <v>16000</v>
      </c>
      <c r="H318" s="165" t="s">
        <v>1784</v>
      </c>
      <c r="I318" s="165" t="s">
        <v>1648</v>
      </c>
      <c r="J318" s="165" t="s">
        <v>1784</v>
      </c>
      <c r="K318" s="165" t="s">
        <v>1648</v>
      </c>
      <c r="L318" s="165" t="s">
        <v>1648</v>
      </c>
      <c r="M318" s="165" t="s">
        <v>1649</v>
      </c>
      <c r="N318" s="165" t="s">
        <v>1648</v>
      </c>
      <c r="O318" s="165" t="s">
        <v>1648</v>
      </c>
      <c r="P318" s="165" t="s">
        <v>1648</v>
      </c>
      <c r="Q318" s="165" t="s">
        <v>1648</v>
      </c>
    </row>
    <row r="319" spans="1:17" ht="13.5" thickBot="1" x14ac:dyDescent="0.25">
      <c r="A319" s="165" t="s">
        <v>200</v>
      </c>
      <c r="B319" s="168" t="s">
        <v>199</v>
      </c>
      <c r="C319" s="165" t="s">
        <v>39</v>
      </c>
      <c r="D319" s="166">
        <v>25</v>
      </c>
      <c r="E319" s="166">
        <v>21</v>
      </c>
      <c r="F319" s="165" t="s">
        <v>1648</v>
      </c>
      <c r="G319" s="167">
        <v>25766</v>
      </c>
      <c r="H319" s="165" t="s">
        <v>1788</v>
      </c>
      <c r="I319" s="165" t="s">
        <v>1648</v>
      </c>
      <c r="J319" s="165" t="s">
        <v>1788</v>
      </c>
      <c r="K319" s="165" t="s">
        <v>1648</v>
      </c>
      <c r="L319" s="165" t="s">
        <v>1648</v>
      </c>
      <c r="M319" s="165" t="s">
        <v>1648</v>
      </c>
      <c r="N319" s="165" t="s">
        <v>1648</v>
      </c>
      <c r="O319" s="165" t="s">
        <v>1648</v>
      </c>
      <c r="P319" s="165" t="s">
        <v>1648</v>
      </c>
      <c r="Q319" s="165" t="s">
        <v>1648</v>
      </c>
    </row>
    <row r="320" spans="1:17" ht="13.5" thickBot="1" x14ac:dyDescent="0.25">
      <c r="A320" s="165" t="s">
        <v>218</v>
      </c>
      <c r="B320" s="168" t="s">
        <v>217</v>
      </c>
      <c r="C320" s="165" t="s">
        <v>39</v>
      </c>
      <c r="D320" s="166">
        <v>18</v>
      </c>
      <c r="E320" s="166">
        <v>32</v>
      </c>
      <c r="F320" s="165" t="s">
        <v>1648</v>
      </c>
      <c r="G320" s="167">
        <v>36758</v>
      </c>
      <c r="H320" s="165" t="s">
        <v>1737</v>
      </c>
      <c r="I320" s="165" t="s">
        <v>1648</v>
      </c>
      <c r="J320" s="165" t="s">
        <v>1737</v>
      </c>
      <c r="K320" s="165" t="s">
        <v>1648</v>
      </c>
      <c r="L320" s="165" t="s">
        <v>1648</v>
      </c>
      <c r="M320" s="165" t="s">
        <v>1648</v>
      </c>
      <c r="N320" s="165" t="s">
        <v>1648</v>
      </c>
      <c r="O320" s="165" t="s">
        <v>1648</v>
      </c>
      <c r="P320" s="165" t="s">
        <v>1648</v>
      </c>
      <c r="Q320" s="165" t="s">
        <v>1649</v>
      </c>
    </row>
    <row r="321" spans="1:17" ht="13.5" thickBot="1" x14ac:dyDescent="0.25">
      <c r="A321" s="165" t="s">
        <v>228</v>
      </c>
      <c r="B321" s="168" t="s">
        <v>227</v>
      </c>
      <c r="C321" s="165" t="s">
        <v>39</v>
      </c>
      <c r="D321" s="166">
        <v>21</v>
      </c>
      <c r="E321" s="166">
        <v>37</v>
      </c>
      <c r="F321" s="165" t="s">
        <v>1648</v>
      </c>
      <c r="G321" s="167">
        <v>21053</v>
      </c>
      <c r="H321" s="165" t="s">
        <v>1792</v>
      </c>
      <c r="I321" s="165" t="s">
        <v>1648</v>
      </c>
      <c r="J321" s="165" t="s">
        <v>1792</v>
      </c>
      <c r="K321" s="165" t="s">
        <v>1648</v>
      </c>
      <c r="L321" s="165" t="s">
        <v>1648</v>
      </c>
      <c r="M321" s="165" t="s">
        <v>1649</v>
      </c>
      <c r="N321" s="165" t="s">
        <v>1648</v>
      </c>
      <c r="O321" s="165" t="s">
        <v>1648</v>
      </c>
      <c r="P321" s="165" t="s">
        <v>1648</v>
      </c>
      <c r="Q321" s="165" t="s">
        <v>1648</v>
      </c>
    </row>
    <row r="322" spans="1:17" ht="13.5" thickBot="1" x14ac:dyDescent="0.25">
      <c r="A322" s="165" t="s">
        <v>240</v>
      </c>
      <c r="B322" s="168" t="s">
        <v>239</v>
      </c>
      <c r="C322" s="165" t="s">
        <v>39</v>
      </c>
      <c r="D322" s="166">
        <v>20</v>
      </c>
      <c r="E322" s="166">
        <v>34</v>
      </c>
      <c r="F322" s="165" t="s">
        <v>1648</v>
      </c>
      <c r="G322" s="167">
        <v>58000</v>
      </c>
      <c r="H322" s="165" t="s">
        <v>1765</v>
      </c>
      <c r="I322" s="165" t="s">
        <v>1648</v>
      </c>
      <c r="J322" s="165" t="s">
        <v>1797</v>
      </c>
      <c r="K322" s="165" t="s">
        <v>1648</v>
      </c>
      <c r="L322" s="165" t="s">
        <v>1648</v>
      </c>
      <c r="M322" s="165" t="s">
        <v>1648</v>
      </c>
      <c r="N322" s="165" t="s">
        <v>1649</v>
      </c>
      <c r="O322" s="165" t="s">
        <v>1648</v>
      </c>
      <c r="P322" s="165" t="s">
        <v>1648</v>
      </c>
      <c r="Q322" s="165" t="s">
        <v>1648</v>
      </c>
    </row>
    <row r="323" spans="1:17" ht="13.5" thickBot="1" x14ac:dyDescent="0.25">
      <c r="A323" s="165" t="s">
        <v>242</v>
      </c>
      <c r="B323" s="168" t="s">
        <v>241</v>
      </c>
      <c r="C323" s="165" t="s">
        <v>39</v>
      </c>
      <c r="D323" s="166">
        <v>8</v>
      </c>
      <c r="E323" s="166">
        <v>14</v>
      </c>
      <c r="F323" s="165" t="s">
        <v>1648</v>
      </c>
      <c r="G323" s="167">
        <v>60000</v>
      </c>
      <c r="H323" s="165" t="s">
        <v>1776</v>
      </c>
      <c r="I323" s="165" t="s">
        <v>1648</v>
      </c>
      <c r="J323" s="165" t="s">
        <v>1776</v>
      </c>
      <c r="K323" s="165" t="s">
        <v>1648</v>
      </c>
      <c r="L323" s="165" t="s">
        <v>1648</v>
      </c>
      <c r="M323" s="165" t="s">
        <v>1649</v>
      </c>
      <c r="N323" s="165" t="s">
        <v>1648</v>
      </c>
      <c r="O323" s="165" t="s">
        <v>1648</v>
      </c>
      <c r="P323" s="165" t="s">
        <v>1648</v>
      </c>
      <c r="Q323" s="165" t="s">
        <v>1648</v>
      </c>
    </row>
    <row r="324" spans="1:17" ht="13.5" thickBot="1" x14ac:dyDescent="0.25">
      <c r="A324" s="165" t="s">
        <v>300</v>
      </c>
      <c r="B324" s="168" t="s">
        <v>299</v>
      </c>
      <c r="C324" s="165" t="s">
        <v>39</v>
      </c>
      <c r="D324" s="166">
        <v>9</v>
      </c>
      <c r="E324" s="166">
        <v>15</v>
      </c>
      <c r="F324" s="165" t="s">
        <v>1648</v>
      </c>
      <c r="G324" s="167">
        <v>30621</v>
      </c>
      <c r="H324" s="165" t="s">
        <v>1788</v>
      </c>
      <c r="I324" s="165" t="s">
        <v>1648</v>
      </c>
      <c r="J324" s="165" t="s">
        <v>1788</v>
      </c>
      <c r="K324" s="165" t="s">
        <v>1648</v>
      </c>
      <c r="L324" s="165" t="s">
        <v>1648</v>
      </c>
      <c r="M324" s="165" t="s">
        <v>1649</v>
      </c>
      <c r="N324" s="165" t="s">
        <v>1648</v>
      </c>
      <c r="O324" s="165" t="s">
        <v>1648</v>
      </c>
      <c r="P324" s="165" t="s">
        <v>1648</v>
      </c>
      <c r="Q324" s="165" t="s">
        <v>1648</v>
      </c>
    </row>
    <row r="325" spans="1:17" ht="13.5" thickBot="1" x14ac:dyDescent="0.25">
      <c r="A325" s="165" t="s">
        <v>308</v>
      </c>
      <c r="B325" s="168" t="s">
        <v>307</v>
      </c>
      <c r="C325" s="165" t="s">
        <v>39</v>
      </c>
      <c r="D325" s="166">
        <v>36</v>
      </c>
      <c r="E325" s="166">
        <v>25</v>
      </c>
      <c r="F325" s="165" t="s">
        <v>1648</v>
      </c>
      <c r="G325" s="167">
        <v>39889</v>
      </c>
      <c r="H325" s="165" t="s">
        <v>1809</v>
      </c>
      <c r="I325" s="165" t="s">
        <v>1648</v>
      </c>
      <c r="J325" s="165" t="s">
        <v>1809</v>
      </c>
      <c r="K325" s="165" t="s">
        <v>1648</v>
      </c>
      <c r="L325" s="165" t="s">
        <v>1648</v>
      </c>
      <c r="M325" s="165" t="s">
        <v>1649</v>
      </c>
      <c r="N325" s="165" t="s">
        <v>1648</v>
      </c>
      <c r="O325" s="165" t="s">
        <v>1648</v>
      </c>
      <c r="P325" s="165" t="s">
        <v>1649</v>
      </c>
      <c r="Q325" s="165" t="s">
        <v>1649</v>
      </c>
    </row>
    <row r="326" spans="1:17" ht="13.5" thickBot="1" x14ac:dyDescent="0.25">
      <c r="A326" s="165" t="s">
        <v>328</v>
      </c>
      <c r="B326" s="168" t="s">
        <v>327</v>
      </c>
      <c r="C326" s="165" t="s">
        <v>39</v>
      </c>
      <c r="D326" s="166">
        <v>29</v>
      </c>
      <c r="E326" s="166">
        <v>79</v>
      </c>
      <c r="F326" s="165" t="s">
        <v>1648</v>
      </c>
      <c r="G326" s="167">
        <v>18000</v>
      </c>
      <c r="H326" s="165" t="s">
        <v>1819</v>
      </c>
      <c r="I326" s="165" t="s">
        <v>1648</v>
      </c>
      <c r="J326" s="165" t="s">
        <v>1819</v>
      </c>
      <c r="K326" s="165" t="s">
        <v>1648</v>
      </c>
      <c r="L326" s="165" t="s">
        <v>1648</v>
      </c>
      <c r="M326" s="165" t="s">
        <v>1649</v>
      </c>
      <c r="N326" s="165" t="s">
        <v>1648</v>
      </c>
      <c r="O326" s="165" t="s">
        <v>1648</v>
      </c>
      <c r="P326" s="165" t="s">
        <v>1648</v>
      </c>
      <c r="Q326" s="165" t="s">
        <v>1648</v>
      </c>
    </row>
    <row r="327" spans="1:17" ht="13.5" thickBot="1" x14ac:dyDescent="0.25">
      <c r="A327" s="165" t="s">
        <v>386</v>
      </c>
      <c r="B327" s="168" t="s">
        <v>385</v>
      </c>
      <c r="C327" s="165" t="s">
        <v>39</v>
      </c>
      <c r="D327" s="166">
        <v>23</v>
      </c>
      <c r="E327" s="166">
        <v>63</v>
      </c>
      <c r="F327" s="165" t="s">
        <v>1648</v>
      </c>
      <c r="G327" s="167">
        <v>27000</v>
      </c>
      <c r="H327" s="165" t="s">
        <v>1836</v>
      </c>
      <c r="I327" s="165" t="s">
        <v>1648</v>
      </c>
      <c r="J327" s="165" t="s">
        <v>1837</v>
      </c>
      <c r="K327" s="165" t="s">
        <v>1648</v>
      </c>
      <c r="L327" s="165" t="s">
        <v>1648</v>
      </c>
      <c r="M327" s="165" t="s">
        <v>1649</v>
      </c>
      <c r="N327" s="165" t="s">
        <v>1648</v>
      </c>
      <c r="O327" s="165" t="s">
        <v>1648</v>
      </c>
      <c r="P327" s="165" t="s">
        <v>1648</v>
      </c>
      <c r="Q327" s="165" t="s">
        <v>1648</v>
      </c>
    </row>
    <row r="328" spans="1:17" ht="13.5" thickBot="1" x14ac:dyDescent="0.25">
      <c r="A328" s="165" t="s">
        <v>431</v>
      </c>
      <c r="B328" s="168" t="s">
        <v>430</v>
      </c>
      <c r="C328" s="165" t="s">
        <v>39</v>
      </c>
      <c r="D328" s="166">
        <v>18</v>
      </c>
      <c r="E328" s="166">
        <v>31</v>
      </c>
      <c r="F328" s="165" t="s">
        <v>1648</v>
      </c>
      <c r="G328" s="167">
        <v>50000</v>
      </c>
      <c r="H328" s="165" t="s">
        <v>1851</v>
      </c>
      <c r="I328" s="165" t="s">
        <v>1648</v>
      </c>
      <c r="J328" s="165" t="s">
        <v>1851</v>
      </c>
      <c r="K328" s="165" t="s">
        <v>1648</v>
      </c>
      <c r="L328" s="165" t="s">
        <v>1648</v>
      </c>
      <c r="M328" s="165" t="s">
        <v>1649</v>
      </c>
      <c r="N328" s="165" t="s">
        <v>1649</v>
      </c>
      <c r="O328" s="165" t="s">
        <v>1648</v>
      </c>
      <c r="P328" s="165" t="s">
        <v>1649</v>
      </c>
      <c r="Q328" s="165" t="s">
        <v>1649</v>
      </c>
    </row>
    <row r="329" spans="1:17" ht="13.5" thickBot="1" x14ac:dyDescent="0.25">
      <c r="A329" s="165" t="s">
        <v>437</v>
      </c>
      <c r="B329" s="168" t="s">
        <v>436</v>
      </c>
      <c r="C329" s="165" t="s">
        <v>39</v>
      </c>
      <c r="D329" s="166">
        <v>6</v>
      </c>
      <c r="E329" s="166">
        <v>1</v>
      </c>
      <c r="F329" s="165" t="s">
        <v>1648</v>
      </c>
      <c r="G329" s="167">
        <v>24264</v>
      </c>
      <c r="H329" s="165" t="s">
        <v>1852</v>
      </c>
      <c r="I329" s="165" t="s">
        <v>1648</v>
      </c>
      <c r="J329" s="165" t="s">
        <v>1853</v>
      </c>
      <c r="K329" s="165" t="s">
        <v>1648</v>
      </c>
      <c r="L329" s="165" t="s">
        <v>1648</v>
      </c>
      <c r="M329" s="165" t="s">
        <v>1649</v>
      </c>
      <c r="N329" s="165" t="s">
        <v>1648</v>
      </c>
      <c r="O329" s="165" t="s">
        <v>1648</v>
      </c>
      <c r="P329" s="165" t="s">
        <v>1648</v>
      </c>
      <c r="Q329" s="165" t="s">
        <v>1648</v>
      </c>
    </row>
    <row r="330" spans="1:17" ht="13.5" thickBot="1" x14ac:dyDescent="0.25">
      <c r="A330" s="165" t="s">
        <v>448</v>
      </c>
      <c r="B330" s="168" t="s">
        <v>447</v>
      </c>
      <c r="C330" s="165" t="s">
        <v>39</v>
      </c>
      <c r="D330" s="166">
        <v>37</v>
      </c>
      <c r="E330" s="166">
        <v>52</v>
      </c>
      <c r="F330" s="165" t="s">
        <v>1648</v>
      </c>
      <c r="G330" s="167">
        <v>24000</v>
      </c>
      <c r="H330" s="165" t="s">
        <v>1812</v>
      </c>
      <c r="I330" s="165" t="s">
        <v>1648</v>
      </c>
      <c r="J330" s="165" t="s">
        <v>1812</v>
      </c>
      <c r="K330" s="165" t="s">
        <v>1648</v>
      </c>
      <c r="L330" s="165" t="s">
        <v>1648</v>
      </c>
      <c r="M330" s="165" t="s">
        <v>1648</v>
      </c>
      <c r="N330" s="165" t="s">
        <v>1648</v>
      </c>
      <c r="O330" s="165" t="s">
        <v>1648</v>
      </c>
      <c r="P330" s="165" t="s">
        <v>1648</v>
      </c>
      <c r="Q330" s="165" t="s">
        <v>1648</v>
      </c>
    </row>
    <row r="331" spans="1:17" ht="13.5" thickBot="1" x14ac:dyDescent="0.25">
      <c r="A331" s="165" t="s">
        <v>464</v>
      </c>
      <c r="B331" s="168" t="s">
        <v>463</v>
      </c>
      <c r="C331" s="165" t="s">
        <v>39</v>
      </c>
      <c r="D331" s="166">
        <v>12</v>
      </c>
      <c r="E331" s="166">
        <v>22</v>
      </c>
      <c r="F331" s="165" t="s">
        <v>1648</v>
      </c>
      <c r="G331" s="167">
        <v>49504</v>
      </c>
      <c r="H331" s="165" t="s">
        <v>1761</v>
      </c>
      <c r="I331" s="165" t="s">
        <v>1648</v>
      </c>
      <c r="J331" s="165" t="s">
        <v>1856</v>
      </c>
      <c r="K331" s="165" t="s">
        <v>1648</v>
      </c>
      <c r="L331" s="165" t="s">
        <v>1648</v>
      </c>
      <c r="M331" s="165" t="s">
        <v>1648</v>
      </c>
      <c r="N331" s="165" t="s">
        <v>1648</v>
      </c>
      <c r="O331" s="165" t="s">
        <v>1648</v>
      </c>
      <c r="P331" s="165" t="s">
        <v>1648</v>
      </c>
      <c r="Q331" s="165" t="s">
        <v>1649</v>
      </c>
    </row>
    <row r="332" spans="1:17" ht="13.5" thickBot="1" x14ac:dyDescent="0.25">
      <c r="A332" s="165" t="s">
        <v>484</v>
      </c>
      <c r="B332" s="168" t="s">
        <v>483</v>
      </c>
      <c r="C332" s="165" t="s">
        <v>39</v>
      </c>
      <c r="D332" s="166">
        <v>31</v>
      </c>
      <c r="E332" s="166">
        <v>44</v>
      </c>
      <c r="F332" s="165" t="s">
        <v>1648</v>
      </c>
      <c r="G332" s="167">
        <v>5306</v>
      </c>
      <c r="H332" s="165" t="s">
        <v>1745</v>
      </c>
      <c r="I332" s="165" t="s">
        <v>1648</v>
      </c>
      <c r="J332" s="165" t="s">
        <v>1745</v>
      </c>
      <c r="K332" s="165" t="s">
        <v>1648</v>
      </c>
      <c r="L332" s="165" t="s">
        <v>1648</v>
      </c>
      <c r="M332" s="165" t="s">
        <v>1649</v>
      </c>
      <c r="N332" s="165" t="s">
        <v>1649</v>
      </c>
      <c r="O332" s="165" t="s">
        <v>1648</v>
      </c>
      <c r="P332" s="165" t="s">
        <v>1648</v>
      </c>
      <c r="Q332" s="165" t="s">
        <v>1648</v>
      </c>
    </row>
    <row r="333" spans="1:17" ht="13.5" thickBot="1" x14ac:dyDescent="0.25">
      <c r="A333" s="165" t="s">
        <v>538</v>
      </c>
      <c r="B333" s="168" t="s">
        <v>537</v>
      </c>
      <c r="C333" s="165" t="s">
        <v>39</v>
      </c>
      <c r="D333" s="166">
        <v>31</v>
      </c>
      <c r="E333" s="166">
        <v>23</v>
      </c>
      <c r="F333" s="165" t="s">
        <v>1648</v>
      </c>
      <c r="G333" s="167">
        <v>44214</v>
      </c>
      <c r="H333" s="165" t="s">
        <v>1734</v>
      </c>
      <c r="I333" s="165" t="s">
        <v>1648</v>
      </c>
      <c r="J333" s="165" t="s">
        <v>1734</v>
      </c>
      <c r="K333" s="165" t="s">
        <v>1648</v>
      </c>
      <c r="L333" s="165" t="s">
        <v>1648</v>
      </c>
      <c r="M333" s="165" t="s">
        <v>1648</v>
      </c>
      <c r="N333" s="165" t="s">
        <v>1648</v>
      </c>
      <c r="O333" s="165" t="s">
        <v>1648</v>
      </c>
      <c r="P333" s="165" t="s">
        <v>1648</v>
      </c>
      <c r="Q333" s="165" t="s">
        <v>1648</v>
      </c>
    </row>
    <row r="334" spans="1:17" ht="13.5" thickBot="1" x14ac:dyDescent="0.25">
      <c r="A334" s="165" t="s">
        <v>544</v>
      </c>
      <c r="B334" s="168" t="s">
        <v>543</v>
      </c>
      <c r="C334" s="165" t="s">
        <v>39</v>
      </c>
      <c r="D334" s="166">
        <v>12</v>
      </c>
      <c r="E334" s="166">
        <v>20</v>
      </c>
      <c r="F334" s="165" t="s">
        <v>1648</v>
      </c>
      <c r="G334" s="167">
        <v>35000</v>
      </c>
      <c r="H334" s="165" t="s">
        <v>1732</v>
      </c>
      <c r="I334" s="165" t="s">
        <v>1648</v>
      </c>
      <c r="J334" s="165" t="s">
        <v>1856</v>
      </c>
      <c r="K334" s="165" t="s">
        <v>1648</v>
      </c>
      <c r="L334" s="165" t="s">
        <v>1648</v>
      </c>
      <c r="M334" s="165" t="s">
        <v>1648</v>
      </c>
      <c r="N334" s="165" t="s">
        <v>1648</v>
      </c>
      <c r="O334" s="165" t="s">
        <v>1648</v>
      </c>
      <c r="P334" s="165" t="s">
        <v>1648</v>
      </c>
      <c r="Q334" s="165" t="s">
        <v>1648</v>
      </c>
    </row>
    <row r="335" spans="1:17" ht="13.5" thickBot="1" x14ac:dyDescent="0.25">
      <c r="A335" s="165" t="s">
        <v>550</v>
      </c>
      <c r="B335" s="168" t="s">
        <v>549</v>
      </c>
      <c r="C335" s="165" t="s">
        <v>39</v>
      </c>
      <c r="D335" s="166">
        <v>41</v>
      </c>
      <c r="E335" s="166">
        <v>54</v>
      </c>
      <c r="F335" s="165" t="s">
        <v>1648</v>
      </c>
      <c r="G335" s="167">
        <v>32000</v>
      </c>
      <c r="H335" s="165" t="s">
        <v>1874</v>
      </c>
      <c r="I335" s="165" t="s">
        <v>1648</v>
      </c>
      <c r="J335" s="165" t="s">
        <v>1874</v>
      </c>
      <c r="K335" s="165" t="s">
        <v>1648</v>
      </c>
      <c r="L335" s="165" t="s">
        <v>1648</v>
      </c>
      <c r="M335" s="165" t="s">
        <v>1648</v>
      </c>
      <c r="N335" s="165" t="s">
        <v>1649</v>
      </c>
      <c r="O335" s="165" t="s">
        <v>1648</v>
      </c>
      <c r="P335" s="165" t="s">
        <v>1648</v>
      </c>
      <c r="Q335" s="165" t="s">
        <v>1648</v>
      </c>
    </row>
    <row r="336" spans="1:17" ht="13.5" thickBot="1" x14ac:dyDescent="0.25">
      <c r="A336" s="165" t="s">
        <v>578</v>
      </c>
      <c r="B336" s="168" t="s">
        <v>577</v>
      </c>
      <c r="C336" s="165" t="s">
        <v>39</v>
      </c>
      <c r="D336" s="166">
        <v>45</v>
      </c>
      <c r="E336" s="166">
        <v>48</v>
      </c>
      <c r="F336" s="165" t="s">
        <v>1648</v>
      </c>
      <c r="G336" s="167">
        <v>30090</v>
      </c>
      <c r="H336" s="165" t="s">
        <v>1728</v>
      </c>
      <c r="I336" s="165" t="s">
        <v>1648</v>
      </c>
      <c r="J336" s="165" t="s">
        <v>1728</v>
      </c>
      <c r="K336" s="165" t="s">
        <v>1648</v>
      </c>
      <c r="L336" s="165" t="s">
        <v>1648</v>
      </c>
      <c r="M336" s="165" t="s">
        <v>1648</v>
      </c>
      <c r="N336" s="165" t="s">
        <v>1648</v>
      </c>
      <c r="O336" s="165" t="s">
        <v>1648</v>
      </c>
      <c r="P336" s="165" t="s">
        <v>1648</v>
      </c>
      <c r="Q336" s="165" t="s">
        <v>1648</v>
      </c>
    </row>
    <row r="337" spans="1:17" ht="13.5" thickBot="1" x14ac:dyDescent="0.25">
      <c r="A337" s="165" t="s">
        <v>588</v>
      </c>
      <c r="B337" s="168" t="s">
        <v>587</v>
      </c>
      <c r="C337" s="165" t="s">
        <v>39</v>
      </c>
      <c r="D337" s="166">
        <v>57</v>
      </c>
      <c r="E337" s="166">
        <v>95</v>
      </c>
      <c r="F337" s="165" t="s">
        <v>1648</v>
      </c>
      <c r="G337" s="167">
        <v>88000</v>
      </c>
      <c r="H337" s="165" t="s">
        <v>1878</v>
      </c>
      <c r="I337" s="165" t="s">
        <v>1648</v>
      </c>
      <c r="J337" s="165" t="s">
        <v>1878</v>
      </c>
      <c r="K337" s="165" t="s">
        <v>1648</v>
      </c>
      <c r="L337" s="165" t="s">
        <v>1648</v>
      </c>
      <c r="M337" s="165" t="s">
        <v>1648</v>
      </c>
      <c r="N337" s="165" t="s">
        <v>1649</v>
      </c>
      <c r="O337" s="165" t="s">
        <v>1648</v>
      </c>
      <c r="P337" s="165" t="s">
        <v>1648</v>
      </c>
      <c r="Q337" s="165" t="s">
        <v>1649</v>
      </c>
    </row>
    <row r="338" spans="1:17" ht="13.5" thickBot="1" x14ac:dyDescent="0.25">
      <c r="A338" s="165" t="s">
        <v>616</v>
      </c>
      <c r="B338" s="168" t="s">
        <v>615</v>
      </c>
      <c r="C338" s="165" t="s">
        <v>39</v>
      </c>
      <c r="D338" s="166">
        <v>25</v>
      </c>
      <c r="E338" s="166">
        <v>56</v>
      </c>
      <c r="F338" s="165" t="s">
        <v>1648</v>
      </c>
      <c r="G338" s="167">
        <v>37501</v>
      </c>
      <c r="H338" s="165" t="s">
        <v>1886</v>
      </c>
      <c r="I338" s="165" t="s">
        <v>1648</v>
      </c>
      <c r="J338" s="165" t="s">
        <v>1769</v>
      </c>
      <c r="K338" s="165" t="s">
        <v>1648</v>
      </c>
      <c r="L338" s="165" t="s">
        <v>1648</v>
      </c>
      <c r="M338" s="165" t="s">
        <v>1648</v>
      </c>
      <c r="N338" s="165" t="s">
        <v>1648</v>
      </c>
      <c r="O338" s="165" t="s">
        <v>1648</v>
      </c>
      <c r="P338" s="165" t="s">
        <v>1648</v>
      </c>
      <c r="Q338" s="165" t="s">
        <v>1648</v>
      </c>
    </row>
    <row r="339" spans="1:17" ht="13.5" thickBot="1" x14ac:dyDescent="0.25">
      <c r="A339" s="165" t="s">
        <v>640</v>
      </c>
      <c r="B339" s="168" t="s">
        <v>639</v>
      </c>
      <c r="C339" s="165" t="s">
        <v>39</v>
      </c>
      <c r="D339" s="166">
        <v>28</v>
      </c>
      <c r="E339" s="166">
        <v>34</v>
      </c>
      <c r="F339" s="165" t="s">
        <v>1648</v>
      </c>
      <c r="G339" s="167">
        <v>85000</v>
      </c>
      <c r="H339" s="165" t="s">
        <v>1776</v>
      </c>
      <c r="I339" s="165" t="s">
        <v>1648</v>
      </c>
      <c r="J339" s="165" t="s">
        <v>1776</v>
      </c>
      <c r="K339" s="165" t="s">
        <v>1648</v>
      </c>
      <c r="L339" s="165" t="s">
        <v>1648</v>
      </c>
      <c r="M339" s="165" t="s">
        <v>1648</v>
      </c>
      <c r="N339" s="165" t="s">
        <v>1648</v>
      </c>
      <c r="O339" s="165" t="s">
        <v>1648</v>
      </c>
      <c r="P339" s="165" t="s">
        <v>1648</v>
      </c>
      <c r="Q339" s="165" t="s">
        <v>1648</v>
      </c>
    </row>
    <row r="340" spans="1:17" ht="13.5" thickBot="1" x14ac:dyDescent="0.25">
      <c r="A340" s="165" t="s">
        <v>642</v>
      </c>
      <c r="B340" s="168" t="s">
        <v>641</v>
      </c>
      <c r="C340" s="165" t="s">
        <v>39</v>
      </c>
      <c r="D340" s="166">
        <v>11</v>
      </c>
      <c r="E340" s="166">
        <v>17</v>
      </c>
      <c r="F340" s="165" t="s">
        <v>1648</v>
      </c>
      <c r="G340" s="167">
        <v>27300</v>
      </c>
      <c r="H340" s="165" t="s">
        <v>1788</v>
      </c>
      <c r="I340" s="165" t="s">
        <v>1648</v>
      </c>
      <c r="J340" s="165" t="s">
        <v>1788</v>
      </c>
      <c r="K340" s="165" t="s">
        <v>1648</v>
      </c>
      <c r="L340" s="165" t="s">
        <v>1648</v>
      </c>
      <c r="M340" s="165" t="s">
        <v>1649</v>
      </c>
      <c r="N340" s="165" t="s">
        <v>1648</v>
      </c>
      <c r="O340" s="165" t="s">
        <v>1648</v>
      </c>
      <c r="P340" s="165" t="s">
        <v>1648</v>
      </c>
      <c r="Q340" s="165" t="s">
        <v>1648</v>
      </c>
    </row>
    <row r="341" spans="1:17" ht="13.5" thickBot="1" x14ac:dyDescent="0.25">
      <c r="A341" s="165" t="s">
        <v>646</v>
      </c>
      <c r="B341" s="168" t="s">
        <v>645</v>
      </c>
      <c r="C341" s="165" t="s">
        <v>39</v>
      </c>
      <c r="D341" s="166">
        <v>22</v>
      </c>
      <c r="E341" s="166">
        <v>25</v>
      </c>
      <c r="F341" s="165" t="s">
        <v>1648</v>
      </c>
      <c r="G341" s="167">
        <v>74859</v>
      </c>
      <c r="H341" s="165" t="s">
        <v>1737</v>
      </c>
      <c r="I341" s="165" t="s">
        <v>1648</v>
      </c>
      <c r="J341" s="165" t="s">
        <v>1773</v>
      </c>
      <c r="K341" s="165" t="s">
        <v>1648</v>
      </c>
      <c r="L341" s="165" t="s">
        <v>1648</v>
      </c>
      <c r="M341" s="165" t="s">
        <v>1649</v>
      </c>
      <c r="N341" s="165" t="s">
        <v>1648</v>
      </c>
      <c r="O341" s="165" t="s">
        <v>1648</v>
      </c>
      <c r="P341" s="165" t="s">
        <v>1648</v>
      </c>
      <c r="Q341" s="165" t="s">
        <v>1648</v>
      </c>
    </row>
    <row r="342" spans="1:17" ht="13.5" thickBot="1" x14ac:dyDescent="0.25">
      <c r="A342" s="165" t="s">
        <v>664</v>
      </c>
      <c r="B342" s="168" t="s">
        <v>663</v>
      </c>
      <c r="C342" s="165" t="s">
        <v>39</v>
      </c>
      <c r="D342" s="166">
        <v>22</v>
      </c>
      <c r="E342" s="166">
        <v>43</v>
      </c>
      <c r="F342" s="165" t="s">
        <v>1648</v>
      </c>
      <c r="G342" s="167">
        <v>34500</v>
      </c>
      <c r="H342" s="165" t="s">
        <v>1851</v>
      </c>
      <c r="I342" s="165" t="s">
        <v>1648</v>
      </c>
      <c r="J342" s="165" t="s">
        <v>1851</v>
      </c>
      <c r="K342" s="165" t="s">
        <v>1648</v>
      </c>
      <c r="L342" s="165" t="s">
        <v>1648</v>
      </c>
      <c r="M342" s="165" t="s">
        <v>1648</v>
      </c>
      <c r="N342" s="165" t="s">
        <v>1649</v>
      </c>
      <c r="O342" s="165" t="s">
        <v>1648</v>
      </c>
      <c r="P342" s="165" t="s">
        <v>1648</v>
      </c>
      <c r="Q342" s="165" t="s">
        <v>1648</v>
      </c>
    </row>
    <row r="343" spans="1:17" ht="13.5" thickBot="1" x14ac:dyDescent="0.25">
      <c r="A343" s="165" t="s">
        <v>688</v>
      </c>
      <c r="B343" s="168" t="s">
        <v>687</v>
      </c>
      <c r="C343" s="165" t="s">
        <v>39</v>
      </c>
      <c r="D343" s="166">
        <v>13</v>
      </c>
      <c r="E343" s="166">
        <v>22</v>
      </c>
      <c r="F343" s="165" t="s">
        <v>1648</v>
      </c>
      <c r="G343" s="167">
        <v>3900</v>
      </c>
      <c r="H343" s="165" t="s">
        <v>1745</v>
      </c>
      <c r="I343" s="165" t="s">
        <v>1648</v>
      </c>
      <c r="J343" s="165" t="s">
        <v>1745</v>
      </c>
      <c r="K343" s="165" t="s">
        <v>1648</v>
      </c>
      <c r="L343" s="165" t="s">
        <v>1648</v>
      </c>
      <c r="M343" s="165" t="s">
        <v>1649</v>
      </c>
      <c r="N343" s="165" t="s">
        <v>1648</v>
      </c>
      <c r="O343" s="165" t="s">
        <v>1648</v>
      </c>
      <c r="P343" s="165" t="s">
        <v>1648</v>
      </c>
      <c r="Q343" s="165" t="s">
        <v>1648</v>
      </c>
    </row>
    <row r="344" spans="1:17" ht="13.5" thickBot="1" x14ac:dyDescent="0.25">
      <c r="A344" s="165" t="s">
        <v>698</v>
      </c>
      <c r="B344" s="168" t="s">
        <v>697</v>
      </c>
      <c r="C344" s="165" t="s">
        <v>39</v>
      </c>
      <c r="D344" s="166">
        <v>8</v>
      </c>
      <c r="E344" s="166">
        <v>16</v>
      </c>
      <c r="F344" s="165" t="s">
        <v>1648</v>
      </c>
      <c r="G344" s="167">
        <v>30576</v>
      </c>
      <c r="H344" s="165" t="s">
        <v>1761</v>
      </c>
      <c r="I344" s="165" t="s">
        <v>1648</v>
      </c>
      <c r="J344" s="165" t="s">
        <v>1746</v>
      </c>
      <c r="K344" s="165" t="s">
        <v>1648</v>
      </c>
      <c r="L344" s="165" t="s">
        <v>1648</v>
      </c>
      <c r="M344" s="165" t="s">
        <v>1649</v>
      </c>
      <c r="N344" s="165" t="s">
        <v>1648</v>
      </c>
      <c r="O344" s="165" t="s">
        <v>1648</v>
      </c>
      <c r="P344" s="165" t="s">
        <v>1648</v>
      </c>
      <c r="Q344" s="165" t="s">
        <v>1648</v>
      </c>
    </row>
    <row r="345" spans="1:17" ht="13.5" thickBot="1" x14ac:dyDescent="0.25">
      <c r="A345" s="165" t="s">
        <v>716</v>
      </c>
      <c r="B345" s="168" t="s">
        <v>715</v>
      </c>
      <c r="C345" s="165" t="s">
        <v>39</v>
      </c>
      <c r="D345" s="166">
        <v>36</v>
      </c>
      <c r="E345" s="166">
        <v>96</v>
      </c>
      <c r="F345" s="165" t="s">
        <v>1648</v>
      </c>
      <c r="G345" s="167">
        <v>59000</v>
      </c>
      <c r="H345" s="165" t="s">
        <v>1737</v>
      </c>
      <c r="I345" s="165" t="s">
        <v>1648</v>
      </c>
      <c r="J345" s="165" t="s">
        <v>1737</v>
      </c>
      <c r="K345" s="165" t="s">
        <v>1648</v>
      </c>
      <c r="L345" s="165" t="s">
        <v>1648</v>
      </c>
      <c r="M345" s="165" t="s">
        <v>1649</v>
      </c>
      <c r="N345" s="165" t="s">
        <v>1648</v>
      </c>
      <c r="O345" s="165" t="s">
        <v>1648</v>
      </c>
      <c r="P345" s="165" t="s">
        <v>1648</v>
      </c>
      <c r="Q345" s="165" t="s">
        <v>1648</v>
      </c>
    </row>
    <row r="346" spans="1:17" ht="13.5" thickBot="1" x14ac:dyDescent="0.25">
      <c r="A346" s="165" t="s">
        <v>760</v>
      </c>
      <c r="B346" s="168" t="s">
        <v>759</v>
      </c>
      <c r="C346" s="165" t="s">
        <v>39</v>
      </c>
      <c r="D346" s="166">
        <v>29</v>
      </c>
      <c r="E346" s="166">
        <v>91</v>
      </c>
      <c r="F346" s="165" t="s">
        <v>1648</v>
      </c>
      <c r="G346" s="167">
        <v>9000</v>
      </c>
      <c r="H346" s="165" t="s">
        <v>1747</v>
      </c>
      <c r="I346" s="165" t="s">
        <v>1648</v>
      </c>
      <c r="J346" s="165" t="s">
        <v>1747</v>
      </c>
      <c r="K346" s="165" t="s">
        <v>1648</v>
      </c>
      <c r="L346" s="165" t="s">
        <v>1648</v>
      </c>
      <c r="M346" s="165" t="s">
        <v>1649</v>
      </c>
      <c r="N346" s="165" t="s">
        <v>1648</v>
      </c>
      <c r="O346" s="165" t="s">
        <v>1648</v>
      </c>
      <c r="P346" s="165" t="s">
        <v>1649</v>
      </c>
      <c r="Q346" s="165" t="s">
        <v>1648</v>
      </c>
    </row>
    <row r="347" spans="1:17" ht="13.5" thickBot="1" x14ac:dyDescent="0.25">
      <c r="A347" s="165" t="s">
        <v>800</v>
      </c>
      <c r="B347" s="168" t="s">
        <v>799</v>
      </c>
      <c r="C347" s="165" t="s">
        <v>39</v>
      </c>
      <c r="D347" s="166">
        <v>22</v>
      </c>
      <c r="E347" s="166">
        <v>21</v>
      </c>
      <c r="F347" s="165" t="s">
        <v>1648</v>
      </c>
      <c r="G347" s="167">
        <v>49000</v>
      </c>
      <c r="H347" s="165" t="s">
        <v>1788</v>
      </c>
      <c r="I347" s="165" t="s">
        <v>1648</v>
      </c>
      <c r="J347" s="165" t="s">
        <v>1788</v>
      </c>
      <c r="K347" s="165" t="s">
        <v>1648</v>
      </c>
      <c r="L347" s="165" t="s">
        <v>1648</v>
      </c>
      <c r="M347" s="165" t="s">
        <v>1648</v>
      </c>
      <c r="N347" s="165" t="s">
        <v>1648</v>
      </c>
      <c r="O347" s="165" t="s">
        <v>1648</v>
      </c>
      <c r="P347" s="165" t="s">
        <v>1648</v>
      </c>
      <c r="Q347" s="165" t="s">
        <v>1648</v>
      </c>
    </row>
    <row r="348" spans="1:17" ht="13.5" thickBot="1" x14ac:dyDescent="0.25">
      <c r="A348" s="165" t="s">
        <v>53</v>
      </c>
      <c r="B348" s="168" t="s">
        <v>52</v>
      </c>
      <c r="C348" s="165" t="s">
        <v>54</v>
      </c>
      <c r="D348" s="166">
        <v>161</v>
      </c>
      <c r="E348" s="166">
        <v>225</v>
      </c>
      <c r="F348" s="165" t="s">
        <v>1648</v>
      </c>
      <c r="G348" s="167">
        <v>10000</v>
      </c>
      <c r="H348" s="165" t="s">
        <v>1740</v>
      </c>
      <c r="I348" s="165" t="s">
        <v>1648</v>
      </c>
      <c r="J348" s="165" t="s">
        <v>1741</v>
      </c>
      <c r="K348" s="165" t="s">
        <v>1648</v>
      </c>
      <c r="L348" s="165" t="s">
        <v>1648</v>
      </c>
      <c r="M348" s="165" t="s">
        <v>1648</v>
      </c>
      <c r="N348" s="165" t="s">
        <v>1649</v>
      </c>
      <c r="O348" s="165" t="s">
        <v>1648</v>
      </c>
      <c r="P348" s="165" t="s">
        <v>1648</v>
      </c>
      <c r="Q348" s="165" t="s">
        <v>1648</v>
      </c>
    </row>
    <row r="349" spans="1:17" ht="13.5" thickBot="1" x14ac:dyDescent="0.25">
      <c r="A349" s="165" t="s">
        <v>78</v>
      </c>
      <c r="B349" s="168" t="s">
        <v>77</v>
      </c>
      <c r="C349" s="165" t="s">
        <v>54</v>
      </c>
      <c r="D349" s="166">
        <v>84</v>
      </c>
      <c r="E349" s="166">
        <v>127</v>
      </c>
      <c r="F349" s="165" t="s">
        <v>1648</v>
      </c>
      <c r="G349" s="167">
        <v>88000</v>
      </c>
      <c r="H349" s="165" t="s">
        <v>1752</v>
      </c>
      <c r="I349" s="165" t="s">
        <v>1648</v>
      </c>
      <c r="J349" s="165" t="s">
        <v>1753</v>
      </c>
      <c r="K349" s="165" t="s">
        <v>1648</v>
      </c>
      <c r="L349" s="165" t="s">
        <v>1648</v>
      </c>
      <c r="M349" s="165" t="s">
        <v>1649</v>
      </c>
      <c r="N349" s="165" t="s">
        <v>1648</v>
      </c>
      <c r="O349" s="165" t="s">
        <v>1648</v>
      </c>
      <c r="P349" s="165" t="s">
        <v>1649</v>
      </c>
      <c r="Q349" s="165" t="s">
        <v>1648</v>
      </c>
    </row>
    <row r="350" spans="1:17" ht="13.5" thickBot="1" x14ac:dyDescent="0.25">
      <c r="A350" s="165" t="s">
        <v>140</v>
      </c>
      <c r="B350" s="168" t="s">
        <v>139</v>
      </c>
      <c r="C350" s="165" t="s">
        <v>54</v>
      </c>
      <c r="D350" s="166">
        <v>82</v>
      </c>
      <c r="E350" s="166">
        <v>94</v>
      </c>
      <c r="F350" s="165" t="s">
        <v>1648</v>
      </c>
      <c r="G350" s="167">
        <v>66822</v>
      </c>
      <c r="H350" s="165" t="s">
        <v>1733</v>
      </c>
      <c r="I350" s="165" t="s">
        <v>1648</v>
      </c>
      <c r="J350" s="165" t="s">
        <v>1733</v>
      </c>
      <c r="K350" s="165" t="s">
        <v>1648</v>
      </c>
      <c r="L350" s="165" t="s">
        <v>1648</v>
      </c>
      <c r="M350" s="165" t="s">
        <v>1648</v>
      </c>
      <c r="N350" s="165" t="s">
        <v>1649</v>
      </c>
      <c r="O350" s="165" t="s">
        <v>1648</v>
      </c>
      <c r="P350" s="165" t="s">
        <v>1649</v>
      </c>
      <c r="Q350" s="165" t="s">
        <v>1648</v>
      </c>
    </row>
    <row r="351" spans="1:17" ht="13.5" thickBot="1" x14ac:dyDescent="0.25">
      <c r="A351" s="165" t="s">
        <v>142</v>
      </c>
      <c r="B351" s="168" t="s">
        <v>141</v>
      </c>
      <c r="C351" s="165" t="s">
        <v>54</v>
      </c>
      <c r="D351" s="166">
        <v>168</v>
      </c>
      <c r="E351" s="166">
        <v>355</v>
      </c>
      <c r="F351" s="165" t="s">
        <v>1648</v>
      </c>
      <c r="G351" s="167">
        <v>95000</v>
      </c>
      <c r="H351" s="165" t="s">
        <v>1772</v>
      </c>
      <c r="I351" s="165" t="s">
        <v>1648</v>
      </c>
      <c r="J351" s="165" t="s">
        <v>1772</v>
      </c>
      <c r="K351" s="165" t="s">
        <v>1648</v>
      </c>
      <c r="L351" s="165" t="s">
        <v>1648</v>
      </c>
      <c r="M351" s="165" t="s">
        <v>1648</v>
      </c>
      <c r="N351" s="165" t="s">
        <v>1649</v>
      </c>
      <c r="O351" s="165" t="s">
        <v>1648</v>
      </c>
      <c r="P351" s="165" t="s">
        <v>1648</v>
      </c>
      <c r="Q351" s="165" t="s">
        <v>1648</v>
      </c>
    </row>
    <row r="352" spans="1:17" ht="13.5" thickBot="1" x14ac:dyDescent="0.25">
      <c r="A352" s="165" t="s">
        <v>172</v>
      </c>
      <c r="B352" s="168" t="s">
        <v>171</v>
      </c>
      <c r="C352" s="165" t="s">
        <v>54</v>
      </c>
      <c r="D352" s="166">
        <v>37</v>
      </c>
      <c r="E352" s="166">
        <v>120</v>
      </c>
      <c r="F352" s="165" t="s">
        <v>1648</v>
      </c>
      <c r="G352" s="167">
        <v>34634</v>
      </c>
      <c r="H352" s="165" t="s">
        <v>1746</v>
      </c>
      <c r="I352" s="165" t="s">
        <v>1648</v>
      </c>
      <c r="J352" s="165" t="s">
        <v>1746</v>
      </c>
      <c r="K352" s="165" t="s">
        <v>1648</v>
      </c>
      <c r="L352" s="165" t="s">
        <v>1648</v>
      </c>
      <c r="M352" s="165" t="s">
        <v>1648</v>
      </c>
      <c r="N352" s="165" t="s">
        <v>1648</v>
      </c>
      <c r="O352" s="165" t="s">
        <v>1648</v>
      </c>
      <c r="P352" s="165" t="s">
        <v>1648</v>
      </c>
      <c r="Q352" s="165" t="s">
        <v>1648</v>
      </c>
    </row>
    <row r="353" spans="1:17" ht="13.5" thickBot="1" x14ac:dyDescent="0.25">
      <c r="A353" s="165" t="s">
        <v>178</v>
      </c>
      <c r="B353" s="168" t="s">
        <v>177</v>
      </c>
      <c r="C353" s="165" t="s">
        <v>54</v>
      </c>
      <c r="D353" s="166">
        <v>90</v>
      </c>
      <c r="E353" s="166">
        <v>100</v>
      </c>
      <c r="F353" s="165" t="s">
        <v>1648</v>
      </c>
      <c r="G353" s="167">
        <v>55000</v>
      </c>
      <c r="H353" s="165" t="s">
        <v>1781</v>
      </c>
      <c r="I353" s="165" t="s">
        <v>1648</v>
      </c>
      <c r="J353" s="165" t="s">
        <v>1781</v>
      </c>
      <c r="K353" s="165" t="s">
        <v>1648</v>
      </c>
      <c r="L353" s="165" t="s">
        <v>1648</v>
      </c>
      <c r="M353" s="165" t="s">
        <v>1648</v>
      </c>
      <c r="N353" s="165" t="s">
        <v>1649</v>
      </c>
      <c r="O353" s="165" t="s">
        <v>1648</v>
      </c>
      <c r="P353" s="165" t="s">
        <v>1648</v>
      </c>
      <c r="Q353" s="165" t="s">
        <v>1648</v>
      </c>
    </row>
    <row r="354" spans="1:17" ht="13.5" thickBot="1" x14ac:dyDescent="0.25">
      <c r="A354" s="165" t="s">
        <v>212</v>
      </c>
      <c r="B354" s="168" t="s">
        <v>211</v>
      </c>
      <c r="C354" s="165" t="s">
        <v>54</v>
      </c>
      <c r="D354" s="166">
        <v>36</v>
      </c>
      <c r="E354" s="166">
        <v>66</v>
      </c>
      <c r="F354" s="165" t="s">
        <v>1648</v>
      </c>
      <c r="G354" s="167">
        <v>47234</v>
      </c>
      <c r="H354" s="165" t="s">
        <v>1761</v>
      </c>
      <c r="I354" s="165" t="s">
        <v>1648</v>
      </c>
      <c r="J354" s="165" t="s">
        <v>1761</v>
      </c>
      <c r="K354" s="165" t="s">
        <v>1648</v>
      </c>
      <c r="L354" s="165" t="s">
        <v>1648</v>
      </c>
      <c r="M354" s="165" t="s">
        <v>1649</v>
      </c>
      <c r="N354" s="165" t="s">
        <v>1648</v>
      </c>
      <c r="O354" s="165" t="s">
        <v>1648</v>
      </c>
      <c r="P354" s="165" t="s">
        <v>1648</v>
      </c>
      <c r="Q354" s="165" t="s">
        <v>1648</v>
      </c>
    </row>
    <row r="355" spans="1:17" ht="13.5" thickBot="1" x14ac:dyDescent="0.25">
      <c r="A355" s="165" t="s">
        <v>214</v>
      </c>
      <c r="B355" s="168" t="s">
        <v>213</v>
      </c>
      <c r="C355" s="165" t="s">
        <v>54</v>
      </c>
      <c r="D355" s="166">
        <v>44</v>
      </c>
      <c r="E355" s="166">
        <v>74</v>
      </c>
      <c r="F355" s="165" t="s">
        <v>1648</v>
      </c>
      <c r="G355" s="167">
        <v>88321</v>
      </c>
      <c r="H355" s="165" t="s">
        <v>1737</v>
      </c>
      <c r="I355" s="165" t="s">
        <v>1648</v>
      </c>
      <c r="J355" s="165" t="s">
        <v>1737</v>
      </c>
      <c r="K355" s="165" t="s">
        <v>1648</v>
      </c>
      <c r="L355" s="165" t="s">
        <v>1648</v>
      </c>
      <c r="M355" s="165" t="s">
        <v>1648</v>
      </c>
      <c r="N355" s="165" t="s">
        <v>1649</v>
      </c>
      <c r="O355" s="165" t="s">
        <v>1648</v>
      </c>
      <c r="P355" s="165" t="s">
        <v>1648</v>
      </c>
      <c r="Q355" s="165" t="s">
        <v>1648</v>
      </c>
    </row>
    <row r="356" spans="1:17" ht="13.5" thickBot="1" x14ac:dyDescent="0.25">
      <c r="A356" s="165" t="s">
        <v>222</v>
      </c>
      <c r="B356" s="168" t="s">
        <v>221</v>
      </c>
      <c r="C356" s="165" t="s">
        <v>54</v>
      </c>
      <c r="D356" s="166">
        <v>331</v>
      </c>
      <c r="E356" s="166">
        <v>1148</v>
      </c>
      <c r="F356" s="165" t="s">
        <v>1648</v>
      </c>
      <c r="G356" s="167">
        <v>183691</v>
      </c>
      <c r="H356" s="165" t="s">
        <v>1792</v>
      </c>
      <c r="I356" s="165" t="s">
        <v>1648</v>
      </c>
      <c r="J356" s="165" t="s">
        <v>1792</v>
      </c>
      <c r="K356" s="165" t="s">
        <v>1648</v>
      </c>
      <c r="L356" s="165" t="s">
        <v>1648</v>
      </c>
      <c r="M356" s="165" t="s">
        <v>1648</v>
      </c>
      <c r="N356" s="165" t="s">
        <v>1649</v>
      </c>
      <c r="O356" s="165" t="s">
        <v>1648</v>
      </c>
      <c r="P356" s="165" t="s">
        <v>1648</v>
      </c>
      <c r="Q356" s="165" t="s">
        <v>1648</v>
      </c>
    </row>
    <row r="357" spans="1:17" ht="13.5" thickBot="1" x14ac:dyDescent="0.25">
      <c r="A357" s="165" t="s">
        <v>266</v>
      </c>
      <c r="B357" s="168" t="s">
        <v>265</v>
      </c>
      <c r="C357" s="165" t="s">
        <v>54</v>
      </c>
      <c r="D357" s="166">
        <v>93</v>
      </c>
      <c r="E357" s="166">
        <v>129</v>
      </c>
      <c r="F357" s="165" t="s">
        <v>1648</v>
      </c>
      <c r="G357" s="167">
        <v>49793</v>
      </c>
      <c r="H357" s="165" t="s">
        <v>1802</v>
      </c>
      <c r="I357" s="165" t="s">
        <v>1648</v>
      </c>
      <c r="J357" s="165" t="s">
        <v>1802</v>
      </c>
      <c r="K357" s="165" t="s">
        <v>1648</v>
      </c>
      <c r="L357" s="165" t="s">
        <v>1648</v>
      </c>
      <c r="M357" s="165" t="s">
        <v>1648</v>
      </c>
      <c r="N357" s="165" t="s">
        <v>1649</v>
      </c>
      <c r="O357" s="165" t="s">
        <v>1648</v>
      </c>
      <c r="P357" s="165" t="s">
        <v>1649</v>
      </c>
      <c r="Q357" s="165" t="s">
        <v>1648</v>
      </c>
    </row>
    <row r="358" spans="1:17" ht="13.5" thickBot="1" x14ac:dyDescent="0.25">
      <c r="A358" s="165" t="s">
        <v>278</v>
      </c>
      <c r="B358" s="168" t="s">
        <v>277</v>
      </c>
      <c r="C358" s="165" t="s">
        <v>54</v>
      </c>
      <c r="D358" s="166">
        <v>71</v>
      </c>
      <c r="E358" s="166">
        <v>108</v>
      </c>
      <c r="F358" s="165" t="s">
        <v>1648</v>
      </c>
      <c r="G358" s="167">
        <v>25420</v>
      </c>
      <c r="H358" s="165" t="s">
        <v>1733</v>
      </c>
      <c r="I358" s="165" t="s">
        <v>1648</v>
      </c>
      <c r="J358" s="165" t="s">
        <v>1733</v>
      </c>
      <c r="K358" s="165" t="s">
        <v>1649</v>
      </c>
      <c r="L358" s="165" t="s">
        <v>1648</v>
      </c>
      <c r="M358" s="165" t="s">
        <v>1649</v>
      </c>
      <c r="N358" s="165" t="s">
        <v>1649</v>
      </c>
      <c r="O358" s="165" t="s">
        <v>1648</v>
      </c>
      <c r="P358" s="165" t="s">
        <v>1648</v>
      </c>
      <c r="Q358" s="165" t="s">
        <v>1649</v>
      </c>
    </row>
    <row r="359" spans="1:17" ht="13.5" thickBot="1" x14ac:dyDescent="0.25">
      <c r="A359" s="165" t="s">
        <v>304</v>
      </c>
      <c r="B359" s="168" t="s">
        <v>303</v>
      </c>
      <c r="C359" s="165" t="s">
        <v>54</v>
      </c>
      <c r="D359" s="166">
        <v>85</v>
      </c>
      <c r="E359" s="166">
        <v>306</v>
      </c>
      <c r="F359" s="165" t="s">
        <v>1648</v>
      </c>
      <c r="G359" s="167">
        <v>70897</v>
      </c>
      <c r="H359" s="165" t="s">
        <v>1765</v>
      </c>
      <c r="I359" s="165" t="s">
        <v>1648</v>
      </c>
      <c r="J359" s="165" t="s">
        <v>1765</v>
      </c>
      <c r="K359" s="165" t="s">
        <v>1648</v>
      </c>
      <c r="L359" s="165" t="s">
        <v>1648</v>
      </c>
      <c r="M359" s="165" t="s">
        <v>1648</v>
      </c>
      <c r="N359" s="165" t="s">
        <v>1649</v>
      </c>
      <c r="O359" s="165" t="s">
        <v>1648</v>
      </c>
      <c r="P359" s="165" t="s">
        <v>1648</v>
      </c>
      <c r="Q359" s="165" t="s">
        <v>1648</v>
      </c>
    </row>
    <row r="360" spans="1:17" ht="13.5" thickBot="1" x14ac:dyDescent="0.25">
      <c r="A360" s="165" t="s">
        <v>318</v>
      </c>
      <c r="B360" s="168" t="s">
        <v>317</v>
      </c>
      <c r="C360" s="165" t="s">
        <v>54</v>
      </c>
      <c r="D360" s="166">
        <v>39</v>
      </c>
      <c r="E360" s="166">
        <v>25</v>
      </c>
      <c r="F360" s="165" t="s">
        <v>1648</v>
      </c>
      <c r="G360" s="167">
        <v>58500</v>
      </c>
      <c r="H360" s="165" t="s">
        <v>1768</v>
      </c>
      <c r="I360" s="165" t="s">
        <v>1648</v>
      </c>
      <c r="J360" s="165" t="s">
        <v>1768</v>
      </c>
      <c r="K360" s="165" t="s">
        <v>1648</v>
      </c>
      <c r="L360" s="165" t="s">
        <v>1648</v>
      </c>
      <c r="M360" s="165" t="s">
        <v>1648</v>
      </c>
      <c r="N360" s="165" t="s">
        <v>1649</v>
      </c>
      <c r="O360" s="165" t="s">
        <v>1648</v>
      </c>
      <c r="P360" s="165" t="s">
        <v>1648</v>
      </c>
      <c r="Q360" s="165" t="s">
        <v>1649</v>
      </c>
    </row>
    <row r="361" spans="1:17" ht="13.5" thickBot="1" x14ac:dyDescent="0.25">
      <c r="A361" s="165" t="s">
        <v>322</v>
      </c>
      <c r="B361" s="168" t="s">
        <v>321</v>
      </c>
      <c r="C361" s="165" t="s">
        <v>54</v>
      </c>
      <c r="D361" s="166">
        <v>140</v>
      </c>
      <c r="E361" s="166">
        <v>190</v>
      </c>
      <c r="F361" s="165" t="s">
        <v>1648</v>
      </c>
      <c r="G361" s="167">
        <v>0</v>
      </c>
      <c r="H361" s="165" t="s">
        <v>1740</v>
      </c>
      <c r="I361" s="165" t="s">
        <v>1648</v>
      </c>
      <c r="J361" s="165" t="s">
        <v>1740</v>
      </c>
      <c r="K361" s="165" t="s">
        <v>1648</v>
      </c>
      <c r="L361" s="165" t="s">
        <v>1648</v>
      </c>
      <c r="M361" s="165" t="s">
        <v>1648</v>
      </c>
      <c r="N361" s="165" t="s">
        <v>1649</v>
      </c>
      <c r="O361" s="165" t="s">
        <v>1648</v>
      </c>
      <c r="P361" s="165" t="s">
        <v>1648</v>
      </c>
      <c r="Q361" s="165" t="s">
        <v>1648</v>
      </c>
    </row>
    <row r="362" spans="1:17" ht="13.5" thickBot="1" x14ac:dyDescent="0.25">
      <c r="A362" s="165" t="s">
        <v>326</v>
      </c>
      <c r="B362" s="168" t="s">
        <v>325</v>
      </c>
      <c r="C362" s="165" t="s">
        <v>54</v>
      </c>
      <c r="D362" s="166">
        <v>68</v>
      </c>
      <c r="E362" s="166">
        <v>76</v>
      </c>
      <c r="F362" s="165" t="s">
        <v>1648</v>
      </c>
      <c r="G362" s="167">
        <v>98000</v>
      </c>
      <c r="H362" s="165" t="s">
        <v>1809</v>
      </c>
      <c r="I362" s="165" t="s">
        <v>1648</v>
      </c>
      <c r="J362" s="165" t="s">
        <v>1809</v>
      </c>
      <c r="K362" s="165" t="s">
        <v>1648</v>
      </c>
      <c r="L362" s="165" t="s">
        <v>1648</v>
      </c>
      <c r="M362" s="165" t="s">
        <v>1648</v>
      </c>
      <c r="N362" s="165" t="s">
        <v>1648</v>
      </c>
      <c r="O362" s="165" t="s">
        <v>1648</v>
      </c>
      <c r="P362" s="165" t="s">
        <v>1648</v>
      </c>
      <c r="Q362" s="165" t="s">
        <v>1648</v>
      </c>
    </row>
    <row r="363" spans="1:17" ht="13.5" thickBot="1" x14ac:dyDescent="0.25">
      <c r="A363" s="165" t="s">
        <v>352</v>
      </c>
      <c r="B363" s="168" t="s">
        <v>351</v>
      </c>
      <c r="C363" s="165" t="s">
        <v>54</v>
      </c>
      <c r="D363" s="166">
        <v>59</v>
      </c>
      <c r="E363" s="166">
        <v>105</v>
      </c>
      <c r="F363" s="165" t="s">
        <v>1648</v>
      </c>
      <c r="G363" s="167">
        <v>43753</v>
      </c>
      <c r="H363" s="165" t="s">
        <v>1803</v>
      </c>
      <c r="I363" s="165" t="s">
        <v>1648</v>
      </c>
      <c r="J363" s="165" t="s">
        <v>1828</v>
      </c>
      <c r="K363" s="165" t="s">
        <v>1648</v>
      </c>
      <c r="L363" s="165" t="s">
        <v>1648</v>
      </c>
      <c r="M363" s="165" t="s">
        <v>1648</v>
      </c>
      <c r="N363" s="165" t="s">
        <v>1648</v>
      </c>
      <c r="O363" s="165" t="s">
        <v>1648</v>
      </c>
      <c r="P363" s="165" t="s">
        <v>1648</v>
      </c>
      <c r="Q363" s="165" t="s">
        <v>1648</v>
      </c>
    </row>
    <row r="364" spans="1:17" ht="13.5" thickBot="1" x14ac:dyDescent="0.25">
      <c r="A364" s="165" t="s">
        <v>374</v>
      </c>
      <c r="B364" s="168" t="s">
        <v>373</v>
      </c>
      <c r="C364" s="165" t="s">
        <v>54</v>
      </c>
      <c r="D364" s="166">
        <v>34</v>
      </c>
      <c r="E364" s="166">
        <v>65</v>
      </c>
      <c r="F364" s="165" t="s">
        <v>1648</v>
      </c>
      <c r="G364" s="167">
        <v>88576</v>
      </c>
      <c r="H364" s="165" t="s">
        <v>1809</v>
      </c>
      <c r="I364" s="165" t="s">
        <v>1648</v>
      </c>
      <c r="J364" s="165" t="s">
        <v>1809</v>
      </c>
      <c r="K364" s="165" t="s">
        <v>1648</v>
      </c>
      <c r="L364" s="165" t="s">
        <v>1648</v>
      </c>
      <c r="M364" s="165" t="s">
        <v>1648</v>
      </c>
      <c r="N364" s="165" t="s">
        <v>1649</v>
      </c>
      <c r="O364" s="165" t="s">
        <v>1648</v>
      </c>
      <c r="P364" s="165" t="s">
        <v>1648</v>
      </c>
      <c r="Q364" s="165" t="s">
        <v>1648</v>
      </c>
    </row>
    <row r="365" spans="1:17" ht="13.5" thickBot="1" x14ac:dyDescent="0.25">
      <c r="A365" s="165" t="s">
        <v>394</v>
      </c>
      <c r="B365" s="168" t="s">
        <v>393</v>
      </c>
      <c r="C365" s="165" t="s">
        <v>54</v>
      </c>
      <c r="D365" s="166">
        <v>127</v>
      </c>
      <c r="E365" s="166">
        <v>189</v>
      </c>
      <c r="F365" s="165" t="s">
        <v>1648</v>
      </c>
      <c r="G365" s="167">
        <v>65000</v>
      </c>
      <c r="H365" s="165" t="s">
        <v>1737</v>
      </c>
      <c r="I365" s="165" t="s">
        <v>1648</v>
      </c>
      <c r="J365" s="165" t="s">
        <v>1737</v>
      </c>
      <c r="K365" s="165" t="s">
        <v>1648</v>
      </c>
      <c r="L365" s="165" t="s">
        <v>1648</v>
      </c>
      <c r="M365" s="165" t="s">
        <v>1648</v>
      </c>
      <c r="N365" s="165" t="s">
        <v>1648</v>
      </c>
      <c r="O365" s="165" t="s">
        <v>1648</v>
      </c>
      <c r="P365" s="165" t="s">
        <v>1648</v>
      </c>
      <c r="Q365" s="165" t="s">
        <v>1648</v>
      </c>
    </row>
    <row r="366" spans="1:17" ht="13.5" thickBot="1" x14ac:dyDescent="0.25">
      <c r="A366" s="165" t="s">
        <v>402</v>
      </c>
      <c r="B366" s="168" t="s">
        <v>401</v>
      </c>
      <c r="C366" s="165" t="s">
        <v>54</v>
      </c>
      <c r="D366" s="166">
        <v>126</v>
      </c>
      <c r="E366" s="166">
        <v>119</v>
      </c>
      <c r="F366" s="165" t="s">
        <v>1648</v>
      </c>
      <c r="G366" s="167">
        <v>205269</v>
      </c>
      <c r="H366" s="165" t="s">
        <v>1776</v>
      </c>
      <c r="I366" s="165" t="s">
        <v>1648</v>
      </c>
      <c r="J366" s="165" t="s">
        <v>1776</v>
      </c>
      <c r="K366" s="165" t="s">
        <v>1648</v>
      </c>
      <c r="L366" s="165" t="s">
        <v>1648</v>
      </c>
      <c r="M366" s="165" t="s">
        <v>1648</v>
      </c>
      <c r="N366" s="165" t="s">
        <v>1649</v>
      </c>
      <c r="O366" s="165" t="s">
        <v>1648</v>
      </c>
      <c r="P366" s="165" t="s">
        <v>1648</v>
      </c>
      <c r="Q366" s="165" t="s">
        <v>1649</v>
      </c>
    </row>
    <row r="367" spans="1:17" ht="13.5" thickBot="1" x14ac:dyDescent="0.25">
      <c r="A367" s="165" t="s">
        <v>406</v>
      </c>
      <c r="B367" s="168" t="s">
        <v>405</v>
      </c>
      <c r="C367" s="165" t="s">
        <v>54</v>
      </c>
      <c r="D367" s="166">
        <v>260</v>
      </c>
      <c r="E367" s="166">
        <v>270</v>
      </c>
      <c r="F367" s="165" t="s">
        <v>1648</v>
      </c>
      <c r="G367" s="167">
        <v>195618</v>
      </c>
      <c r="H367" s="165" t="s">
        <v>1737</v>
      </c>
      <c r="I367" s="165" t="s">
        <v>1648</v>
      </c>
      <c r="J367" s="165" t="s">
        <v>1737</v>
      </c>
      <c r="K367" s="165" t="s">
        <v>1648</v>
      </c>
      <c r="L367" s="165" t="s">
        <v>1648</v>
      </c>
      <c r="M367" s="165" t="s">
        <v>1648</v>
      </c>
      <c r="N367" s="165" t="s">
        <v>1649</v>
      </c>
      <c r="O367" s="165" t="s">
        <v>1648</v>
      </c>
      <c r="P367" s="165" t="s">
        <v>1648</v>
      </c>
      <c r="Q367" s="165" t="s">
        <v>1648</v>
      </c>
    </row>
    <row r="368" spans="1:17" ht="13.5" thickBot="1" x14ac:dyDescent="0.25">
      <c r="A368" s="165" t="s">
        <v>417</v>
      </c>
      <c r="B368" s="168" t="s">
        <v>416</v>
      </c>
      <c r="C368" s="165" t="s">
        <v>54</v>
      </c>
      <c r="D368" s="166">
        <v>26</v>
      </c>
      <c r="E368" s="166">
        <v>38</v>
      </c>
      <c r="F368" s="165" t="s">
        <v>1648</v>
      </c>
      <c r="G368" s="167">
        <v>26640</v>
      </c>
      <c r="H368" s="165" t="s">
        <v>1737</v>
      </c>
      <c r="I368" s="165" t="s">
        <v>1648</v>
      </c>
      <c r="J368" s="165" t="s">
        <v>1737</v>
      </c>
      <c r="K368" s="165" t="s">
        <v>1648</v>
      </c>
      <c r="L368" s="165" t="s">
        <v>1648</v>
      </c>
      <c r="M368" s="165" t="s">
        <v>1648</v>
      </c>
      <c r="N368" s="165" t="s">
        <v>1648</v>
      </c>
      <c r="O368" s="165" t="s">
        <v>1648</v>
      </c>
      <c r="P368" s="165" t="s">
        <v>1648</v>
      </c>
      <c r="Q368" s="165" t="s">
        <v>1648</v>
      </c>
    </row>
    <row r="369" spans="1:17" ht="13.5" thickBot="1" x14ac:dyDescent="0.25">
      <c r="A369" s="165" t="s">
        <v>443</v>
      </c>
      <c r="B369" s="168" t="s">
        <v>442</v>
      </c>
      <c r="C369" s="165" t="s">
        <v>54</v>
      </c>
      <c r="D369" s="166">
        <v>60</v>
      </c>
      <c r="E369" s="166">
        <v>57</v>
      </c>
      <c r="F369" s="165" t="s">
        <v>1648</v>
      </c>
      <c r="G369" s="167">
        <v>79500</v>
      </c>
      <c r="H369" s="165" t="s">
        <v>1764</v>
      </c>
      <c r="I369" s="165" t="s">
        <v>1648</v>
      </c>
      <c r="J369" s="165" t="s">
        <v>1764</v>
      </c>
      <c r="K369" s="165" t="s">
        <v>1648</v>
      </c>
      <c r="L369" s="165" t="s">
        <v>1648</v>
      </c>
      <c r="M369" s="165" t="s">
        <v>1648</v>
      </c>
      <c r="N369" s="165" t="s">
        <v>1648</v>
      </c>
      <c r="O369" s="165" t="s">
        <v>1648</v>
      </c>
      <c r="P369" s="165" t="s">
        <v>1648</v>
      </c>
      <c r="Q369" s="165" t="s">
        <v>1648</v>
      </c>
    </row>
    <row r="370" spans="1:17" ht="13.5" thickBot="1" x14ac:dyDescent="0.25">
      <c r="A370" s="165" t="s">
        <v>508</v>
      </c>
      <c r="B370" s="168" t="s">
        <v>507</v>
      </c>
      <c r="C370" s="165" t="s">
        <v>54</v>
      </c>
      <c r="D370" s="166">
        <v>131</v>
      </c>
      <c r="E370" s="166">
        <v>222</v>
      </c>
      <c r="F370" s="165" t="s">
        <v>1648</v>
      </c>
      <c r="G370" s="167">
        <v>87000</v>
      </c>
      <c r="H370" s="165" t="s">
        <v>1832</v>
      </c>
      <c r="I370" s="165" t="s">
        <v>1648</v>
      </c>
      <c r="J370" s="165" t="s">
        <v>1832</v>
      </c>
      <c r="K370" s="165" t="s">
        <v>1648</v>
      </c>
      <c r="L370" s="165" t="s">
        <v>1648</v>
      </c>
      <c r="M370" s="165" t="s">
        <v>1648</v>
      </c>
      <c r="N370" s="165" t="s">
        <v>1649</v>
      </c>
      <c r="O370" s="165" t="s">
        <v>1648</v>
      </c>
      <c r="P370" s="165" t="s">
        <v>1649</v>
      </c>
      <c r="Q370" s="165" t="s">
        <v>1648</v>
      </c>
    </row>
    <row r="371" spans="1:17" ht="13.5" thickBot="1" x14ac:dyDescent="0.25">
      <c r="A371" s="165" t="s">
        <v>522</v>
      </c>
      <c r="B371" s="168" t="s">
        <v>521</v>
      </c>
      <c r="C371" s="165" t="s">
        <v>54</v>
      </c>
      <c r="D371" s="166">
        <v>53</v>
      </c>
      <c r="E371" s="166">
        <v>113</v>
      </c>
      <c r="F371" s="165" t="s">
        <v>1648</v>
      </c>
      <c r="G371" s="167">
        <v>59834</v>
      </c>
      <c r="H371" s="165" t="s">
        <v>1869</v>
      </c>
      <c r="I371" s="165" t="s">
        <v>1648</v>
      </c>
      <c r="J371" s="165" t="s">
        <v>1869</v>
      </c>
      <c r="K371" s="165" t="s">
        <v>1648</v>
      </c>
      <c r="L371" s="165" t="s">
        <v>1648</v>
      </c>
      <c r="M371" s="165" t="s">
        <v>1648</v>
      </c>
      <c r="N371" s="165" t="s">
        <v>1648</v>
      </c>
      <c r="O371" s="165" t="s">
        <v>1648</v>
      </c>
      <c r="P371" s="165" t="s">
        <v>1648</v>
      </c>
      <c r="Q371" s="165" t="s">
        <v>1648</v>
      </c>
    </row>
    <row r="372" spans="1:17" ht="13.5" thickBot="1" x14ac:dyDescent="0.25">
      <c r="A372" s="165" t="s">
        <v>542</v>
      </c>
      <c r="B372" s="168" t="s">
        <v>541</v>
      </c>
      <c r="C372" s="165" t="s">
        <v>54</v>
      </c>
      <c r="D372" s="166">
        <v>72</v>
      </c>
      <c r="E372" s="166">
        <v>98</v>
      </c>
      <c r="F372" s="165" t="s">
        <v>1648</v>
      </c>
      <c r="G372" s="167">
        <v>63008</v>
      </c>
      <c r="H372" s="165" t="s">
        <v>1788</v>
      </c>
      <c r="I372" s="165" t="s">
        <v>1648</v>
      </c>
      <c r="J372" s="165" t="s">
        <v>1788</v>
      </c>
      <c r="K372" s="165" t="s">
        <v>1648</v>
      </c>
      <c r="L372" s="165" t="s">
        <v>1648</v>
      </c>
      <c r="M372" s="165" t="s">
        <v>1648</v>
      </c>
      <c r="N372" s="165" t="s">
        <v>1648</v>
      </c>
      <c r="O372" s="165" t="s">
        <v>1648</v>
      </c>
      <c r="P372" s="165" t="s">
        <v>1648</v>
      </c>
      <c r="Q372" s="165" t="s">
        <v>1649</v>
      </c>
    </row>
    <row r="373" spans="1:17" ht="13.5" thickBot="1" x14ac:dyDescent="0.25">
      <c r="A373" s="165" t="s">
        <v>590</v>
      </c>
      <c r="B373" s="168" t="s">
        <v>589</v>
      </c>
      <c r="C373" s="165" t="s">
        <v>54</v>
      </c>
      <c r="D373" s="166">
        <v>20</v>
      </c>
      <c r="E373" s="166">
        <v>60</v>
      </c>
      <c r="F373" s="165" t="s">
        <v>1648</v>
      </c>
      <c r="G373" s="167">
        <v>26292</v>
      </c>
      <c r="H373" s="165" t="s">
        <v>1746</v>
      </c>
      <c r="I373" s="165" t="s">
        <v>1648</v>
      </c>
      <c r="J373" s="165" t="s">
        <v>1879</v>
      </c>
      <c r="K373" s="165" t="s">
        <v>1648</v>
      </c>
      <c r="L373" s="165" t="s">
        <v>1648</v>
      </c>
      <c r="M373" s="165" t="s">
        <v>1649</v>
      </c>
      <c r="N373" s="165" t="s">
        <v>1648</v>
      </c>
      <c r="O373" s="165" t="s">
        <v>1648</v>
      </c>
      <c r="P373" s="165" t="s">
        <v>1648</v>
      </c>
      <c r="Q373" s="165" t="s">
        <v>1648</v>
      </c>
    </row>
    <row r="374" spans="1:17" ht="13.5" thickBot="1" x14ac:dyDescent="0.25">
      <c r="A374" s="165" t="s">
        <v>594</v>
      </c>
      <c r="B374" s="168" t="s">
        <v>593</v>
      </c>
      <c r="C374" s="165" t="s">
        <v>54</v>
      </c>
      <c r="D374" s="166">
        <v>50</v>
      </c>
      <c r="E374" s="166">
        <v>76</v>
      </c>
      <c r="F374" s="165" t="s">
        <v>1648</v>
      </c>
      <c r="G374" s="167">
        <v>59000</v>
      </c>
      <c r="H374" s="165" t="s">
        <v>1737</v>
      </c>
      <c r="I374" s="165" t="s">
        <v>1648</v>
      </c>
      <c r="J374" s="165" t="s">
        <v>1737</v>
      </c>
      <c r="K374" s="165" t="s">
        <v>1648</v>
      </c>
      <c r="L374" s="165" t="s">
        <v>1648</v>
      </c>
      <c r="M374" s="165" t="s">
        <v>1648</v>
      </c>
      <c r="N374" s="165" t="s">
        <v>1649</v>
      </c>
      <c r="O374" s="165" t="s">
        <v>1648</v>
      </c>
      <c r="P374" s="165" t="s">
        <v>1649</v>
      </c>
      <c r="Q374" s="165" t="s">
        <v>1648</v>
      </c>
    </row>
    <row r="375" spans="1:17" ht="13.5" thickBot="1" x14ac:dyDescent="0.25">
      <c r="A375" s="165" t="s">
        <v>604</v>
      </c>
      <c r="B375" s="168" t="s">
        <v>603</v>
      </c>
      <c r="C375" s="165" t="s">
        <v>54</v>
      </c>
      <c r="D375" s="166">
        <v>64</v>
      </c>
      <c r="E375" s="166">
        <v>103</v>
      </c>
      <c r="F375" s="165" t="s">
        <v>1648</v>
      </c>
      <c r="G375" s="167">
        <v>78023</v>
      </c>
      <c r="H375" s="165" t="s">
        <v>1839</v>
      </c>
      <c r="I375" s="165" t="s">
        <v>1648</v>
      </c>
      <c r="J375" s="165" t="s">
        <v>1839</v>
      </c>
      <c r="K375" s="165" t="s">
        <v>1648</v>
      </c>
      <c r="L375" s="165" t="s">
        <v>1648</v>
      </c>
      <c r="M375" s="165" t="s">
        <v>1648</v>
      </c>
      <c r="N375" s="165" t="s">
        <v>1648</v>
      </c>
      <c r="O375" s="165" t="s">
        <v>1648</v>
      </c>
      <c r="P375" s="165" t="s">
        <v>1648</v>
      </c>
      <c r="Q375" s="165" t="s">
        <v>1648</v>
      </c>
    </row>
    <row r="376" spans="1:17" ht="13.5" thickBot="1" x14ac:dyDescent="0.25">
      <c r="A376" s="165" t="s">
        <v>638</v>
      </c>
      <c r="B376" s="168" t="s">
        <v>637</v>
      </c>
      <c r="C376" s="165" t="s">
        <v>54</v>
      </c>
      <c r="D376" s="166">
        <v>78</v>
      </c>
      <c r="E376" s="166">
        <v>93</v>
      </c>
      <c r="F376" s="165" t="s">
        <v>1648</v>
      </c>
      <c r="G376" s="167">
        <v>35700</v>
      </c>
      <c r="H376" s="165" t="s">
        <v>1733</v>
      </c>
      <c r="I376" s="165" t="s">
        <v>1648</v>
      </c>
      <c r="J376" s="165" t="s">
        <v>1733</v>
      </c>
      <c r="K376" s="165" t="s">
        <v>1648</v>
      </c>
      <c r="L376" s="165" t="s">
        <v>1648</v>
      </c>
      <c r="M376" s="165" t="s">
        <v>1648</v>
      </c>
      <c r="N376" s="165" t="s">
        <v>1649</v>
      </c>
      <c r="O376" s="165" t="s">
        <v>1648</v>
      </c>
      <c r="P376" s="165" t="s">
        <v>1648</v>
      </c>
      <c r="Q376" s="165" t="s">
        <v>1648</v>
      </c>
    </row>
    <row r="377" spans="1:17" ht="13.5" thickBot="1" x14ac:dyDescent="0.25">
      <c r="A377" s="165" t="s">
        <v>648</v>
      </c>
      <c r="B377" s="168" t="s">
        <v>647</v>
      </c>
      <c r="C377" s="165" t="s">
        <v>54</v>
      </c>
      <c r="D377" s="166">
        <v>31</v>
      </c>
      <c r="E377" s="166">
        <v>34</v>
      </c>
      <c r="F377" s="165" t="s">
        <v>1648</v>
      </c>
      <c r="G377" s="167">
        <v>45000</v>
      </c>
      <c r="H377" s="165" t="s">
        <v>1761</v>
      </c>
      <c r="I377" s="165" t="s">
        <v>1648</v>
      </c>
      <c r="J377" s="165" t="s">
        <v>1761</v>
      </c>
      <c r="K377" s="165" t="s">
        <v>1648</v>
      </c>
      <c r="L377" s="165" t="s">
        <v>1648</v>
      </c>
      <c r="M377" s="165" t="s">
        <v>1648</v>
      </c>
      <c r="N377" s="165" t="s">
        <v>1648</v>
      </c>
      <c r="O377" s="165" t="s">
        <v>1648</v>
      </c>
      <c r="P377" s="165" t="s">
        <v>1649</v>
      </c>
      <c r="Q377" s="165" t="s">
        <v>1649</v>
      </c>
    </row>
    <row r="378" spans="1:17" ht="13.5" thickBot="1" x14ac:dyDescent="0.25">
      <c r="A378" s="165" t="s">
        <v>654</v>
      </c>
      <c r="B378" s="168" t="s">
        <v>653</v>
      </c>
      <c r="C378" s="165" t="s">
        <v>54</v>
      </c>
      <c r="D378" s="166">
        <v>109</v>
      </c>
      <c r="E378" s="166">
        <v>155</v>
      </c>
      <c r="F378" s="165" t="s">
        <v>1648</v>
      </c>
      <c r="G378" s="167">
        <v>65542</v>
      </c>
      <c r="H378" s="165" t="s">
        <v>1728</v>
      </c>
      <c r="I378" s="165" t="s">
        <v>1648</v>
      </c>
      <c r="J378" s="165" t="s">
        <v>1728</v>
      </c>
      <c r="K378" s="165" t="s">
        <v>1648</v>
      </c>
      <c r="L378" s="165" t="s">
        <v>1648</v>
      </c>
      <c r="M378" s="165" t="s">
        <v>1649</v>
      </c>
      <c r="N378" s="165" t="s">
        <v>1649</v>
      </c>
      <c r="O378" s="165" t="s">
        <v>1648</v>
      </c>
      <c r="P378" s="165" t="s">
        <v>1648</v>
      </c>
      <c r="Q378" s="165" t="s">
        <v>1648</v>
      </c>
    </row>
    <row r="379" spans="1:17" ht="13.5" thickBot="1" x14ac:dyDescent="0.25">
      <c r="A379" s="165" t="s">
        <v>656</v>
      </c>
      <c r="B379" s="168" t="s">
        <v>655</v>
      </c>
      <c r="C379" s="165" t="s">
        <v>54</v>
      </c>
      <c r="D379" s="166">
        <v>25</v>
      </c>
      <c r="E379" s="166">
        <v>29</v>
      </c>
      <c r="F379" s="165" t="s">
        <v>1648</v>
      </c>
      <c r="G379" s="167">
        <v>76200</v>
      </c>
      <c r="H379" s="165" t="s">
        <v>1776</v>
      </c>
      <c r="I379" s="165" t="s">
        <v>1648</v>
      </c>
      <c r="J379" s="165" t="s">
        <v>1892</v>
      </c>
      <c r="K379" s="165" t="s">
        <v>1648</v>
      </c>
      <c r="L379" s="165" t="s">
        <v>1648</v>
      </c>
      <c r="M379" s="165" t="s">
        <v>1648</v>
      </c>
      <c r="N379" s="165" t="s">
        <v>1648</v>
      </c>
      <c r="O379" s="165" t="s">
        <v>1648</v>
      </c>
      <c r="P379" s="165" t="s">
        <v>1648</v>
      </c>
      <c r="Q379" s="165" t="s">
        <v>1648</v>
      </c>
    </row>
    <row r="380" spans="1:17" ht="13.5" thickBot="1" x14ac:dyDescent="0.25">
      <c r="A380" s="165" t="s">
        <v>684</v>
      </c>
      <c r="B380" s="168" t="s">
        <v>683</v>
      </c>
      <c r="C380" s="165" t="s">
        <v>54</v>
      </c>
      <c r="D380" s="166">
        <v>18</v>
      </c>
      <c r="E380" s="166">
        <v>27</v>
      </c>
      <c r="F380" s="165" t="s">
        <v>1648</v>
      </c>
      <c r="G380" s="167">
        <v>44000</v>
      </c>
      <c r="H380" s="165" t="s">
        <v>1776</v>
      </c>
      <c r="I380" s="165" t="s">
        <v>1648</v>
      </c>
      <c r="J380" s="165" t="s">
        <v>1776</v>
      </c>
      <c r="K380" s="165" t="s">
        <v>1648</v>
      </c>
      <c r="L380" s="165" t="s">
        <v>1648</v>
      </c>
      <c r="M380" s="165" t="s">
        <v>1649</v>
      </c>
      <c r="N380" s="165" t="s">
        <v>1648</v>
      </c>
      <c r="O380" s="165" t="s">
        <v>1648</v>
      </c>
      <c r="P380" s="165" t="s">
        <v>1648</v>
      </c>
      <c r="Q380" s="165" t="s">
        <v>1649</v>
      </c>
    </row>
    <row r="381" spans="1:17" ht="13.5" thickBot="1" x14ac:dyDescent="0.25">
      <c r="A381" s="165" t="s">
        <v>696</v>
      </c>
      <c r="B381" s="168" t="s">
        <v>695</v>
      </c>
      <c r="C381" s="165" t="s">
        <v>54</v>
      </c>
      <c r="D381" s="166">
        <v>95</v>
      </c>
      <c r="E381" s="166">
        <v>150</v>
      </c>
      <c r="F381" s="165" t="s">
        <v>1648</v>
      </c>
      <c r="G381" s="167">
        <v>50000</v>
      </c>
      <c r="H381" s="165" t="s">
        <v>1809</v>
      </c>
      <c r="I381" s="165" t="s">
        <v>1648</v>
      </c>
      <c r="J381" s="165" t="s">
        <v>1809</v>
      </c>
      <c r="K381" s="165" t="s">
        <v>1648</v>
      </c>
      <c r="L381" s="165" t="s">
        <v>1648</v>
      </c>
      <c r="M381" s="165" t="s">
        <v>1648</v>
      </c>
      <c r="N381" s="165" t="s">
        <v>1648</v>
      </c>
      <c r="O381" s="165" t="s">
        <v>1648</v>
      </c>
      <c r="P381" s="165" t="s">
        <v>1649</v>
      </c>
      <c r="Q381" s="165" t="s">
        <v>1649</v>
      </c>
    </row>
    <row r="382" spans="1:17" ht="13.5" thickBot="1" x14ac:dyDescent="0.25">
      <c r="A382" s="165" t="s">
        <v>710</v>
      </c>
      <c r="B382" s="168" t="s">
        <v>709</v>
      </c>
      <c r="C382" s="165" t="s">
        <v>54</v>
      </c>
      <c r="D382" s="166">
        <v>26</v>
      </c>
      <c r="E382" s="166">
        <v>62</v>
      </c>
      <c r="F382" s="165" t="s">
        <v>1648</v>
      </c>
      <c r="G382" s="167">
        <v>106370</v>
      </c>
      <c r="H382" s="165" t="s">
        <v>1737</v>
      </c>
      <c r="I382" s="165" t="s">
        <v>1648</v>
      </c>
      <c r="J382" s="165" t="s">
        <v>1737</v>
      </c>
      <c r="K382" s="165" t="s">
        <v>1648</v>
      </c>
      <c r="L382" s="165" t="s">
        <v>1648</v>
      </c>
      <c r="M382" s="165" t="s">
        <v>1649</v>
      </c>
      <c r="N382" s="165" t="s">
        <v>1648</v>
      </c>
      <c r="O382" s="165" t="s">
        <v>1648</v>
      </c>
      <c r="P382" s="165" t="s">
        <v>1648</v>
      </c>
      <c r="Q382" s="165" t="s">
        <v>1648</v>
      </c>
    </row>
    <row r="383" spans="1:17" ht="13.5" thickBot="1" x14ac:dyDescent="0.25">
      <c r="A383" s="165" t="s">
        <v>726</v>
      </c>
      <c r="B383" s="168" t="s">
        <v>725</v>
      </c>
      <c r="C383" s="165" t="s">
        <v>54</v>
      </c>
      <c r="D383" s="166">
        <v>17</v>
      </c>
      <c r="E383" s="166">
        <v>33</v>
      </c>
      <c r="F383" s="165" t="s">
        <v>1648</v>
      </c>
      <c r="G383" s="167">
        <v>32977</v>
      </c>
      <c r="H383" s="165" t="s">
        <v>1746</v>
      </c>
      <c r="I383" s="165" t="s">
        <v>1648</v>
      </c>
      <c r="J383" s="165" t="s">
        <v>1746</v>
      </c>
      <c r="K383" s="165" t="s">
        <v>1648</v>
      </c>
      <c r="L383" s="165" t="s">
        <v>1648</v>
      </c>
      <c r="M383" s="165" t="s">
        <v>1648</v>
      </c>
      <c r="N383" s="165" t="s">
        <v>1648</v>
      </c>
      <c r="O383" s="165" t="s">
        <v>1648</v>
      </c>
      <c r="P383" s="165" t="s">
        <v>1648</v>
      </c>
      <c r="Q383" s="165" t="s">
        <v>1648</v>
      </c>
    </row>
    <row r="384" spans="1:17" ht="13.5" thickBot="1" x14ac:dyDescent="0.25">
      <c r="A384" s="165" t="s">
        <v>752</v>
      </c>
      <c r="B384" s="168" t="s">
        <v>751</v>
      </c>
      <c r="C384" s="165" t="s">
        <v>54</v>
      </c>
      <c r="D384" s="166">
        <v>69</v>
      </c>
      <c r="E384" s="166">
        <v>93</v>
      </c>
      <c r="F384" s="165" t="s">
        <v>1648</v>
      </c>
      <c r="G384" s="167">
        <v>0</v>
      </c>
      <c r="H384" s="165" t="s">
        <v>1740</v>
      </c>
      <c r="I384" s="165" t="s">
        <v>1648</v>
      </c>
      <c r="J384" s="165" t="s">
        <v>1740</v>
      </c>
      <c r="K384" s="165" t="s">
        <v>1648</v>
      </c>
      <c r="L384" s="165" t="s">
        <v>1648</v>
      </c>
      <c r="M384" s="165" t="s">
        <v>1648</v>
      </c>
      <c r="N384" s="165" t="s">
        <v>1648</v>
      </c>
      <c r="O384" s="165" t="s">
        <v>1648</v>
      </c>
      <c r="P384" s="165" t="s">
        <v>1648</v>
      </c>
      <c r="Q384" s="165" t="s">
        <v>1649</v>
      </c>
    </row>
    <row r="385" spans="1:17" ht="13.5" thickBot="1" x14ac:dyDescent="0.25">
      <c r="A385" s="165" t="s">
        <v>754</v>
      </c>
      <c r="B385" s="168" t="s">
        <v>1614</v>
      </c>
      <c r="C385" s="165" t="s">
        <v>54</v>
      </c>
      <c r="D385" s="166">
        <v>16</v>
      </c>
      <c r="E385" s="166">
        <v>34</v>
      </c>
      <c r="F385" s="165" t="s">
        <v>1648</v>
      </c>
      <c r="G385" s="167">
        <v>33497</v>
      </c>
      <c r="H385" s="165" t="s">
        <v>1805</v>
      </c>
      <c r="I385" s="165" t="s">
        <v>1648</v>
      </c>
      <c r="J385" s="165" t="s">
        <v>1805</v>
      </c>
      <c r="K385" s="165" t="s">
        <v>1648</v>
      </c>
      <c r="L385" s="165" t="s">
        <v>1648</v>
      </c>
      <c r="M385" s="165" t="s">
        <v>1648</v>
      </c>
      <c r="N385" s="165" t="s">
        <v>1648</v>
      </c>
      <c r="O385" s="165" t="s">
        <v>1648</v>
      </c>
      <c r="P385" s="165" t="s">
        <v>1649</v>
      </c>
      <c r="Q385" s="165" t="s">
        <v>1648</v>
      </c>
    </row>
    <row r="386" spans="1:17" ht="13.5" thickBot="1" x14ac:dyDescent="0.25">
      <c r="A386" s="165" t="s">
        <v>756</v>
      </c>
      <c r="B386" s="168" t="s">
        <v>755</v>
      </c>
      <c r="C386" s="165" t="s">
        <v>54</v>
      </c>
      <c r="D386" s="166">
        <v>60</v>
      </c>
      <c r="E386" s="166">
        <v>35</v>
      </c>
      <c r="F386" s="165" t="s">
        <v>1648</v>
      </c>
      <c r="G386" s="167">
        <v>75000</v>
      </c>
      <c r="H386" s="165" t="s">
        <v>1907</v>
      </c>
      <c r="I386" s="165" t="s">
        <v>1648</v>
      </c>
      <c r="J386" s="165" t="s">
        <v>1907</v>
      </c>
      <c r="K386" s="165" t="s">
        <v>1648</v>
      </c>
      <c r="L386" s="165" t="s">
        <v>1648</v>
      </c>
      <c r="M386" s="165" t="s">
        <v>1648</v>
      </c>
      <c r="N386" s="165" t="s">
        <v>1649</v>
      </c>
      <c r="O386" s="165" t="s">
        <v>1648</v>
      </c>
      <c r="P386" s="165" t="s">
        <v>1648</v>
      </c>
      <c r="Q386" s="165" t="s">
        <v>1648</v>
      </c>
    </row>
    <row r="387" spans="1:17" ht="13.5" thickBot="1" x14ac:dyDescent="0.25">
      <c r="A387" s="165" t="s">
        <v>778</v>
      </c>
      <c r="B387" s="168" t="s">
        <v>777</v>
      </c>
      <c r="C387" s="165" t="s">
        <v>54</v>
      </c>
      <c r="D387" s="166">
        <v>40</v>
      </c>
      <c r="E387" s="166">
        <v>130</v>
      </c>
      <c r="F387" s="165" t="s">
        <v>1648</v>
      </c>
      <c r="G387" s="167">
        <v>162237</v>
      </c>
      <c r="H387" s="165" t="s">
        <v>1737</v>
      </c>
      <c r="I387" s="165" t="s">
        <v>1648</v>
      </c>
      <c r="J387" s="165" t="s">
        <v>1737</v>
      </c>
      <c r="K387" s="165" t="s">
        <v>1648</v>
      </c>
      <c r="L387" s="165" t="s">
        <v>1648</v>
      </c>
      <c r="M387" s="165" t="s">
        <v>1648</v>
      </c>
      <c r="N387" s="165" t="s">
        <v>1648</v>
      </c>
      <c r="O387" s="165" t="s">
        <v>1648</v>
      </c>
      <c r="P387" s="165" t="s">
        <v>1648</v>
      </c>
      <c r="Q387" s="165" t="s">
        <v>1648</v>
      </c>
    </row>
    <row r="388" spans="1:17" ht="13.5" thickBot="1" x14ac:dyDescent="0.25">
      <c r="A388" s="165" t="s">
        <v>780</v>
      </c>
      <c r="B388" s="168" t="s">
        <v>779</v>
      </c>
      <c r="C388" s="165" t="s">
        <v>54</v>
      </c>
      <c r="D388" s="166">
        <v>22</v>
      </c>
      <c r="E388" s="166">
        <v>58</v>
      </c>
      <c r="F388" s="165" t="s">
        <v>1648</v>
      </c>
      <c r="G388" s="167">
        <v>63499</v>
      </c>
      <c r="H388" s="165" t="s">
        <v>1853</v>
      </c>
      <c r="I388" s="165" t="s">
        <v>1648</v>
      </c>
      <c r="J388" s="165" t="s">
        <v>1853</v>
      </c>
      <c r="K388" s="165" t="s">
        <v>1648</v>
      </c>
      <c r="L388" s="165" t="s">
        <v>1648</v>
      </c>
      <c r="M388" s="165" t="s">
        <v>1648</v>
      </c>
      <c r="N388" s="165" t="s">
        <v>1648</v>
      </c>
      <c r="O388" s="165" t="s">
        <v>1648</v>
      </c>
      <c r="P388" s="165" t="s">
        <v>1648</v>
      </c>
      <c r="Q388" s="165" t="s">
        <v>1648</v>
      </c>
    </row>
    <row r="389" spans="1:17" ht="13.5" thickBot="1" x14ac:dyDescent="0.25">
      <c r="A389" s="165" t="s">
        <v>788</v>
      </c>
      <c r="B389" s="168" t="s">
        <v>787</v>
      </c>
      <c r="C389" s="165" t="s">
        <v>54</v>
      </c>
      <c r="D389" s="166">
        <v>60</v>
      </c>
      <c r="E389" s="166">
        <v>139</v>
      </c>
      <c r="F389" s="165" t="s">
        <v>1648</v>
      </c>
      <c r="G389" s="167">
        <v>99000</v>
      </c>
      <c r="H389" s="165" t="s">
        <v>1809</v>
      </c>
      <c r="I389" s="165" t="s">
        <v>1648</v>
      </c>
      <c r="J389" s="165" t="s">
        <v>1809</v>
      </c>
      <c r="K389" s="165" t="s">
        <v>1648</v>
      </c>
      <c r="L389" s="165" t="s">
        <v>1648</v>
      </c>
      <c r="M389" s="165" t="s">
        <v>1648</v>
      </c>
      <c r="N389" s="165" t="s">
        <v>1649</v>
      </c>
      <c r="O389" s="165" t="s">
        <v>1648</v>
      </c>
      <c r="P389" s="165" t="s">
        <v>1649</v>
      </c>
      <c r="Q389" s="165" t="s">
        <v>1649</v>
      </c>
    </row>
    <row r="390" spans="1:17" ht="13.5" thickBot="1" x14ac:dyDescent="0.25">
      <c r="A390" s="165" t="s">
        <v>808</v>
      </c>
      <c r="B390" s="168" t="s">
        <v>807</v>
      </c>
      <c r="C390" s="165" t="s">
        <v>54</v>
      </c>
      <c r="D390" s="166">
        <v>83</v>
      </c>
      <c r="E390" s="166">
        <v>120</v>
      </c>
      <c r="F390" s="165" t="s">
        <v>1648</v>
      </c>
      <c r="G390" s="167">
        <v>67000</v>
      </c>
      <c r="H390" s="165" t="s">
        <v>1737</v>
      </c>
      <c r="I390" s="165" t="s">
        <v>1648</v>
      </c>
      <c r="J390" s="165" t="s">
        <v>1737</v>
      </c>
      <c r="K390" s="165" t="s">
        <v>1649</v>
      </c>
      <c r="L390" s="165" t="s">
        <v>1648</v>
      </c>
      <c r="M390" s="165" t="s">
        <v>1648</v>
      </c>
      <c r="N390" s="165" t="s">
        <v>1649</v>
      </c>
      <c r="O390" s="165" t="s">
        <v>1648</v>
      </c>
      <c r="P390" s="165" t="s">
        <v>1648</v>
      </c>
      <c r="Q390" s="165" t="s">
        <v>1648</v>
      </c>
    </row>
    <row r="391" spans="1:17" ht="13.5" thickBot="1" x14ac:dyDescent="0.25">
      <c r="A391" s="165" t="s">
        <v>810</v>
      </c>
      <c r="B391" s="168" t="s">
        <v>809</v>
      </c>
      <c r="C391" s="165" t="s">
        <v>54</v>
      </c>
      <c r="D391" s="166">
        <v>49</v>
      </c>
      <c r="E391" s="166">
        <v>81</v>
      </c>
      <c r="F391" s="165" t="s">
        <v>1648</v>
      </c>
      <c r="G391" s="167">
        <v>49936</v>
      </c>
      <c r="H391" s="165" t="s">
        <v>1808</v>
      </c>
      <c r="I391" s="165" t="s">
        <v>1648</v>
      </c>
      <c r="J391" s="165" t="s">
        <v>1917</v>
      </c>
      <c r="K391" s="165" t="s">
        <v>1648</v>
      </c>
      <c r="L391" s="165" t="s">
        <v>1648</v>
      </c>
      <c r="M391" s="165" t="s">
        <v>1648</v>
      </c>
      <c r="N391" s="165" t="s">
        <v>1649</v>
      </c>
      <c r="O391" s="165" t="s">
        <v>1648</v>
      </c>
      <c r="P391" s="165" t="s">
        <v>1649</v>
      </c>
      <c r="Q391" s="165" t="s">
        <v>1649</v>
      </c>
    </row>
    <row r="392" spans="1:17" ht="13.5" thickBot="1" x14ac:dyDescent="0.25">
      <c r="A392" s="165" t="s">
        <v>816</v>
      </c>
      <c r="B392" s="169" t="s">
        <v>815</v>
      </c>
      <c r="C392" s="172" t="s">
        <v>54</v>
      </c>
      <c r="D392" s="166">
        <v>62</v>
      </c>
      <c r="E392" s="166">
        <v>114</v>
      </c>
      <c r="F392" s="165" t="s">
        <v>1648</v>
      </c>
      <c r="G392" s="167">
        <v>62230</v>
      </c>
      <c r="H392" s="165" t="s">
        <v>1839</v>
      </c>
      <c r="I392" s="165" t="s">
        <v>1648</v>
      </c>
      <c r="J392" s="165" t="s">
        <v>1728</v>
      </c>
      <c r="K392" s="165" t="s">
        <v>1648</v>
      </c>
      <c r="L392" s="165" t="s">
        <v>1648</v>
      </c>
      <c r="M392" s="165" t="s">
        <v>1648</v>
      </c>
      <c r="N392" s="165" t="s">
        <v>1649</v>
      </c>
      <c r="O392" s="165" t="s">
        <v>1648</v>
      </c>
      <c r="P392" s="165" t="s">
        <v>1649</v>
      </c>
      <c r="Q392" s="165" t="s">
        <v>1648</v>
      </c>
    </row>
    <row r="393" spans="1:17" ht="18.75" thickBot="1" x14ac:dyDescent="0.3">
      <c r="A393" s="171"/>
      <c r="B393" s="59" t="s">
        <v>1599</v>
      </c>
      <c r="C393" s="192">
        <f>SUBTOTAL(3,Table6[Library Class])</f>
        <v>389</v>
      </c>
      <c r="G393" s="170"/>
      <c r="H393" s="171"/>
      <c r="I393" s="171"/>
      <c r="J393" s="171"/>
      <c r="K393" s="171"/>
      <c r="L393" s="171"/>
      <c r="M393" s="171"/>
      <c r="N393" s="171"/>
      <c r="O393" s="171"/>
      <c r="P393" s="171"/>
      <c r="Q393" s="171"/>
    </row>
    <row r="394" spans="1:17" ht="18.75" thickBot="1" x14ac:dyDescent="0.3">
      <c r="C394" s="193" t="s">
        <v>1620</v>
      </c>
      <c r="D394" s="194">
        <f>SUBTOTAL(109,Table6[Total number of computers that the library provides for use by staff only])</f>
        <v>6731</v>
      </c>
      <c r="E394" s="195">
        <f>SUBTOTAL(109,Table6[Total number of computers that the library provides for public use])</f>
        <v>12131</v>
      </c>
      <c r="F394" s="191"/>
    </row>
    <row r="395" spans="1:17" ht="18.75" thickBot="1" x14ac:dyDescent="0.3">
      <c r="C395" s="193" t="s">
        <v>1621</v>
      </c>
      <c r="D395" s="194">
        <f>SUBTOTAL(101,Table6[Total number of computers that the library provides for use by staff only])</f>
        <v>17.347938144329898</v>
      </c>
      <c r="E395" s="196">
        <f>SUBTOTAL(101,Table6[Total number of computers that the library provides for public use])</f>
        <v>31.265463917525775</v>
      </c>
    </row>
    <row r="397" spans="1:17" ht="13.5" thickBot="1" x14ac:dyDescent="0.25"/>
    <row r="398" spans="1:17" ht="115.5" thickBot="1" x14ac:dyDescent="0.25">
      <c r="C398" s="86" t="s">
        <v>1714</v>
      </c>
      <c r="D398" s="86" t="s">
        <v>1716</v>
      </c>
      <c r="E398" s="86" t="s">
        <v>1718</v>
      </c>
      <c r="F398" s="86" t="s">
        <v>1719</v>
      </c>
      <c r="G398" s="86" t="s">
        <v>1720</v>
      </c>
      <c r="H398" s="86" t="s">
        <v>1721</v>
      </c>
      <c r="I398" s="86" t="s">
        <v>3002</v>
      </c>
      <c r="J398" s="174" t="s">
        <v>3000</v>
      </c>
      <c r="K398" s="174" t="s">
        <v>3001</v>
      </c>
    </row>
    <row r="399" spans="1:17" ht="15.75" x14ac:dyDescent="0.25">
      <c r="B399" s="173" t="s">
        <v>1705</v>
      </c>
      <c r="C399" s="177">
        <v>0.90909090909090906</v>
      </c>
      <c r="D399" s="178">
        <v>0.9242424242424242</v>
      </c>
      <c r="E399" s="178">
        <v>0.68181818181818177</v>
      </c>
      <c r="F399" s="178">
        <v>0.80303030303030298</v>
      </c>
      <c r="G399" s="178">
        <v>3.0303030303030304E-2</v>
      </c>
      <c r="H399" s="178">
        <v>0.2878787878787879</v>
      </c>
      <c r="I399" s="178">
        <v>0.98484848484848486</v>
      </c>
      <c r="J399" s="178">
        <v>0.86363636363636365</v>
      </c>
      <c r="K399" s="179">
        <v>0.74242424242424243</v>
      </c>
    </row>
    <row r="400" spans="1:17" ht="15.75" x14ac:dyDescent="0.25">
      <c r="B400" s="173" t="s">
        <v>1711</v>
      </c>
      <c r="C400" s="180">
        <v>0.98717948717948723</v>
      </c>
      <c r="D400" s="176">
        <v>0.97435897435897434</v>
      </c>
      <c r="E400" s="176">
        <v>0.94871794871794868</v>
      </c>
      <c r="F400" s="176">
        <v>0.97435897435897434</v>
      </c>
      <c r="G400" s="176">
        <v>5.128205128205128E-2</v>
      </c>
      <c r="H400" s="176">
        <v>0.5</v>
      </c>
      <c r="I400" s="190">
        <v>1</v>
      </c>
      <c r="J400" s="176">
        <v>0.9358974358974359</v>
      </c>
      <c r="K400" s="181">
        <v>0.78205128205128205</v>
      </c>
    </row>
    <row r="401" spans="1:11" ht="15.75" x14ac:dyDescent="0.25">
      <c r="B401" s="173" t="s">
        <v>1707</v>
      </c>
      <c r="C401" s="182">
        <v>0.98717948717948723</v>
      </c>
      <c r="D401" s="175">
        <v>0.98717948717948723</v>
      </c>
      <c r="E401" s="175">
        <v>0.9358974358974359</v>
      </c>
      <c r="F401" s="175">
        <v>0.98717948717948723</v>
      </c>
      <c r="G401" s="175">
        <v>0.11538461538461539</v>
      </c>
      <c r="H401" s="175">
        <v>0.71794871794871795</v>
      </c>
      <c r="I401" s="187">
        <v>1</v>
      </c>
      <c r="J401" s="175">
        <v>0.89743589743589747</v>
      </c>
      <c r="K401" s="183">
        <v>0.83333333333333337</v>
      </c>
    </row>
    <row r="402" spans="1:11" ht="15.75" x14ac:dyDescent="0.25">
      <c r="B402" s="173" t="s">
        <v>1708</v>
      </c>
      <c r="C402" s="180">
        <v>0.98734177215189878</v>
      </c>
      <c r="D402" s="176">
        <v>0.98734177215189878</v>
      </c>
      <c r="E402" s="176">
        <v>0.92405063291139244</v>
      </c>
      <c r="F402" s="176">
        <v>0.98734177215189878</v>
      </c>
      <c r="G402" s="176">
        <v>0.30379746835443039</v>
      </c>
      <c r="H402" s="176">
        <v>0.65822784810126578</v>
      </c>
      <c r="I402" s="190">
        <v>1</v>
      </c>
      <c r="J402" s="176">
        <v>0.87341772151898733</v>
      </c>
      <c r="K402" s="181">
        <v>0.810126582278481</v>
      </c>
    </row>
    <row r="403" spans="1:11" ht="15.75" x14ac:dyDescent="0.25">
      <c r="B403" s="173" t="s">
        <v>1709</v>
      </c>
      <c r="C403" s="186">
        <v>1</v>
      </c>
      <c r="D403" s="187">
        <v>1</v>
      </c>
      <c r="E403" s="187">
        <v>1</v>
      </c>
      <c r="F403" s="187">
        <v>1</v>
      </c>
      <c r="G403" s="175">
        <v>0.51162790697674421</v>
      </c>
      <c r="H403" s="175">
        <v>0.72093023255813948</v>
      </c>
      <c r="I403" s="187">
        <v>1</v>
      </c>
      <c r="J403" s="175">
        <v>0.88372093023255816</v>
      </c>
      <c r="K403" s="183">
        <v>0.81395348837209303</v>
      </c>
    </row>
    <row r="404" spans="1:11" ht="16.5" thickBot="1" x14ac:dyDescent="0.3">
      <c r="B404" s="173" t="s">
        <v>1710</v>
      </c>
      <c r="C404" s="188">
        <v>1</v>
      </c>
      <c r="D404" s="189">
        <v>1</v>
      </c>
      <c r="E404" s="184">
        <v>0.9555555555555556</v>
      </c>
      <c r="F404" s="189">
        <v>1</v>
      </c>
      <c r="G404" s="184">
        <v>0.84444444444444444</v>
      </c>
      <c r="H404" s="184">
        <v>0.48888888888888887</v>
      </c>
      <c r="I404" s="189">
        <v>1</v>
      </c>
      <c r="J404" s="184">
        <v>0.75555555555555554</v>
      </c>
      <c r="K404" s="185">
        <v>0.77777777777777779</v>
      </c>
    </row>
    <row r="406" spans="1:11" ht="15" x14ac:dyDescent="0.25">
      <c r="A406" s="369" t="s">
        <v>3736</v>
      </c>
    </row>
  </sheetData>
  <sortState xmlns:xlrd2="http://schemas.microsoft.com/office/spreadsheetml/2017/richdata2" ref="A4:Q392">
    <sortCondition ref="C4:C392"/>
    <sortCondition ref="B4:B392"/>
  </sortState>
  <hyperlinks>
    <hyperlink ref="F1" location="'Table of Contents'!A1" display="Return to Table of Contents" xr:uid="{DE95B4C2-8C8F-407A-8171-3B643B7DC523}"/>
  </hyperlinks>
  <pageMargins left="0.7" right="0.7" top="0.75" bottom="0.75" header="0.3" footer="0.3"/>
  <pageSetup orientation="portrait" horizontalDpi="1200" verticalDpi="120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B35D9-4632-47D5-824A-D4012082246C}">
  <sheetPr>
    <tabColor rgb="FF8CC6D4"/>
  </sheetPr>
  <dimension ref="A1:X394"/>
  <sheetViews>
    <sheetView workbookViewId="0">
      <pane xSplit="3" ySplit="3" topLeftCell="D4" activePane="bottomRight" state="frozen"/>
      <selection pane="topRight" activeCell="D1" sqref="D1"/>
      <selection pane="bottomLeft" activeCell="A2" sqref="A2"/>
      <selection pane="bottomRight" activeCell="C1" sqref="C1"/>
    </sheetView>
  </sheetViews>
  <sheetFormatPr defaultRowHeight="12.75" x14ac:dyDescent="0.2"/>
  <cols>
    <col min="2" max="2" width="53.42578125" customWidth="1"/>
    <col min="3" max="3" width="26.42578125" customWidth="1"/>
    <col min="4" max="4" width="13.5703125" bestFit="1" customWidth="1"/>
    <col min="5" max="5" width="23.5703125" customWidth="1"/>
    <col min="6" max="6" width="13.28515625" bestFit="1" customWidth="1"/>
    <col min="7" max="7" width="10.28515625" customWidth="1"/>
    <col min="8" max="8" width="13.28515625" customWidth="1"/>
    <col min="9" max="9" width="9.42578125" customWidth="1"/>
    <col min="10" max="10" width="11.85546875" customWidth="1"/>
    <col min="11" max="11" width="14.28515625" customWidth="1"/>
    <col min="12" max="12" width="15.42578125" customWidth="1"/>
    <col min="13" max="13" width="10.140625" customWidth="1"/>
    <col min="14" max="14" width="12.5703125" customWidth="1"/>
    <col min="15" max="15" width="14.28515625" customWidth="1"/>
    <col min="16" max="16" width="11.7109375" customWidth="1"/>
    <col min="17" max="17" width="17.5703125" customWidth="1"/>
    <col min="18" max="18" width="19.42578125" customWidth="1"/>
    <col min="19" max="19" width="13.42578125" customWidth="1"/>
    <col min="20" max="20" width="17.5703125" customWidth="1"/>
    <col min="21" max="21" width="13.28515625" customWidth="1"/>
    <col min="22" max="22" width="12.7109375" customWidth="1"/>
    <col min="23" max="23" width="12.140625" customWidth="1"/>
    <col min="24" max="24" width="18.85546875" customWidth="1"/>
  </cols>
  <sheetData>
    <row r="1" spans="1:24" ht="18.75" x14ac:dyDescent="0.3">
      <c r="A1" s="362" t="s">
        <v>3729</v>
      </c>
      <c r="B1" s="365"/>
      <c r="D1" s="364" t="s">
        <v>1591</v>
      </c>
      <c r="F1" s="360" t="s">
        <v>3727</v>
      </c>
    </row>
    <row r="3" spans="1:24" s="34" customFormat="1" ht="50.25" customHeight="1" x14ac:dyDescent="0.2">
      <c r="A3" s="164" t="s">
        <v>1</v>
      </c>
      <c r="B3" s="164" t="s">
        <v>0</v>
      </c>
      <c r="C3" s="164" t="s">
        <v>4</v>
      </c>
      <c r="D3" s="164" t="s">
        <v>894</v>
      </c>
      <c r="E3" s="164" t="s">
        <v>1919</v>
      </c>
      <c r="F3" s="164" t="s">
        <v>1920</v>
      </c>
      <c r="G3" s="164" t="s">
        <v>1921</v>
      </c>
      <c r="H3" s="164" t="s">
        <v>1922</v>
      </c>
      <c r="I3" s="164" t="s">
        <v>1923</v>
      </c>
      <c r="J3" s="164" t="s">
        <v>1924</v>
      </c>
      <c r="K3" s="164" t="s">
        <v>1925</v>
      </c>
      <c r="L3" s="164" t="s">
        <v>1926</v>
      </c>
      <c r="M3" s="164" t="s">
        <v>1927</v>
      </c>
      <c r="N3" s="164" t="s">
        <v>1928</v>
      </c>
      <c r="O3" s="164" t="s">
        <v>1929</v>
      </c>
      <c r="P3" s="164" t="s">
        <v>1930</v>
      </c>
      <c r="Q3" s="164" t="s">
        <v>1931</v>
      </c>
      <c r="R3" s="164" t="s">
        <v>1932</v>
      </c>
      <c r="S3" s="164" t="s">
        <v>1933</v>
      </c>
      <c r="T3" s="164" t="s">
        <v>1934</v>
      </c>
      <c r="U3" s="164" t="s">
        <v>1935</v>
      </c>
      <c r="V3" s="164" t="s">
        <v>1936</v>
      </c>
      <c r="W3" s="164" t="s">
        <v>1937</v>
      </c>
      <c r="X3" s="164" t="s">
        <v>1938</v>
      </c>
    </row>
    <row r="4" spans="1:24" x14ac:dyDescent="0.2">
      <c r="A4" s="131" t="s">
        <v>33</v>
      </c>
      <c r="B4" s="130" t="s">
        <v>32</v>
      </c>
      <c r="C4" s="131" t="s">
        <v>34</v>
      </c>
      <c r="D4" s="131" t="s">
        <v>1969</v>
      </c>
      <c r="E4" s="131" t="s">
        <v>1970</v>
      </c>
      <c r="F4" s="131" t="s">
        <v>1949</v>
      </c>
      <c r="G4" s="132">
        <v>1.1000000000000001</v>
      </c>
      <c r="H4" s="133" t="s">
        <v>1971</v>
      </c>
      <c r="I4" s="132">
        <v>1</v>
      </c>
      <c r="J4" s="133" t="s">
        <v>1972</v>
      </c>
      <c r="K4" s="131" t="s">
        <v>1649</v>
      </c>
      <c r="L4" s="131" t="s">
        <v>1952</v>
      </c>
      <c r="M4" s="154"/>
      <c r="N4" s="154"/>
      <c r="O4" s="154"/>
      <c r="P4" s="154"/>
      <c r="Q4" s="154"/>
      <c r="R4" s="154"/>
      <c r="S4" s="154"/>
      <c r="T4" s="154"/>
      <c r="U4" s="154"/>
      <c r="V4" s="154"/>
      <c r="W4" s="154"/>
      <c r="X4" s="154"/>
    </row>
    <row r="5" spans="1:24" x14ac:dyDescent="0.2">
      <c r="A5" s="131" t="s">
        <v>58</v>
      </c>
      <c r="B5" s="130" t="s">
        <v>57</v>
      </c>
      <c r="C5" s="131" t="s">
        <v>34</v>
      </c>
      <c r="D5" s="131" t="s">
        <v>1984</v>
      </c>
      <c r="E5" s="131" t="s">
        <v>2014</v>
      </c>
      <c r="F5" s="131" t="s">
        <v>1949</v>
      </c>
      <c r="G5" s="132">
        <v>0.5</v>
      </c>
      <c r="H5" s="133" t="s">
        <v>2015</v>
      </c>
      <c r="I5" s="132">
        <v>0.5</v>
      </c>
      <c r="J5" s="133" t="s">
        <v>2016</v>
      </c>
      <c r="K5" s="131" t="s">
        <v>1649</v>
      </c>
      <c r="L5" s="131" t="s">
        <v>1952</v>
      </c>
      <c r="M5" s="154"/>
      <c r="N5" s="154"/>
      <c r="O5" s="154"/>
      <c r="P5" s="154"/>
      <c r="Q5" s="154"/>
      <c r="R5" s="154"/>
      <c r="S5" s="154"/>
      <c r="T5" s="154"/>
      <c r="U5" s="154"/>
      <c r="V5" s="154"/>
      <c r="W5" s="154"/>
      <c r="X5" s="154"/>
    </row>
    <row r="6" spans="1:24" x14ac:dyDescent="0.2">
      <c r="A6" s="131" t="s">
        <v>80</v>
      </c>
      <c r="B6" s="130" t="s">
        <v>79</v>
      </c>
      <c r="C6" s="131" t="s">
        <v>34</v>
      </c>
      <c r="D6" s="131" t="s">
        <v>2045</v>
      </c>
      <c r="E6" s="131" t="s">
        <v>2046</v>
      </c>
      <c r="F6" s="131" t="s">
        <v>1949</v>
      </c>
      <c r="G6" s="132">
        <v>1</v>
      </c>
      <c r="H6" s="133" t="s">
        <v>2000</v>
      </c>
      <c r="I6" s="132">
        <v>1</v>
      </c>
      <c r="J6" s="133" t="s">
        <v>1946</v>
      </c>
      <c r="K6" s="131" t="s">
        <v>1649</v>
      </c>
      <c r="L6" s="131" t="s">
        <v>1952</v>
      </c>
      <c r="M6" s="155"/>
      <c r="N6" s="154"/>
      <c r="O6" s="155"/>
      <c r="P6" s="154"/>
      <c r="Q6" s="154"/>
      <c r="R6" s="154"/>
      <c r="S6" s="155"/>
      <c r="T6" s="154"/>
      <c r="U6" s="155"/>
      <c r="V6" s="154"/>
      <c r="W6" s="154"/>
      <c r="X6" s="154"/>
    </row>
    <row r="7" spans="1:24" x14ac:dyDescent="0.2">
      <c r="A7" s="131" t="s">
        <v>82</v>
      </c>
      <c r="B7" s="130" t="s">
        <v>81</v>
      </c>
      <c r="C7" s="131" t="s">
        <v>34</v>
      </c>
      <c r="D7" s="131" t="s">
        <v>1969</v>
      </c>
      <c r="E7" s="131" t="s">
        <v>2047</v>
      </c>
      <c r="F7" s="131" t="s">
        <v>1949</v>
      </c>
      <c r="G7" s="132">
        <v>0.4</v>
      </c>
      <c r="H7" s="133" t="s">
        <v>2048</v>
      </c>
      <c r="I7" s="132">
        <v>0.33650000000000002</v>
      </c>
      <c r="J7" s="154" t="s">
        <v>1613</v>
      </c>
      <c r="K7" s="131" t="s">
        <v>1648</v>
      </c>
      <c r="L7" s="131" t="s">
        <v>1952</v>
      </c>
      <c r="M7" s="155"/>
      <c r="N7" s="154"/>
      <c r="O7" s="155"/>
      <c r="P7" s="154"/>
      <c r="Q7" s="154"/>
      <c r="R7" s="154"/>
      <c r="S7" s="155"/>
      <c r="T7" s="154"/>
      <c r="U7" s="155"/>
      <c r="V7" s="154"/>
      <c r="W7" s="154"/>
      <c r="X7" s="154"/>
    </row>
    <row r="8" spans="1:24" x14ac:dyDescent="0.2">
      <c r="A8" s="131" t="s">
        <v>86</v>
      </c>
      <c r="B8" s="130" t="s">
        <v>85</v>
      </c>
      <c r="C8" s="131" t="s">
        <v>34</v>
      </c>
      <c r="D8" s="131" t="s">
        <v>2055</v>
      </c>
      <c r="E8" s="131" t="s">
        <v>2056</v>
      </c>
      <c r="F8" s="131" t="s">
        <v>1919</v>
      </c>
      <c r="G8" s="155"/>
      <c r="H8" s="154"/>
      <c r="I8" s="155"/>
      <c r="J8" s="154"/>
      <c r="K8" s="154"/>
      <c r="L8" s="154"/>
      <c r="M8" s="155"/>
      <c r="N8" s="154"/>
      <c r="O8" s="155"/>
      <c r="P8" s="154"/>
      <c r="Q8" s="154"/>
      <c r="R8" s="154"/>
      <c r="S8" s="155"/>
      <c r="T8" s="154"/>
      <c r="U8" s="155"/>
      <c r="V8" s="154"/>
      <c r="W8" s="154"/>
      <c r="X8" s="154"/>
    </row>
    <row r="9" spans="1:24" x14ac:dyDescent="0.2">
      <c r="A9" s="131" t="s">
        <v>90</v>
      </c>
      <c r="B9" s="130" t="s">
        <v>89</v>
      </c>
      <c r="C9" s="131" t="s">
        <v>34</v>
      </c>
      <c r="D9" s="131" t="s">
        <v>2062</v>
      </c>
      <c r="E9" s="131" t="s">
        <v>2063</v>
      </c>
      <c r="F9" s="131" t="s">
        <v>1949</v>
      </c>
      <c r="G9" s="132">
        <v>0.75</v>
      </c>
      <c r="H9" s="133" t="s">
        <v>2064</v>
      </c>
      <c r="I9" s="132">
        <v>0.6</v>
      </c>
      <c r="J9" s="154" t="s">
        <v>1613</v>
      </c>
      <c r="K9" s="131" t="s">
        <v>1648</v>
      </c>
      <c r="L9" s="131" t="s">
        <v>1990</v>
      </c>
      <c r="M9" s="154"/>
      <c r="N9" s="154"/>
      <c r="O9" s="154"/>
      <c r="P9" s="154"/>
      <c r="Q9" s="154"/>
      <c r="R9" s="154"/>
      <c r="S9" s="154"/>
      <c r="T9" s="154"/>
      <c r="U9" s="154"/>
      <c r="V9" s="154"/>
      <c r="W9" s="154"/>
      <c r="X9" s="154"/>
    </row>
    <row r="10" spans="1:24" x14ac:dyDescent="0.2">
      <c r="A10" s="131" t="s">
        <v>92</v>
      </c>
      <c r="B10" s="130" t="s">
        <v>91</v>
      </c>
      <c r="C10" s="131" t="s">
        <v>34</v>
      </c>
      <c r="D10" s="131" t="s">
        <v>2062</v>
      </c>
      <c r="E10" s="131" t="s">
        <v>2065</v>
      </c>
      <c r="F10" s="131" t="s">
        <v>2066</v>
      </c>
      <c r="G10" s="132">
        <v>0.6</v>
      </c>
      <c r="H10" s="133" t="s">
        <v>2067</v>
      </c>
      <c r="I10" s="132">
        <v>0.59199999999999997</v>
      </c>
      <c r="J10" s="133" t="s">
        <v>2068</v>
      </c>
      <c r="K10" s="131" t="s">
        <v>1649</v>
      </c>
      <c r="L10" s="131" t="s">
        <v>1952</v>
      </c>
      <c r="M10" s="154"/>
      <c r="N10" s="154"/>
      <c r="O10" s="154"/>
      <c r="P10" s="154"/>
      <c r="Q10" s="154"/>
      <c r="R10" s="154"/>
      <c r="S10" s="154"/>
      <c r="T10" s="154"/>
      <c r="U10" s="154"/>
      <c r="V10" s="154"/>
      <c r="W10" s="154"/>
      <c r="X10" s="154"/>
    </row>
    <row r="11" spans="1:24" x14ac:dyDescent="0.2">
      <c r="A11" s="131" t="s">
        <v>100</v>
      </c>
      <c r="B11" s="130" t="s">
        <v>99</v>
      </c>
      <c r="C11" s="131" t="s">
        <v>34</v>
      </c>
      <c r="D11" s="131" t="s">
        <v>2062</v>
      </c>
      <c r="E11" s="131" t="s">
        <v>2075</v>
      </c>
      <c r="F11" s="131" t="s">
        <v>1949</v>
      </c>
      <c r="G11" s="132">
        <v>0.35</v>
      </c>
      <c r="H11" s="133" t="s">
        <v>1966</v>
      </c>
      <c r="I11" s="132">
        <v>0.35</v>
      </c>
      <c r="J11" s="133" t="s">
        <v>2076</v>
      </c>
      <c r="K11" s="131" t="s">
        <v>1649</v>
      </c>
      <c r="L11" s="131" t="s">
        <v>1952</v>
      </c>
      <c r="M11" s="154"/>
      <c r="N11" s="154"/>
      <c r="O11" s="154"/>
      <c r="P11" s="154"/>
      <c r="Q11" s="154"/>
      <c r="R11" s="154"/>
      <c r="S11" s="154"/>
      <c r="T11" s="154"/>
      <c r="U11" s="154"/>
      <c r="V11" s="154"/>
      <c r="W11" s="154"/>
      <c r="X11" s="154"/>
    </row>
    <row r="12" spans="1:24" x14ac:dyDescent="0.2">
      <c r="A12" s="131" t="s">
        <v>132</v>
      </c>
      <c r="B12" s="130" t="s">
        <v>131</v>
      </c>
      <c r="C12" s="131" t="s">
        <v>34</v>
      </c>
      <c r="D12" s="131" t="s">
        <v>2126</v>
      </c>
      <c r="E12" s="131" t="s">
        <v>2127</v>
      </c>
      <c r="F12" s="131" t="s">
        <v>1919</v>
      </c>
      <c r="G12" s="155"/>
      <c r="H12" s="156"/>
      <c r="I12" s="155"/>
      <c r="J12" s="156"/>
      <c r="K12" s="154"/>
      <c r="L12" s="154"/>
      <c r="M12" s="155"/>
      <c r="N12" s="156"/>
      <c r="O12" s="155"/>
      <c r="P12" s="156"/>
      <c r="Q12" s="154"/>
      <c r="R12" s="154"/>
      <c r="S12" s="155"/>
      <c r="T12" s="156"/>
      <c r="U12" s="155"/>
      <c r="V12" s="156"/>
      <c r="W12" s="154"/>
      <c r="X12" s="154"/>
    </row>
    <row r="13" spans="1:24" x14ac:dyDescent="0.2">
      <c r="A13" s="131" t="s">
        <v>146</v>
      </c>
      <c r="B13" s="130" t="s">
        <v>145</v>
      </c>
      <c r="C13" s="131" t="s">
        <v>34</v>
      </c>
      <c r="D13" s="131" t="s">
        <v>2145</v>
      </c>
      <c r="E13" s="131" t="s">
        <v>2146</v>
      </c>
      <c r="F13" s="131" t="s">
        <v>1919</v>
      </c>
      <c r="G13" s="132">
        <v>0.5</v>
      </c>
      <c r="H13" s="133" t="s">
        <v>2024</v>
      </c>
      <c r="I13" s="132">
        <v>0.5</v>
      </c>
      <c r="J13" s="133" t="s">
        <v>2147</v>
      </c>
      <c r="K13" s="131" t="s">
        <v>1649</v>
      </c>
      <c r="L13" s="131" t="s">
        <v>1952</v>
      </c>
      <c r="M13" s="155"/>
      <c r="N13" s="154"/>
      <c r="O13" s="155"/>
      <c r="P13" s="154"/>
      <c r="Q13" s="154"/>
      <c r="R13" s="154"/>
      <c r="S13" s="155"/>
      <c r="T13" s="154"/>
      <c r="U13" s="155"/>
      <c r="V13" s="154"/>
      <c r="W13" s="154"/>
      <c r="X13" s="154"/>
    </row>
    <row r="14" spans="1:24" x14ac:dyDescent="0.2">
      <c r="A14" s="131" t="s">
        <v>156</v>
      </c>
      <c r="B14" s="130" t="s">
        <v>155</v>
      </c>
      <c r="C14" s="131" t="s">
        <v>34</v>
      </c>
      <c r="D14" s="131" t="s">
        <v>1969</v>
      </c>
      <c r="E14" s="131" t="s">
        <v>2160</v>
      </c>
      <c r="F14" s="131" t="s">
        <v>1949</v>
      </c>
      <c r="G14" s="132">
        <v>1</v>
      </c>
      <c r="H14" s="133" t="s">
        <v>2161</v>
      </c>
      <c r="I14" s="132">
        <v>0.35</v>
      </c>
      <c r="J14" s="133" t="s">
        <v>2161</v>
      </c>
      <c r="K14" s="131" t="s">
        <v>1649</v>
      </c>
      <c r="L14" s="131" t="s">
        <v>1952</v>
      </c>
      <c r="M14" s="155"/>
      <c r="N14" s="154"/>
      <c r="O14" s="155"/>
      <c r="P14" s="154"/>
      <c r="Q14" s="154"/>
      <c r="R14" s="154"/>
      <c r="S14" s="155"/>
      <c r="T14" s="154"/>
      <c r="U14" s="155"/>
      <c r="V14" s="154"/>
      <c r="W14" s="154"/>
      <c r="X14" s="154"/>
    </row>
    <row r="15" spans="1:24" x14ac:dyDescent="0.2">
      <c r="A15" s="131" t="s">
        <v>164</v>
      </c>
      <c r="B15" s="130" t="s">
        <v>163</v>
      </c>
      <c r="C15" s="131" t="s">
        <v>34</v>
      </c>
      <c r="D15" s="131" t="s">
        <v>2105</v>
      </c>
      <c r="E15" s="131" t="s">
        <v>2175</v>
      </c>
      <c r="F15" s="131" t="s">
        <v>1919</v>
      </c>
      <c r="G15" s="132">
        <v>0.25</v>
      </c>
      <c r="H15" s="133" t="s">
        <v>2176</v>
      </c>
      <c r="I15" s="132">
        <v>0.25</v>
      </c>
      <c r="J15" s="133" t="s">
        <v>2177</v>
      </c>
      <c r="K15" s="131" t="s">
        <v>1649</v>
      </c>
      <c r="L15" s="131" t="s">
        <v>1990</v>
      </c>
      <c r="M15" s="154"/>
      <c r="N15" s="154"/>
      <c r="O15" s="154"/>
      <c r="P15" s="154"/>
      <c r="Q15" s="154"/>
      <c r="R15" s="154"/>
      <c r="S15" s="154"/>
      <c r="T15" s="154"/>
      <c r="U15" s="154"/>
      <c r="V15" s="154"/>
      <c r="W15" s="154"/>
      <c r="X15" s="154"/>
    </row>
    <row r="16" spans="1:24" x14ac:dyDescent="0.2">
      <c r="A16" s="131" t="s">
        <v>176</v>
      </c>
      <c r="B16" s="130" t="s">
        <v>175</v>
      </c>
      <c r="C16" s="131" t="s">
        <v>34</v>
      </c>
      <c r="D16" s="131" t="s">
        <v>1947</v>
      </c>
      <c r="E16" s="131" t="s">
        <v>2037</v>
      </c>
      <c r="F16" s="131" t="s">
        <v>1919</v>
      </c>
      <c r="G16" s="132">
        <v>1</v>
      </c>
      <c r="H16" s="133" t="s">
        <v>2196</v>
      </c>
      <c r="I16" s="132">
        <v>0.83389999999999997</v>
      </c>
      <c r="J16" s="154" t="s">
        <v>1613</v>
      </c>
      <c r="K16" s="131" t="s">
        <v>1648</v>
      </c>
      <c r="L16" s="131" t="s">
        <v>1952</v>
      </c>
      <c r="M16" s="132">
        <v>0.1661</v>
      </c>
      <c r="N16" s="133" t="s">
        <v>2119</v>
      </c>
      <c r="O16" s="132">
        <v>0.1661</v>
      </c>
      <c r="P16" s="133" t="s">
        <v>2197</v>
      </c>
      <c r="Q16" s="131" t="s">
        <v>1649</v>
      </c>
      <c r="R16" s="131" t="s">
        <v>1990</v>
      </c>
      <c r="S16" s="154" t="s">
        <v>1613</v>
      </c>
      <c r="T16" s="154"/>
      <c r="U16" s="154"/>
      <c r="V16" s="154"/>
      <c r="W16" s="154"/>
      <c r="X16" s="154"/>
    </row>
    <row r="17" spans="1:24" x14ac:dyDescent="0.2">
      <c r="A17" s="131" t="s">
        <v>184</v>
      </c>
      <c r="B17" s="130" t="s">
        <v>183</v>
      </c>
      <c r="C17" s="131" t="s">
        <v>34</v>
      </c>
      <c r="D17" s="131" t="s">
        <v>2126</v>
      </c>
      <c r="E17" s="131" t="s">
        <v>2203</v>
      </c>
      <c r="F17" s="131" t="s">
        <v>1919</v>
      </c>
      <c r="G17" s="132">
        <v>0.89439999999999997</v>
      </c>
      <c r="H17" s="133" t="s">
        <v>2204</v>
      </c>
      <c r="I17" s="132">
        <v>0.89439999999999997</v>
      </c>
      <c r="J17" s="133" t="s">
        <v>2205</v>
      </c>
      <c r="K17" s="131" t="s">
        <v>1649</v>
      </c>
      <c r="L17" s="131" t="s">
        <v>1952</v>
      </c>
      <c r="M17" s="132">
        <v>0.9</v>
      </c>
      <c r="N17" s="133" t="s">
        <v>2206</v>
      </c>
      <c r="O17" s="132">
        <v>0.75</v>
      </c>
      <c r="P17" s="133" t="s">
        <v>2207</v>
      </c>
      <c r="Q17" s="131" t="s">
        <v>1649</v>
      </c>
      <c r="R17" s="131" t="s">
        <v>2054</v>
      </c>
      <c r="S17" s="154" t="s">
        <v>1613</v>
      </c>
      <c r="T17" s="154"/>
      <c r="U17" s="154"/>
      <c r="V17" s="154"/>
      <c r="W17" s="154"/>
      <c r="X17" s="154"/>
    </row>
    <row r="18" spans="1:24" x14ac:dyDescent="0.2">
      <c r="A18" s="131" t="s">
        <v>186</v>
      </c>
      <c r="B18" s="130" t="s">
        <v>185</v>
      </c>
      <c r="C18" s="131" t="s">
        <v>34</v>
      </c>
      <c r="D18" s="131" t="s">
        <v>2122</v>
      </c>
      <c r="E18" s="131" t="s">
        <v>2208</v>
      </c>
      <c r="F18" s="131" t="s">
        <v>1919</v>
      </c>
      <c r="G18" s="132">
        <v>1</v>
      </c>
      <c r="H18" s="133" t="s">
        <v>2209</v>
      </c>
      <c r="I18" s="132">
        <v>1</v>
      </c>
      <c r="J18" s="133" t="s">
        <v>2210</v>
      </c>
      <c r="K18" s="131" t="s">
        <v>1649</v>
      </c>
      <c r="L18" s="131" t="s">
        <v>1944</v>
      </c>
      <c r="M18" s="154"/>
      <c r="N18" s="154"/>
      <c r="O18" s="154"/>
      <c r="P18" s="154"/>
      <c r="Q18" s="154"/>
      <c r="R18" s="154"/>
      <c r="S18" s="154"/>
      <c r="T18" s="154"/>
      <c r="U18" s="154"/>
      <c r="V18" s="154"/>
      <c r="W18" s="154"/>
      <c r="X18" s="154"/>
    </row>
    <row r="19" spans="1:24" x14ac:dyDescent="0.2">
      <c r="A19" s="131" t="s">
        <v>202</v>
      </c>
      <c r="B19" s="130" t="s">
        <v>201</v>
      </c>
      <c r="C19" s="131" t="s">
        <v>34</v>
      </c>
      <c r="D19" s="131" t="s">
        <v>2045</v>
      </c>
      <c r="E19" s="131" t="s">
        <v>2235</v>
      </c>
      <c r="F19" s="131" t="s">
        <v>1949</v>
      </c>
      <c r="G19" s="132">
        <v>0.5</v>
      </c>
      <c r="H19" s="133" t="s">
        <v>2052</v>
      </c>
      <c r="I19" s="132">
        <v>0.48799999999999999</v>
      </c>
      <c r="J19" s="133" t="s">
        <v>2236</v>
      </c>
      <c r="K19" s="131" t="s">
        <v>1649</v>
      </c>
      <c r="L19" s="131" t="s">
        <v>1952</v>
      </c>
      <c r="M19" s="132">
        <v>0.5</v>
      </c>
      <c r="N19" s="133" t="s">
        <v>2052</v>
      </c>
      <c r="O19" s="132">
        <v>0.48799999999999999</v>
      </c>
      <c r="P19" s="133" t="s">
        <v>2236</v>
      </c>
      <c r="Q19" s="131" t="s">
        <v>1649</v>
      </c>
      <c r="R19" s="131" t="s">
        <v>1952</v>
      </c>
      <c r="S19" s="154" t="s">
        <v>1613</v>
      </c>
      <c r="T19" s="154"/>
      <c r="U19" s="154"/>
      <c r="V19" s="154"/>
      <c r="W19" s="154"/>
      <c r="X19" s="154"/>
    </row>
    <row r="20" spans="1:24" x14ac:dyDescent="0.2">
      <c r="A20" s="131" t="s">
        <v>204</v>
      </c>
      <c r="B20" s="130" t="s">
        <v>203</v>
      </c>
      <c r="C20" s="131" t="s">
        <v>34</v>
      </c>
      <c r="D20" s="131" t="s">
        <v>2237</v>
      </c>
      <c r="E20" s="131" t="s">
        <v>2238</v>
      </c>
      <c r="F20" s="131" t="s">
        <v>1919</v>
      </c>
      <c r="G20" s="132">
        <v>0.6</v>
      </c>
      <c r="H20" s="133" t="s">
        <v>2239</v>
      </c>
      <c r="I20" s="132">
        <v>0.4</v>
      </c>
      <c r="J20" s="133" t="s">
        <v>2240</v>
      </c>
      <c r="K20" s="131" t="s">
        <v>1649</v>
      </c>
      <c r="L20" s="131" t="s">
        <v>1952</v>
      </c>
      <c r="M20" s="155"/>
      <c r="N20" s="154"/>
      <c r="O20" s="155"/>
      <c r="P20" s="154"/>
      <c r="Q20" s="154"/>
      <c r="R20" s="154"/>
      <c r="S20" s="155"/>
      <c r="T20" s="154"/>
      <c r="U20" s="155"/>
      <c r="V20" s="154"/>
      <c r="W20" s="154"/>
      <c r="X20" s="154"/>
    </row>
    <row r="21" spans="1:24" x14ac:dyDescent="0.2">
      <c r="A21" s="131" t="s">
        <v>206</v>
      </c>
      <c r="B21" s="130" t="s">
        <v>205</v>
      </c>
      <c r="C21" s="131" t="s">
        <v>34</v>
      </c>
      <c r="D21" s="131" t="s">
        <v>2241</v>
      </c>
      <c r="E21" s="131" t="s">
        <v>2242</v>
      </c>
      <c r="F21" s="131" t="s">
        <v>1949</v>
      </c>
      <c r="G21" s="132">
        <v>1</v>
      </c>
      <c r="H21" s="133" t="s">
        <v>2243</v>
      </c>
      <c r="I21" s="132">
        <v>1</v>
      </c>
      <c r="J21" s="133" t="s">
        <v>2244</v>
      </c>
      <c r="K21" s="131" t="s">
        <v>1649</v>
      </c>
      <c r="L21" s="131" t="s">
        <v>2245</v>
      </c>
      <c r="M21" s="154"/>
      <c r="N21" s="154"/>
      <c r="O21" s="154"/>
      <c r="P21" s="154"/>
      <c r="Q21" s="154"/>
      <c r="R21" s="154"/>
      <c r="S21" s="154"/>
      <c r="T21" s="154"/>
      <c r="U21" s="154"/>
      <c r="V21" s="154"/>
      <c r="W21" s="154"/>
      <c r="X21" s="154"/>
    </row>
    <row r="22" spans="1:24" x14ac:dyDescent="0.2">
      <c r="A22" s="131" t="s">
        <v>208</v>
      </c>
      <c r="B22" s="130" t="s">
        <v>207</v>
      </c>
      <c r="C22" s="131" t="s">
        <v>34</v>
      </c>
      <c r="D22" s="131" t="s">
        <v>1964</v>
      </c>
      <c r="E22" s="131" t="s">
        <v>2246</v>
      </c>
      <c r="F22" s="131" t="s">
        <v>1919</v>
      </c>
      <c r="G22" s="132">
        <v>0.5</v>
      </c>
      <c r="H22" s="133" t="s">
        <v>2247</v>
      </c>
      <c r="I22" s="132">
        <v>0.5</v>
      </c>
      <c r="J22" s="133" t="s">
        <v>2248</v>
      </c>
      <c r="K22" s="131" t="s">
        <v>1649</v>
      </c>
      <c r="L22" s="131" t="s">
        <v>1952</v>
      </c>
      <c r="M22" s="154"/>
      <c r="N22" s="154"/>
      <c r="O22" s="154"/>
      <c r="P22" s="154"/>
      <c r="Q22" s="154"/>
      <c r="R22" s="154"/>
      <c r="S22" s="154"/>
      <c r="T22" s="154"/>
      <c r="U22" s="154"/>
      <c r="V22" s="154"/>
      <c r="W22" s="154"/>
      <c r="X22" s="154"/>
    </row>
    <row r="23" spans="1:24" x14ac:dyDescent="0.2">
      <c r="A23" s="131" t="s">
        <v>210</v>
      </c>
      <c r="B23" s="130" t="s">
        <v>209</v>
      </c>
      <c r="C23" s="131" t="s">
        <v>34</v>
      </c>
      <c r="D23" s="131" t="s">
        <v>2062</v>
      </c>
      <c r="E23" s="131" t="s">
        <v>2065</v>
      </c>
      <c r="F23" s="131" t="s">
        <v>2066</v>
      </c>
      <c r="G23" s="132">
        <v>0.3</v>
      </c>
      <c r="H23" s="133" t="s">
        <v>2249</v>
      </c>
      <c r="I23" s="132">
        <v>0.3</v>
      </c>
      <c r="J23" s="133" t="s">
        <v>2250</v>
      </c>
      <c r="K23" s="131" t="s">
        <v>1649</v>
      </c>
      <c r="L23" s="131" t="s">
        <v>1952</v>
      </c>
      <c r="M23" s="154"/>
      <c r="N23" s="154"/>
      <c r="O23" s="154"/>
      <c r="P23" s="154"/>
      <c r="Q23" s="154"/>
      <c r="R23" s="154"/>
      <c r="S23" s="154"/>
      <c r="T23" s="154"/>
      <c r="U23" s="154"/>
      <c r="V23" s="154"/>
      <c r="W23" s="154"/>
      <c r="X23" s="154"/>
    </row>
    <row r="24" spans="1:24" x14ac:dyDescent="0.2">
      <c r="A24" s="131" t="s">
        <v>256</v>
      </c>
      <c r="B24" s="130" t="s">
        <v>255</v>
      </c>
      <c r="C24" s="131" t="s">
        <v>34</v>
      </c>
      <c r="D24" s="131" t="s">
        <v>1953</v>
      </c>
      <c r="E24" s="131" t="s">
        <v>2310</v>
      </c>
      <c r="F24" s="131" t="s">
        <v>1919</v>
      </c>
      <c r="G24" s="132">
        <v>0.2</v>
      </c>
      <c r="H24" s="133" t="s">
        <v>2311</v>
      </c>
      <c r="I24" s="132">
        <v>0.2</v>
      </c>
      <c r="J24" s="133" t="s">
        <v>2312</v>
      </c>
      <c r="K24" s="131" t="s">
        <v>1649</v>
      </c>
      <c r="L24" s="131" t="s">
        <v>1990</v>
      </c>
      <c r="M24" s="155"/>
      <c r="N24" s="156"/>
      <c r="O24" s="155"/>
      <c r="P24" s="156"/>
      <c r="Q24" s="154"/>
      <c r="R24" s="154"/>
      <c r="S24" s="155"/>
      <c r="T24" s="156"/>
      <c r="U24" s="155"/>
      <c r="V24" s="156"/>
      <c r="W24" s="154"/>
      <c r="X24" s="154"/>
    </row>
    <row r="25" spans="1:24" x14ac:dyDescent="0.2">
      <c r="A25" s="131" t="s">
        <v>258</v>
      </c>
      <c r="B25" s="130" t="s">
        <v>257</v>
      </c>
      <c r="C25" s="131" t="s">
        <v>34</v>
      </c>
      <c r="D25" s="131" t="s">
        <v>2037</v>
      </c>
      <c r="E25" s="131" t="s">
        <v>2313</v>
      </c>
      <c r="F25" s="131" t="s">
        <v>1949</v>
      </c>
      <c r="G25" s="132">
        <v>1</v>
      </c>
      <c r="H25" s="133" t="s">
        <v>2314</v>
      </c>
      <c r="I25" s="132">
        <v>0.98109999999999997</v>
      </c>
      <c r="J25" s="133" t="s">
        <v>1991</v>
      </c>
      <c r="K25" s="131" t="s">
        <v>1648</v>
      </c>
      <c r="L25" s="131" t="s">
        <v>1952</v>
      </c>
      <c r="M25" s="154"/>
      <c r="N25" s="154"/>
      <c r="O25" s="154"/>
      <c r="P25" s="154"/>
      <c r="Q25" s="154"/>
      <c r="R25" s="154"/>
      <c r="S25" s="154"/>
      <c r="T25" s="154"/>
      <c r="U25" s="154"/>
      <c r="V25" s="154"/>
      <c r="W25" s="154"/>
      <c r="X25" s="154"/>
    </row>
    <row r="26" spans="1:24" x14ac:dyDescent="0.2">
      <c r="A26" s="131" t="s">
        <v>264</v>
      </c>
      <c r="B26" s="130" t="s">
        <v>263</v>
      </c>
      <c r="C26" s="131" t="s">
        <v>34</v>
      </c>
      <c r="D26" s="131" t="s">
        <v>2122</v>
      </c>
      <c r="E26" s="131" t="s">
        <v>2320</v>
      </c>
      <c r="F26" s="131" t="s">
        <v>1949</v>
      </c>
      <c r="G26" s="132">
        <v>0.5</v>
      </c>
      <c r="H26" s="133" t="s">
        <v>2321</v>
      </c>
      <c r="I26" s="132">
        <v>0.49</v>
      </c>
      <c r="J26" s="133" t="s">
        <v>2322</v>
      </c>
      <c r="K26" s="131" t="s">
        <v>1648</v>
      </c>
      <c r="L26" s="131" t="s">
        <v>1990</v>
      </c>
      <c r="M26" s="132">
        <v>0.3</v>
      </c>
      <c r="N26" s="133" t="s">
        <v>2323</v>
      </c>
      <c r="O26" s="132">
        <v>0.28999999999999998</v>
      </c>
      <c r="P26" s="154" t="s">
        <v>1613</v>
      </c>
      <c r="Q26" s="131" t="s">
        <v>1648</v>
      </c>
      <c r="R26" s="131" t="s">
        <v>1990</v>
      </c>
      <c r="S26" s="154" t="s">
        <v>1613</v>
      </c>
      <c r="T26" s="154"/>
      <c r="U26" s="154"/>
      <c r="V26" s="154"/>
      <c r="W26" s="154"/>
      <c r="X26" s="154"/>
    </row>
    <row r="27" spans="1:24" x14ac:dyDescent="0.2">
      <c r="A27" s="131" t="s">
        <v>272</v>
      </c>
      <c r="B27" s="130" t="s">
        <v>271</v>
      </c>
      <c r="C27" s="131" t="s">
        <v>34</v>
      </c>
      <c r="D27" s="131" t="s">
        <v>2334</v>
      </c>
      <c r="E27" s="131" t="s">
        <v>2335</v>
      </c>
      <c r="F27" s="131" t="s">
        <v>1919</v>
      </c>
      <c r="G27" s="155"/>
      <c r="H27" s="154"/>
      <c r="I27" s="155"/>
      <c r="J27" s="154"/>
      <c r="K27" s="154"/>
      <c r="L27" s="154"/>
      <c r="M27" s="155"/>
      <c r="N27" s="154"/>
      <c r="O27" s="155"/>
      <c r="P27" s="154"/>
      <c r="Q27" s="154"/>
      <c r="R27" s="154"/>
      <c r="S27" s="155"/>
      <c r="T27" s="154"/>
      <c r="U27" s="155"/>
      <c r="V27" s="154"/>
      <c r="W27" s="154"/>
      <c r="X27" s="154"/>
    </row>
    <row r="28" spans="1:24" x14ac:dyDescent="0.2">
      <c r="A28" s="131" t="s">
        <v>286</v>
      </c>
      <c r="B28" s="130" t="s">
        <v>285</v>
      </c>
      <c r="C28" s="131" t="s">
        <v>34</v>
      </c>
      <c r="D28" s="131" t="s">
        <v>1940</v>
      </c>
      <c r="E28" s="131" t="s">
        <v>2358</v>
      </c>
      <c r="F28" s="131" t="s">
        <v>2066</v>
      </c>
      <c r="G28" s="132">
        <v>1</v>
      </c>
      <c r="H28" s="133" t="s">
        <v>2359</v>
      </c>
      <c r="I28" s="132">
        <v>9.6389999999999993</v>
      </c>
      <c r="J28" s="133" t="s">
        <v>1991</v>
      </c>
      <c r="K28" s="131" t="s">
        <v>1648</v>
      </c>
      <c r="L28" s="131" t="s">
        <v>1990</v>
      </c>
      <c r="M28" s="155"/>
      <c r="N28" s="154"/>
      <c r="O28" s="155"/>
      <c r="P28" s="154"/>
      <c r="Q28" s="154"/>
      <c r="R28" s="154"/>
      <c r="S28" s="155"/>
      <c r="T28" s="154"/>
      <c r="U28" s="155"/>
      <c r="V28" s="154"/>
      <c r="W28" s="154"/>
      <c r="X28" s="154"/>
    </row>
    <row r="29" spans="1:24" x14ac:dyDescent="0.2">
      <c r="A29" s="131" t="s">
        <v>298</v>
      </c>
      <c r="B29" s="130" t="s">
        <v>297</v>
      </c>
      <c r="C29" s="131" t="s">
        <v>34</v>
      </c>
      <c r="D29" s="131" t="s">
        <v>2057</v>
      </c>
      <c r="E29" s="131" t="s">
        <v>2373</v>
      </c>
      <c r="F29" s="131" t="s">
        <v>1919</v>
      </c>
      <c r="G29" s="132">
        <v>1</v>
      </c>
      <c r="H29" s="133" t="s">
        <v>2374</v>
      </c>
      <c r="I29" s="132">
        <v>0.98809999999999998</v>
      </c>
      <c r="J29" s="133" t="s">
        <v>2375</v>
      </c>
      <c r="K29" s="131" t="s">
        <v>1649</v>
      </c>
      <c r="L29" s="131" t="s">
        <v>1968</v>
      </c>
      <c r="M29" s="132">
        <v>0.3</v>
      </c>
      <c r="N29" s="133" t="s">
        <v>2376</v>
      </c>
      <c r="O29" s="132">
        <v>0.19389999999999999</v>
      </c>
      <c r="P29" s="133" t="s">
        <v>1615</v>
      </c>
      <c r="Q29" s="131" t="s">
        <v>1648</v>
      </c>
      <c r="R29" s="131" t="s">
        <v>1968</v>
      </c>
      <c r="S29" s="154" t="s">
        <v>1613</v>
      </c>
      <c r="T29" s="154"/>
      <c r="U29" s="154"/>
      <c r="V29" s="154"/>
      <c r="W29" s="154"/>
      <c r="X29" s="154"/>
    </row>
    <row r="30" spans="1:24" x14ac:dyDescent="0.2">
      <c r="A30" s="131" t="s">
        <v>306</v>
      </c>
      <c r="B30" s="130" t="s">
        <v>305</v>
      </c>
      <c r="C30" s="131" t="s">
        <v>34</v>
      </c>
      <c r="D30" s="131" t="s">
        <v>2264</v>
      </c>
      <c r="E30" s="131" t="s">
        <v>2386</v>
      </c>
      <c r="F30" s="131" t="s">
        <v>1919</v>
      </c>
      <c r="G30" s="132">
        <v>0.57999999999999996</v>
      </c>
      <c r="H30" s="133" t="s">
        <v>2387</v>
      </c>
      <c r="I30" s="132">
        <v>0</v>
      </c>
      <c r="J30" s="133" t="s">
        <v>2388</v>
      </c>
      <c r="K30" s="131" t="s">
        <v>1649</v>
      </c>
      <c r="L30" s="131" t="s">
        <v>1990</v>
      </c>
      <c r="M30" s="159"/>
      <c r="N30" s="158"/>
      <c r="O30" s="159"/>
      <c r="P30" s="158"/>
      <c r="Q30" s="158"/>
      <c r="R30" s="158"/>
      <c r="S30" s="155"/>
      <c r="T30" s="154"/>
      <c r="U30" s="155"/>
      <c r="V30" s="154"/>
      <c r="W30" s="154"/>
      <c r="X30" s="154"/>
    </row>
    <row r="31" spans="1:24" x14ac:dyDescent="0.2">
      <c r="A31" s="131" t="s">
        <v>314</v>
      </c>
      <c r="B31" s="130" t="s">
        <v>313</v>
      </c>
      <c r="C31" s="131" t="s">
        <v>34</v>
      </c>
      <c r="D31" s="131" t="s">
        <v>2393</v>
      </c>
      <c r="E31" s="131" t="s">
        <v>2394</v>
      </c>
      <c r="F31" s="131" t="s">
        <v>1949</v>
      </c>
      <c r="G31" s="132">
        <v>0.28000000000000003</v>
      </c>
      <c r="H31" s="133" t="s">
        <v>2395</v>
      </c>
      <c r="I31" s="132">
        <v>0.27460000000000001</v>
      </c>
      <c r="J31" s="133" t="s">
        <v>2396</v>
      </c>
      <c r="K31" s="131" t="s">
        <v>1649</v>
      </c>
      <c r="L31" s="131" t="s">
        <v>1990</v>
      </c>
      <c r="M31" s="154"/>
      <c r="N31" s="154"/>
      <c r="O31" s="154"/>
      <c r="P31" s="154"/>
      <c r="Q31" s="154"/>
      <c r="R31" s="154"/>
      <c r="S31" s="154"/>
      <c r="T31" s="154"/>
      <c r="U31" s="154"/>
      <c r="V31" s="154"/>
      <c r="W31" s="154"/>
      <c r="X31" s="154"/>
    </row>
    <row r="32" spans="1:24" x14ac:dyDescent="0.2">
      <c r="A32" s="131" t="s">
        <v>316</v>
      </c>
      <c r="B32" s="130" t="s">
        <v>315</v>
      </c>
      <c r="C32" s="131" t="s">
        <v>34</v>
      </c>
      <c r="D32" s="131" t="s">
        <v>1992</v>
      </c>
      <c r="E32" s="131" t="s">
        <v>2397</v>
      </c>
      <c r="F32" s="131" t="s">
        <v>1919</v>
      </c>
      <c r="G32" s="132">
        <v>0.87060000000000004</v>
      </c>
      <c r="H32" s="133" t="s">
        <v>2398</v>
      </c>
      <c r="I32" s="132">
        <v>0.9</v>
      </c>
      <c r="J32" s="133" t="s">
        <v>2399</v>
      </c>
      <c r="K32" s="131" t="s">
        <v>1649</v>
      </c>
      <c r="L32" s="131" t="s">
        <v>1990</v>
      </c>
      <c r="M32" s="155"/>
      <c r="N32" s="156"/>
      <c r="O32" s="155"/>
      <c r="P32" s="156"/>
      <c r="Q32" s="154"/>
      <c r="R32" s="154"/>
      <c r="S32" s="155"/>
      <c r="T32" s="156"/>
      <c r="U32" s="155"/>
      <c r="V32" s="156"/>
      <c r="W32" s="154"/>
      <c r="X32" s="154"/>
    </row>
    <row r="33" spans="1:24" x14ac:dyDescent="0.2">
      <c r="A33" s="131" t="s">
        <v>364</v>
      </c>
      <c r="B33" s="130" t="s">
        <v>363</v>
      </c>
      <c r="C33" s="131" t="s">
        <v>34</v>
      </c>
      <c r="D33" s="131" t="s">
        <v>1960</v>
      </c>
      <c r="E33" s="131" t="s">
        <v>2475</v>
      </c>
      <c r="F33" s="131" t="s">
        <v>2066</v>
      </c>
      <c r="G33" s="132">
        <v>1</v>
      </c>
      <c r="H33" s="133" t="s">
        <v>2269</v>
      </c>
      <c r="I33" s="132">
        <v>1</v>
      </c>
      <c r="J33" s="133" t="s">
        <v>2476</v>
      </c>
      <c r="K33" s="131" t="s">
        <v>1649</v>
      </c>
      <c r="L33" s="131" t="s">
        <v>1952</v>
      </c>
      <c r="M33" s="154"/>
      <c r="N33" s="154"/>
      <c r="O33" s="154"/>
      <c r="P33" s="154"/>
      <c r="Q33" s="154"/>
      <c r="R33" s="154"/>
      <c r="S33" s="154"/>
      <c r="T33" s="154"/>
      <c r="U33" s="154"/>
      <c r="V33" s="154"/>
      <c r="W33" s="154"/>
      <c r="X33" s="154"/>
    </row>
    <row r="34" spans="1:24" x14ac:dyDescent="0.2">
      <c r="A34" s="131" t="s">
        <v>380</v>
      </c>
      <c r="B34" s="130" t="s">
        <v>379</v>
      </c>
      <c r="C34" s="131" t="s">
        <v>34</v>
      </c>
      <c r="D34" s="131" t="s">
        <v>2178</v>
      </c>
      <c r="E34" s="131" t="s">
        <v>2489</v>
      </c>
      <c r="F34" s="131" t="s">
        <v>1919</v>
      </c>
      <c r="G34" s="132">
        <v>0.3</v>
      </c>
      <c r="H34" s="133" t="s">
        <v>2490</v>
      </c>
      <c r="I34" s="132">
        <v>0.29649999999999999</v>
      </c>
      <c r="J34" s="133" t="s">
        <v>2031</v>
      </c>
      <c r="K34" s="131" t="s">
        <v>1648</v>
      </c>
      <c r="L34" s="131" t="s">
        <v>1952</v>
      </c>
      <c r="M34" s="155"/>
      <c r="N34" s="156"/>
      <c r="O34" s="155"/>
      <c r="P34" s="156"/>
      <c r="Q34" s="154"/>
      <c r="R34" s="154"/>
      <c r="S34" s="155"/>
      <c r="T34" s="156"/>
      <c r="U34" s="155"/>
      <c r="V34" s="156"/>
      <c r="W34" s="154"/>
      <c r="X34" s="154"/>
    </row>
    <row r="35" spans="1:24" x14ac:dyDescent="0.2">
      <c r="A35" s="131" t="s">
        <v>412</v>
      </c>
      <c r="B35" s="130" t="s">
        <v>411</v>
      </c>
      <c r="C35" s="131" t="s">
        <v>34</v>
      </c>
      <c r="D35" s="131" t="s">
        <v>2131</v>
      </c>
      <c r="E35" s="131" t="s">
        <v>2520</v>
      </c>
      <c r="F35" s="131" t="s">
        <v>2133</v>
      </c>
      <c r="G35" s="155"/>
      <c r="H35" s="154"/>
      <c r="I35" s="155"/>
      <c r="J35" s="154"/>
      <c r="K35" s="154"/>
      <c r="L35" s="154"/>
      <c r="M35" s="155"/>
      <c r="N35" s="154"/>
      <c r="O35" s="155"/>
      <c r="P35" s="154"/>
      <c r="Q35" s="154"/>
      <c r="R35" s="154"/>
      <c r="S35" s="155"/>
      <c r="T35" s="154"/>
      <c r="U35" s="155"/>
      <c r="V35" s="154"/>
      <c r="W35" s="154"/>
      <c r="X35" s="154"/>
    </row>
    <row r="36" spans="1:24" x14ac:dyDescent="0.2">
      <c r="A36" s="131" t="s">
        <v>419</v>
      </c>
      <c r="B36" s="130" t="s">
        <v>418</v>
      </c>
      <c r="C36" s="131" t="s">
        <v>34</v>
      </c>
      <c r="D36" s="131" t="s">
        <v>2022</v>
      </c>
      <c r="E36" s="131" t="s">
        <v>2528</v>
      </c>
      <c r="F36" s="131" t="s">
        <v>2066</v>
      </c>
      <c r="G36" s="155"/>
      <c r="H36" s="156"/>
      <c r="I36" s="155"/>
      <c r="J36" s="156"/>
      <c r="K36" s="154"/>
      <c r="L36" s="154"/>
      <c r="M36" s="155"/>
      <c r="N36" s="156"/>
      <c r="O36" s="155"/>
      <c r="P36" s="154"/>
      <c r="Q36" s="154"/>
      <c r="R36" s="154"/>
      <c r="S36" s="155"/>
      <c r="T36" s="156"/>
      <c r="U36" s="155"/>
      <c r="V36" s="156"/>
      <c r="W36" s="154"/>
      <c r="X36" s="154"/>
    </row>
    <row r="37" spans="1:24" x14ac:dyDescent="0.2">
      <c r="A37" s="131" t="s">
        <v>421</v>
      </c>
      <c r="B37" s="130" t="s">
        <v>420</v>
      </c>
      <c r="C37" s="131" t="s">
        <v>34</v>
      </c>
      <c r="D37" s="131" t="s">
        <v>2446</v>
      </c>
      <c r="E37" s="131" t="s">
        <v>2529</v>
      </c>
      <c r="F37" s="131" t="s">
        <v>2066</v>
      </c>
      <c r="G37" s="132">
        <v>1</v>
      </c>
      <c r="H37" s="133" t="s">
        <v>2530</v>
      </c>
      <c r="I37" s="132">
        <v>0.91</v>
      </c>
      <c r="J37" s="154" t="s">
        <v>1613</v>
      </c>
      <c r="K37" s="131" t="s">
        <v>1648</v>
      </c>
      <c r="L37" s="131" t="s">
        <v>1952</v>
      </c>
      <c r="M37" s="154"/>
      <c r="N37" s="154"/>
      <c r="O37" s="154"/>
      <c r="P37" s="154"/>
      <c r="Q37" s="154"/>
      <c r="R37" s="154"/>
      <c r="S37" s="154"/>
      <c r="T37" s="156"/>
      <c r="U37" s="154"/>
      <c r="V37" s="154"/>
      <c r="W37" s="154"/>
      <c r="X37" s="154"/>
    </row>
    <row r="38" spans="1:24" x14ac:dyDescent="0.2">
      <c r="A38" s="131" t="s">
        <v>425</v>
      </c>
      <c r="B38" s="130" t="s">
        <v>424</v>
      </c>
      <c r="C38" s="131" t="s">
        <v>34</v>
      </c>
      <c r="D38" s="131" t="s">
        <v>2393</v>
      </c>
      <c r="E38" s="131" t="s">
        <v>2393</v>
      </c>
      <c r="F38" s="131" t="s">
        <v>1919</v>
      </c>
      <c r="G38" s="155"/>
      <c r="H38" s="156"/>
      <c r="I38" s="155"/>
      <c r="J38" s="154"/>
      <c r="K38" s="154"/>
      <c r="L38" s="154"/>
      <c r="M38" s="155"/>
      <c r="N38" s="154"/>
      <c r="O38" s="155"/>
      <c r="P38" s="154"/>
      <c r="Q38" s="154"/>
      <c r="R38" s="154"/>
      <c r="S38" s="155"/>
      <c r="T38" s="154"/>
      <c r="U38" s="155"/>
      <c r="V38" s="154"/>
      <c r="W38" s="154"/>
      <c r="X38" s="154"/>
    </row>
    <row r="39" spans="1:24" x14ac:dyDescent="0.2">
      <c r="A39" s="131" t="s">
        <v>435</v>
      </c>
      <c r="B39" s="130" t="s">
        <v>434</v>
      </c>
      <c r="C39" s="131" t="s">
        <v>34</v>
      </c>
      <c r="D39" s="131" t="s">
        <v>2316</v>
      </c>
      <c r="E39" s="131" t="s">
        <v>2543</v>
      </c>
      <c r="F39" s="131" t="s">
        <v>1949</v>
      </c>
      <c r="G39" s="155"/>
      <c r="H39" s="156"/>
      <c r="I39" s="155"/>
      <c r="J39" s="154"/>
      <c r="K39" s="154"/>
      <c r="L39" s="154"/>
      <c r="M39" s="154"/>
      <c r="N39" s="154"/>
      <c r="O39" s="154"/>
      <c r="P39" s="154"/>
      <c r="Q39" s="154"/>
      <c r="R39" s="154"/>
      <c r="S39" s="154"/>
      <c r="T39" s="154"/>
      <c r="U39" s="154"/>
      <c r="V39" s="154"/>
      <c r="W39" s="154"/>
      <c r="X39" s="154"/>
    </row>
    <row r="40" spans="1:24" x14ac:dyDescent="0.2">
      <c r="A40" s="131" t="s">
        <v>441</v>
      </c>
      <c r="B40" s="130" t="s">
        <v>440</v>
      </c>
      <c r="C40" s="131" t="s">
        <v>34</v>
      </c>
      <c r="D40" s="131" t="s">
        <v>2134</v>
      </c>
      <c r="E40" s="131" t="s">
        <v>2550</v>
      </c>
      <c r="F40" s="131" t="s">
        <v>1949</v>
      </c>
      <c r="G40" s="132">
        <v>0.99750000000000005</v>
      </c>
      <c r="H40" s="133" t="s">
        <v>2551</v>
      </c>
      <c r="I40" s="132">
        <v>1</v>
      </c>
      <c r="J40" s="133" t="s">
        <v>1615</v>
      </c>
      <c r="K40" s="131" t="s">
        <v>1648</v>
      </c>
      <c r="L40" s="131" t="s">
        <v>1990</v>
      </c>
      <c r="M40" s="154"/>
      <c r="N40" s="154"/>
      <c r="O40" s="154"/>
      <c r="P40" s="154"/>
      <c r="Q40" s="154"/>
      <c r="R40" s="154"/>
      <c r="S40" s="154"/>
      <c r="T40" s="154"/>
      <c r="U40" s="154"/>
      <c r="V40" s="154"/>
      <c r="W40" s="154"/>
      <c r="X40" s="154"/>
    </row>
    <row r="41" spans="1:24" x14ac:dyDescent="0.2">
      <c r="A41" s="131" t="s">
        <v>454</v>
      </c>
      <c r="B41" s="130" t="s">
        <v>453</v>
      </c>
      <c r="C41" s="131" t="s">
        <v>34</v>
      </c>
      <c r="D41" s="131" t="s">
        <v>2002</v>
      </c>
      <c r="E41" s="131" t="s">
        <v>2565</v>
      </c>
      <c r="F41" s="131" t="s">
        <v>1949</v>
      </c>
      <c r="G41" s="132">
        <v>1</v>
      </c>
      <c r="H41" s="133" t="s">
        <v>1995</v>
      </c>
      <c r="I41" s="132">
        <v>0.93389999999999995</v>
      </c>
      <c r="J41" s="133" t="s">
        <v>2024</v>
      </c>
      <c r="K41" s="131" t="s">
        <v>1649</v>
      </c>
      <c r="L41" s="131" t="s">
        <v>1952</v>
      </c>
      <c r="M41" s="132">
        <v>1.2339</v>
      </c>
      <c r="N41" s="133" t="s">
        <v>2566</v>
      </c>
      <c r="O41" s="132">
        <v>1.2324999999999999</v>
      </c>
      <c r="P41" s="133" t="s">
        <v>2493</v>
      </c>
      <c r="Q41" s="131" t="s">
        <v>1649</v>
      </c>
      <c r="R41" s="131" t="s">
        <v>1952</v>
      </c>
      <c r="S41" s="154" t="s">
        <v>1613</v>
      </c>
      <c r="T41" s="154"/>
      <c r="U41" s="154"/>
      <c r="V41" s="154"/>
      <c r="W41" s="154"/>
      <c r="X41" s="154"/>
    </row>
    <row r="42" spans="1:24" x14ac:dyDescent="0.2">
      <c r="A42" s="131" t="s">
        <v>460</v>
      </c>
      <c r="B42" s="130" t="s">
        <v>459</v>
      </c>
      <c r="C42" s="131" t="s">
        <v>34</v>
      </c>
      <c r="D42" s="131" t="s">
        <v>2571</v>
      </c>
      <c r="E42" s="131" t="s">
        <v>2572</v>
      </c>
      <c r="F42" s="131" t="s">
        <v>890</v>
      </c>
      <c r="G42" s="155"/>
      <c r="H42" s="154"/>
      <c r="I42" s="155"/>
      <c r="J42" s="154"/>
      <c r="K42" s="154"/>
      <c r="L42" s="154"/>
      <c r="M42" s="155"/>
      <c r="N42" s="154"/>
      <c r="O42" s="155"/>
      <c r="P42" s="154"/>
      <c r="Q42" s="154"/>
      <c r="R42" s="154"/>
      <c r="S42" s="155"/>
      <c r="T42" s="154"/>
      <c r="U42" s="155"/>
      <c r="V42" s="154"/>
      <c r="W42" s="154"/>
      <c r="X42" s="154"/>
    </row>
    <row r="43" spans="1:24" x14ac:dyDescent="0.2">
      <c r="A43" s="131" t="s">
        <v>476</v>
      </c>
      <c r="B43" s="130" t="s">
        <v>475</v>
      </c>
      <c r="C43" s="131" t="s">
        <v>34</v>
      </c>
      <c r="D43" s="131" t="s">
        <v>2037</v>
      </c>
      <c r="E43" s="131" t="s">
        <v>2585</v>
      </c>
      <c r="F43" s="131" t="s">
        <v>2066</v>
      </c>
      <c r="G43" s="132">
        <v>1</v>
      </c>
      <c r="H43" s="133" t="s">
        <v>2586</v>
      </c>
      <c r="I43" s="132">
        <v>0.89049999999999996</v>
      </c>
      <c r="J43" s="154" t="s">
        <v>1613</v>
      </c>
      <c r="K43" s="131" t="s">
        <v>1648</v>
      </c>
      <c r="L43" s="131" t="s">
        <v>1952</v>
      </c>
      <c r="M43" s="155"/>
      <c r="N43" s="156"/>
      <c r="O43" s="155"/>
      <c r="P43" s="156"/>
      <c r="Q43" s="154"/>
      <c r="R43" s="154"/>
      <c r="S43" s="155"/>
      <c r="T43" s="156"/>
      <c r="U43" s="155"/>
      <c r="V43" s="156"/>
      <c r="W43" s="154"/>
      <c r="X43" s="154"/>
    </row>
    <row r="44" spans="1:24" x14ac:dyDescent="0.2">
      <c r="A44" s="131" t="s">
        <v>498</v>
      </c>
      <c r="B44" s="130" t="s">
        <v>497</v>
      </c>
      <c r="C44" s="131" t="s">
        <v>34</v>
      </c>
      <c r="D44" s="131" t="s">
        <v>2101</v>
      </c>
      <c r="E44" s="131" t="s">
        <v>2609</v>
      </c>
      <c r="F44" s="131" t="s">
        <v>1949</v>
      </c>
      <c r="G44" s="132">
        <v>0.8</v>
      </c>
      <c r="H44" s="133" t="s">
        <v>2610</v>
      </c>
      <c r="I44" s="132">
        <v>0.8</v>
      </c>
      <c r="J44" s="133" t="s">
        <v>2611</v>
      </c>
      <c r="K44" s="131" t="s">
        <v>1649</v>
      </c>
      <c r="L44" s="131" t="s">
        <v>1952</v>
      </c>
      <c r="M44" s="155"/>
      <c r="N44" s="156"/>
      <c r="O44" s="154"/>
      <c r="P44" s="156"/>
      <c r="Q44" s="154"/>
      <c r="R44" s="154"/>
      <c r="S44" s="154"/>
      <c r="T44" s="154"/>
      <c r="U44" s="154"/>
      <c r="V44" s="154"/>
      <c r="W44" s="154"/>
      <c r="X44" s="154"/>
    </row>
    <row r="45" spans="1:24" x14ac:dyDescent="0.2">
      <c r="A45" s="131" t="s">
        <v>518</v>
      </c>
      <c r="B45" s="130" t="s">
        <v>517</v>
      </c>
      <c r="C45" s="131" t="s">
        <v>34</v>
      </c>
      <c r="D45" s="131" t="s">
        <v>2055</v>
      </c>
      <c r="E45" s="131" t="s">
        <v>2638</v>
      </c>
      <c r="F45" s="131" t="s">
        <v>1949</v>
      </c>
      <c r="G45" s="132">
        <v>1</v>
      </c>
      <c r="H45" s="133" t="s">
        <v>2013</v>
      </c>
      <c r="I45" s="132">
        <v>0.84830000000000005</v>
      </c>
      <c r="J45" s="133" t="s">
        <v>2639</v>
      </c>
      <c r="K45" s="131" t="s">
        <v>1648</v>
      </c>
      <c r="L45" s="131" t="s">
        <v>1944</v>
      </c>
      <c r="M45" s="132">
        <v>0.3</v>
      </c>
      <c r="N45" s="133" t="s">
        <v>2640</v>
      </c>
      <c r="O45" s="132">
        <v>0.84830000000000005</v>
      </c>
      <c r="P45" s="154" t="s">
        <v>1613</v>
      </c>
      <c r="Q45" s="131" t="s">
        <v>1648</v>
      </c>
      <c r="R45" s="131" t="s">
        <v>1944</v>
      </c>
      <c r="S45" s="155"/>
      <c r="T45" s="154"/>
      <c r="U45" s="155"/>
      <c r="V45" s="154"/>
      <c r="W45" s="154"/>
      <c r="X45" s="154"/>
    </row>
    <row r="46" spans="1:24" x14ac:dyDescent="0.2">
      <c r="A46" s="131" t="s">
        <v>534</v>
      </c>
      <c r="B46" s="130" t="s">
        <v>533</v>
      </c>
      <c r="C46" s="131" t="s">
        <v>34</v>
      </c>
      <c r="D46" s="131" t="s">
        <v>1992</v>
      </c>
      <c r="E46" s="131" t="s">
        <v>2658</v>
      </c>
      <c r="F46" s="131" t="s">
        <v>1919</v>
      </c>
      <c r="G46" s="132">
        <v>1</v>
      </c>
      <c r="H46" s="133" t="s">
        <v>2192</v>
      </c>
      <c r="I46" s="132">
        <v>1</v>
      </c>
      <c r="J46" s="133" t="s">
        <v>2659</v>
      </c>
      <c r="K46" s="131" t="s">
        <v>1649</v>
      </c>
      <c r="L46" s="131" t="s">
        <v>1990</v>
      </c>
      <c r="M46" s="155"/>
      <c r="N46" s="156"/>
      <c r="O46" s="155"/>
      <c r="P46" s="156"/>
      <c r="Q46" s="154"/>
      <c r="R46" s="154"/>
      <c r="S46" s="155"/>
      <c r="T46" s="156"/>
      <c r="U46" s="155"/>
      <c r="V46" s="156"/>
      <c r="W46" s="154"/>
      <c r="X46" s="154"/>
    </row>
    <row r="47" spans="1:24" x14ac:dyDescent="0.2">
      <c r="A47" s="131" t="s">
        <v>548</v>
      </c>
      <c r="B47" s="130" t="s">
        <v>547</v>
      </c>
      <c r="C47" s="131" t="s">
        <v>34</v>
      </c>
      <c r="D47" s="131" t="s">
        <v>2145</v>
      </c>
      <c r="E47" s="131" t="s">
        <v>2145</v>
      </c>
      <c r="F47" s="131" t="s">
        <v>1919</v>
      </c>
      <c r="G47" s="132">
        <v>0.5</v>
      </c>
      <c r="H47" s="133" t="s">
        <v>2676</v>
      </c>
      <c r="I47" s="132">
        <v>0.5</v>
      </c>
      <c r="J47" s="133" t="s">
        <v>2677</v>
      </c>
      <c r="K47" s="131" t="s">
        <v>1649</v>
      </c>
      <c r="L47" s="131" t="s">
        <v>1952</v>
      </c>
      <c r="M47" s="154"/>
      <c r="N47" s="154"/>
      <c r="O47" s="154"/>
      <c r="P47" s="154"/>
      <c r="Q47" s="154"/>
      <c r="R47" s="154"/>
      <c r="S47" s="154"/>
      <c r="T47" s="154"/>
      <c r="U47" s="154"/>
      <c r="V47" s="154"/>
      <c r="W47" s="154"/>
      <c r="X47" s="154"/>
    </row>
    <row r="48" spans="1:24" x14ac:dyDescent="0.2">
      <c r="A48" s="131" t="s">
        <v>552</v>
      </c>
      <c r="B48" s="130" t="s">
        <v>551</v>
      </c>
      <c r="C48" s="131" t="s">
        <v>34</v>
      </c>
      <c r="D48" s="131" t="s">
        <v>2131</v>
      </c>
      <c r="E48" s="131" t="s">
        <v>2316</v>
      </c>
      <c r="F48" s="131" t="s">
        <v>2133</v>
      </c>
      <c r="G48" s="155"/>
      <c r="H48" s="154"/>
      <c r="I48" s="155"/>
      <c r="J48" s="154"/>
      <c r="K48" s="154"/>
      <c r="L48" s="154"/>
      <c r="M48" s="155"/>
      <c r="N48" s="154"/>
      <c r="O48" s="155"/>
      <c r="P48" s="154"/>
      <c r="Q48" s="154"/>
      <c r="R48" s="154"/>
      <c r="S48" s="154"/>
      <c r="T48" s="154"/>
      <c r="U48" s="154"/>
      <c r="V48" s="154"/>
      <c r="W48" s="154"/>
      <c r="X48" s="154"/>
    </row>
    <row r="49" spans="1:24" x14ac:dyDescent="0.2">
      <c r="A49" s="131" t="s">
        <v>574</v>
      </c>
      <c r="B49" s="130" t="s">
        <v>573</v>
      </c>
      <c r="C49" s="131" t="s">
        <v>34</v>
      </c>
      <c r="D49" s="131" t="s">
        <v>2442</v>
      </c>
      <c r="E49" s="131" t="s">
        <v>2705</v>
      </c>
      <c r="F49" s="131" t="s">
        <v>1919</v>
      </c>
      <c r="G49" s="132">
        <v>1</v>
      </c>
      <c r="H49" s="133" t="s">
        <v>2706</v>
      </c>
      <c r="I49" s="132">
        <v>0.82099999999999995</v>
      </c>
      <c r="J49" s="154" t="s">
        <v>1613</v>
      </c>
      <c r="K49" s="131" t="s">
        <v>1648</v>
      </c>
      <c r="L49" s="131" t="s">
        <v>1952</v>
      </c>
      <c r="M49" s="155"/>
      <c r="N49" s="154"/>
      <c r="O49" s="155"/>
      <c r="P49" s="156"/>
      <c r="Q49" s="154"/>
      <c r="R49" s="154"/>
      <c r="S49" s="155"/>
      <c r="T49" s="154"/>
      <c r="U49" s="155"/>
      <c r="V49" s="154"/>
      <c r="W49" s="154"/>
      <c r="X49" s="154"/>
    </row>
    <row r="50" spans="1:24" x14ac:dyDescent="0.2">
      <c r="A50" s="131" t="s">
        <v>612</v>
      </c>
      <c r="B50" s="130" t="s">
        <v>611</v>
      </c>
      <c r="C50" s="131" t="s">
        <v>34</v>
      </c>
      <c r="D50" s="131" t="s">
        <v>2010</v>
      </c>
      <c r="E50" s="131" t="s">
        <v>2764</v>
      </c>
      <c r="F50" s="131" t="s">
        <v>1919</v>
      </c>
      <c r="G50" s="132">
        <v>0.2949</v>
      </c>
      <c r="H50" s="133" t="s">
        <v>2765</v>
      </c>
      <c r="I50" s="132">
        <v>0.3</v>
      </c>
      <c r="J50" s="154" t="s">
        <v>1613</v>
      </c>
      <c r="K50" s="131" t="s">
        <v>1648</v>
      </c>
      <c r="L50" s="131" t="s">
        <v>1990</v>
      </c>
      <c r="M50" s="155"/>
      <c r="N50" s="156"/>
      <c r="O50" s="155"/>
      <c r="P50" s="156"/>
      <c r="Q50" s="154"/>
      <c r="R50" s="154"/>
      <c r="S50" s="155"/>
      <c r="T50" s="156"/>
      <c r="U50" s="155"/>
      <c r="V50" s="156"/>
      <c r="W50" s="154"/>
      <c r="X50" s="154"/>
    </row>
    <row r="51" spans="1:24" x14ac:dyDescent="0.2">
      <c r="A51" s="131" t="s">
        <v>622</v>
      </c>
      <c r="B51" s="130" t="s">
        <v>621</v>
      </c>
      <c r="C51" s="131" t="s">
        <v>34</v>
      </c>
      <c r="D51" s="131" t="s">
        <v>2349</v>
      </c>
      <c r="E51" s="131" t="s">
        <v>2774</v>
      </c>
      <c r="F51" s="131" t="s">
        <v>2133</v>
      </c>
      <c r="G51" s="155"/>
      <c r="H51" s="154"/>
      <c r="I51" s="155"/>
      <c r="J51" s="154"/>
      <c r="K51" s="154"/>
      <c r="L51" s="154"/>
      <c r="M51" s="155"/>
      <c r="N51" s="154"/>
      <c r="O51" s="155"/>
      <c r="P51" s="154"/>
      <c r="Q51" s="154"/>
      <c r="R51" s="154"/>
      <c r="S51" s="155"/>
      <c r="T51" s="154"/>
      <c r="U51" s="155"/>
      <c r="V51" s="154"/>
      <c r="W51" s="154"/>
      <c r="X51" s="154"/>
    </row>
    <row r="52" spans="1:24" x14ac:dyDescent="0.2">
      <c r="A52" s="131" t="s">
        <v>624</v>
      </c>
      <c r="B52" s="130" t="s">
        <v>623</v>
      </c>
      <c r="C52" s="131" t="s">
        <v>34</v>
      </c>
      <c r="D52" s="131" t="s">
        <v>2478</v>
      </c>
      <c r="E52" s="131" t="s">
        <v>2775</v>
      </c>
      <c r="F52" s="131" t="s">
        <v>1919</v>
      </c>
      <c r="G52" s="155"/>
      <c r="H52" s="154"/>
      <c r="I52" s="155"/>
      <c r="J52" s="154"/>
      <c r="K52" s="154"/>
      <c r="L52" s="154"/>
      <c r="M52" s="155"/>
      <c r="N52" s="154"/>
      <c r="O52" s="155"/>
      <c r="P52" s="154"/>
      <c r="Q52" s="154"/>
      <c r="R52" s="154"/>
      <c r="S52" s="155"/>
      <c r="T52" s="154"/>
      <c r="U52" s="155"/>
      <c r="V52" s="154"/>
      <c r="W52" s="154"/>
      <c r="X52" s="154"/>
    </row>
    <row r="53" spans="1:24" x14ac:dyDescent="0.2">
      <c r="A53" s="131" t="s">
        <v>628</v>
      </c>
      <c r="B53" s="130" t="s">
        <v>627</v>
      </c>
      <c r="C53" s="131" t="s">
        <v>34</v>
      </c>
      <c r="D53" s="131" t="s">
        <v>2148</v>
      </c>
      <c r="E53" s="131" t="s">
        <v>2760</v>
      </c>
      <c r="F53" s="131" t="s">
        <v>1919</v>
      </c>
      <c r="G53" s="132">
        <v>0.9</v>
      </c>
      <c r="H53" s="133" t="s">
        <v>2779</v>
      </c>
      <c r="I53" s="154" t="s">
        <v>1613</v>
      </c>
      <c r="J53" s="133" t="s">
        <v>2780</v>
      </c>
      <c r="K53" s="131" t="s">
        <v>1649</v>
      </c>
      <c r="L53" s="131" t="s">
        <v>1952</v>
      </c>
      <c r="M53" s="154"/>
      <c r="N53" s="154"/>
      <c r="O53" s="154"/>
      <c r="P53" s="154"/>
      <c r="Q53" s="154"/>
      <c r="R53" s="154"/>
      <c r="S53" s="154"/>
      <c r="T53" s="154"/>
      <c r="U53" s="154"/>
      <c r="V53" s="154"/>
      <c r="W53" s="154"/>
      <c r="X53" s="154"/>
    </row>
    <row r="54" spans="1:24" x14ac:dyDescent="0.2">
      <c r="A54" s="131" t="s">
        <v>630</v>
      </c>
      <c r="B54" s="130" t="s">
        <v>629</v>
      </c>
      <c r="C54" s="131" t="s">
        <v>34</v>
      </c>
      <c r="D54" s="131" t="s">
        <v>2349</v>
      </c>
      <c r="E54" s="131" t="s">
        <v>2781</v>
      </c>
      <c r="F54" s="131" t="s">
        <v>1919</v>
      </c>
      <c r="G54" s="155"/>
      <c r="H54" s="154"/>
      <c r="I54" s="155"/>
      <c r="J54" s="154"/>
      <c r="K54" s="154"/>
      <c r="L54" s="154"/>
      <c r="M54" s="155"/>
      <c r="N54" s="154"/>
      <c r="O54" s="155"/>
      <c r="P54" s="154"/>
      <c r="Q54" s="154"/>
      <c r="R54" s="154"/>
      <c r="S54" s="155"/>
      <c r="T54" s="154"/>
      <c r="U54" s="155"/>
      <c r="V54" s="154"/>
      <c r="W54" s="154"/>
      <c r="X54" s="154"/>
    </row>
    <row r="55" spans="1:24" x14ac:dyDescent="0.2">
      <c r="A55" s="131" t="s">
        <v>674</v>
      </c>
      <c r="B55" s="130" t="s">
        <v>673</v>
      </c>
      <c r="C55" s="131" t="s">
        <v>34</v>
      </c>
      <c r="D55" s="131" t="s">
        <v>2022</v>
      </c>
      <c r="E55" s="131" t="s">
        <v>2583</v>
      </c>
      <c r="F55" s="131" t="s">
        <v>2066</v>
      </c>
      <c r="G55" s="132">
        <v>0.49740000000000001</v>
      </c>
      <c r="H55" s="133" t="s">
        <v>2836</v>
      </c>
      <c r="I55" s="132">
        <v>0.49740000000000001</v>
      </c>
      <c r="J55" s="154" t="s">
        <v>1613</v>
      </c>
      <c r="K55" s="131" t="s">
        <v>1648</v>
      </c>
      <c r="L55" s="131" t="s">
        <v>1952</v>
      </c>
      <c r="M55" s="132">
        <v>0.49740000000000001</v>
      </c>
      <c r="N55" s="133" t="s">
        <v>2836</v>
      </c>
      <c r="O55" s="132">
        <v>0.49740000000000001</v>
      </c>
      <c r="P55" s="154" t="s">
        <v>1613</v>
      </c>
      <c r="Q55" s="131" t="s">
        <v>1648</v>
      </c>
      <c r="R55" s="131" t="s">
        <v>1952</v>
      </c>
      <c r="S55" s="132">
        <v>0.45529999999999998</v>
      </c>
      <c r="T55" s="133" t="s">
        <v>2836</v>
      </c>
      <c r="U55" s="132">
        <v>0.45529999999999998</v>
      </c>
      <c r="V55" s="154" t="s">
        <v>1613</v>
      </c>
      <c r="W55" s="131" t="s">
        <v>1648</v>
      </c>
      <c r="X55" s="131" t="s">
        <v>1952</v>
      </c>
    </row>
    <row r="56" spans="1:24" x14ac:dyDescent="0.2">
      <c r="A56" s="131" t="s">
        <v>680</v>
      </c>
      <c r="B56" s="130" t="s">
        <v>679</v>
      </c>
      <c r="C56" s="131" t="s">
        <v>34</v>
      </c>
      <c r="D56" s="131" t="s">
        <v>1984</v>
      </c>
      <c r="E56" s="131" t="s">
        <v>2843</v>
      </c>
      <c r="F56" s="131" t="s">
        <v>1919</v>
      </c>
      <c r="G56" s="132">
        <v>0.5</v>
      </c>
      <c r="H56" s="133" t="s">
        <v>2418</v>
      </c>
      <c r="I56" s="132">
        <v>0.5</v>
      </c>
      <c r="J56" s="133" t="s">
        <v>2256</v>
      </c>
      <c r="K56" s="131" t="s">
        <v>1649</v>
      </c>
      <c r="L56" s="131" t="s">
        <v>1952</v>
      </c>
      <c r="M56" s="155"/>
      <c r="N56" s="156"/>
      <c r="O56" s="155"/>
      <c r="P56" s="156"/>
      <c r="Q56" s="154"/>
      <c r="R56" s="154"/>
      <c r="S56" s="155"/>
      <c r="T56" s="156"/>
      <c r="U56" s="155"/>
      <c r="V56" s="156"/>
      <c r="W56" s="154"/>
      <c r="X56" s="154"/>
    </row>
    <row r="57" spans="1:24" x14ac:dyDescent="0.2">
      <c r="A57" s="131" t="s">
        <v>690</v>
      </c>
      <c r="B57" s="130" t="s">
        <v>689</v>
      </c>
      <c r="C57" s="131" t="s">
        <v>34</v>
      </c>
      <c r="D57" s="131" t="s">
        <v>2028</v>
      </c>
      <c r="E57" s="131" t="s">
        <v>2107</v>
      </c>
      <c r="F57" s="131" t="s">
        <v>2066</v>
      </c>
      <c r="G57" s="132">
        <v>0.3</v>
      </c>
      <c r="H57" s="133" t="s">
        <v>2422</v>
      </c>
      <c r="I57" s="132">
        <v>0.3</v>
      </c>
      <c r="J57" s="154" t="s">
        <v>1613</v>
      </c>
      <c r="K57" s="131" t="s">
        <v>1648</v>
      </c>
      <c r="L57" s="131" t="s">
        <v>1944</v>
      </c>
      <c r="M57" s="132">
        <v>1.4</v>
      </c>
      <c r="N57" s="133" t="s">
        <v>2851</v>
      </c>
      <c r="O57" s="132">
        <v>1.4</v>
      </c>
      <c r="P57" s="133" t="s">
        <v>2852</v>
      </c>
      <c r="Q57" s="131" t="s">
        <v>1649</v>
      </c>
      <c r="R57" s="131" t="s">
        <v>1944</v>
      </c>
      <c r="S57" s="154" t="s">
        <v>1613</v>
      </c>
      <c r="T57" s="154"/>
      <c r="U57" s="154"/>
      <c r="V57" s="154"/>
      <c r="W57" s="154"/>
      <c r="X57" s="154"/>
    </row>
    <row r="58" spans="1:24" x14ac:dyDescent="0.2">
      <c r="A58" s="131" t="s">
        <v>692</v>
      </c>
      <c r="B58" s="130" t="s">
        <v>691</v>
      </c>
      <c r="C58" s="131" t="s">
        <v>34</v>
      </c>
      <c r="D58" s="131" t="s">
        <v>2057</v>
      </c>
      <c r="E58" s="131" t="s">
        <v>2853</v>
      </c>
      <c r="F58" s="131" t="s">
        <v>1919</v>
      </c>
      <c r="G58" s="132">
        <v>0.4</v>
      </c>
      <c r="H58" s="133" t="s">
        <v>2854</v>
      </c>
      <c r="I58" s="132">
        <v>0.4</v>
      </c>
      <c r="J58" s="133" t="s">
        <v>2855</v>
      </c>
      <c r="K58" s="131" t="s">
        <v>1649</v>
      </c>
      <c r="L58" s="131" t="s">
        <v>1944</v>
      </c>
      <c r="M58" s="154"/>
      <c r="N58" s="154"/>
      <c r="O58" s="154"/>
      <c r="P58" s="154"/>
      <c r="Q58" s="154"/>
      <c r="R58" s="154"/>
      <c r="S58" s="154"/>
      <c r="T58" s="154"/>
      <c r="U58" s="154"/>
      <c r="V58" s="154"/>
      <c r="W58" s="154"/>
      <c r="X58" s="154"/>
    </row>
    <row r="59" spans="1:24" x14ac:dyDescent="0.2">
      <c r="A59" s="131" t="s">
        <v>714</v>
      </c>
      <c r="B59" s="130" t="s">
        <v>713</v>
      </c>
      <c r="C59" s="131" t="s">
        <v>34</v>
      </c>
      <c r="D59" s="131" t="s">
        <v>2055</v>
      </c>
      <c r="E59" s="131" t="s">
        <v>2882</v>
      </c>
      <c r="F59" s="131" t="s">
        <v>1949</v>
      </c>
      <c r="G59" s="132">
        <v>0.7</v>
      </c>
      <c r="H59" s="133" t="s">
        <v>2314</v>
      </c>
      <c r="I59" s="132">
        <v>0.65659999999999996</v>
      </c>
      <c r="J59" s="133" t="s">
        <v>2883</v>
      </c>
      <c r="K59" s="131" t="s">
        <v>1649</v>
      </c>
      <c r="L59" s="131" t="s">
        <v>1952</v>
      </c>
      <c r="M59" s="154"/>
      <c r="N59" s="154"/>
      <c r="O59" s="154"/>
      <c r="P59" s="154"/>
      <c r="Q59" s="154"/>
      <c r="R59" s="154"/>
      <c r="S59" s="154"/>
      <c r="T59" s="154"/>
      <c r="U59" s="154"/>
      <c r="V59" s="154"/>
      <c r="W59" s="154"/>
      <c r="X59" s="154"/>
    </row>
    <row r="60" spans="1:24" x14ac:dyDescent="0.2">
      <c r="A60" s="131" t="s">
        <v>732</v>
      </c>
      <c r="B60" s="130" t="s">
        <v>731</v>
      </c>
      <c r="C60" s="131" t="s">
        <v>34</v>
      </c>
      <c r="D60" s="131" t="s">
        <v>1960</v>
      </c>
      <c r="E60" s="131" t="s">
        <v>2900</v>
      </c>
      <c r="F60" s="131" t="s">
        <v>1919</v>
      </c>
      <c r="G60" s="132">
        <v>0.95699999999999996</v>
      </c>
      <c r="H60" s="133" t="s">
        <v>2901</v>
      </c>
      <c r="I60" s="132">
        <v>0.95699999999999996</v>
      </c>
      <c r="J60" s="133" t="s">
        <v>2902</v>
      </c>
      <c r="K60" s="131" t="s">
        <v>1649</v>
      </c>
      <c r="L60" s="131" t="s">
        <v>1944</v>
      </c>
      <c r="M60" s="154"/>
      <c r="N60" s="154"/>
      <c r="O60" s="154"/>
      <c r="P60" s="154"/>
      <c r="Q60" s="154"/>
      <c r="R60" s="154"/>
      <c r="S60" s="154"/>
      <c r="T60" s="154"/>
      <c r="U60" s="154"/>
      <c r="V60" s="154"/>
      <c r="W60" s="154"/>
      <c r="X60" s="154"/>
    </row>
    <row r="61" spans="1:24" x14ac:dyDescent="0.2">
      <c r="A61" s="131" t="s">
        <v>750</v>
      </c>
      <c r="B61" s="130" t="s">
        <v>749</v>
      </c>
      <c r="C61" s="131" t="s">
        <v>34</v>
      </c>
      <c r="D61" s="131" t="s">
        <v>2178</v>
      </c>
      <c r="E61" s="131" t="s">
        <v>2923</v>
      </c>
      <c r="F61" s="131" t="s">
        <v>1919</v>
      </c>
      <c r="G61" s="155"/>
      <c r="H61" s="154"/>
      <c r="I61" s="155"/>
      <c r="J61" s="154"/>
      <c r="K61" s="154"/>
      <c r="L61" s="154"/>
      <c r="M61" s="155"/>
      <c r="N61" s="154"/>
      <c r="O61" s="155"/>
      <c r="P61" s="154"/>
      <c r="Q61" s="154"/>
      <c r="R61" s="154"/>
      <c r="S61" s="155"/>
      <c r="T61" s="154"/>
      <c r="U61" s="155"/>
      <c r="V61" s="154"/>
      <c r="W61" s="154"/>
      <c r="X61" s="154"/>
    </row>
    <row r="62" spans="1:24" x14ac:dyDescent="0.2">
      <c r="A62" s="131" t="s">
        <v>762</v>
      </c>
      <c r="B62" s="130" t="s">
        <v>761</v>
      </c>
      <c r="C62" s="131" t="s">
        <v>34</v>
      </c>
      <c r="D62" s="131" t="s">
        <v>2055</v>
      </c>
      <c r="E62" s="131" t="s">
        <v>2936</v>
      </c>
      <c r="F62" s="131" t="s">
        <v>1919</v>
      </c>
      <c r="G62" s="132">
        <v>1</v>
      </c>
      <c r="H62" s="133" t="s">
        <v>2071</v>
      </c>
      <c r="I62" s="132">
        <v>1</v>
      </c>
      <c r="J62" s="133" t="s">
        <v>2937</v>
      </c>
      <c r="K62" s="131" t="s">
        <v>1649</v>
      </c>
      <c r="L62" s="131" t="s">
        <v>1990</v>
      </c>
      <c r="M62" s="155"/>
      <c r="N62" s="156"/>
      <c r="O62" s="155"/>
      <c r="P62" s="156"/>
      <c r="Q62" s="154"/>
      <c r="R62" s="154"/>
      <c r="S62" s="155"/>
      <c r="T62" s="156"/>
      <c r="U62" s="155"/>
      <c r="V62" s="156"/>
      <c r="W62" s="154"/>
      <c r="X62" s="154"/>
    </row>
    <row r="63" spans="1:24" x14ac:dyDescent="0.2">
      <c r="A63" s="131" t="s">
        <v>768</v>
      </c>
      <c r="B63" s="130" t="s">
        <v>767</v>
      </c>
      <c r="C63" s="131" t="s">
        <v>34</v>
      </c>
      <c r="D63" s="131" t="s">
        <v>2072</v>
      </c>
      <c r="E63" s="131" t="s">
        <v>2942</v>
      </c>
      <c r="F63" s="131" t="s">
        <v>890</v>
      </c>
      <c r="G63" s="132">
        <v>1</v>
      </c>
      <c r="H63" s="133" t="s">
        <v>2621</v>
      </c>
      <c r="I63" s="132">
        <v>1</v>
      </c>
      <c r="J63" s="154" t="s">
        <v>1613</v>
      </c>
      <c r="K63" s="131" t="s">
        <v>1648</v>
      </c>
      <c r="L63" s="131" t="s">
        <v>1952</v>
      </c>
      <c r="M63" s="132">
        <v>1</v>
      </c>
      <c r="N63" s="133" t="s">
        <v>2399</v>
      </c>
      <c r="O63" s="132">
        <v>1</v>
      </c>
      <c r="P63" s="133" t="s">
        <v>2943</v>
      </c>
      <c r="Q63" s="131" t="s">
        <v>1649</v>
      </c>
      <c r="R63" s="131" t="s">
        <v>1952</v>
      </c>
      <c r="S63" s="154" t="s">
        <v>1613</v>
      </c>
      <c r="T63" s="154"/>
      <c r="U63" s="154"/>
      <c r="V63" s="154"/>
      <c r="W63" s="154"/>
      <c r="X63" s="154"/>
    </row>
    <row r="64" spans="1:24" x14ac:dyDescent="0.2">
      <c r="A64" s="131" t="s">
        <v>770</v>
      </c>
      <c r="B64" s="130" t="s">
        <v>769</v>
      </c>
      <c r="C64" s="131" t="s">
        <v>34</v>
      </c>
      <c r="D64" s="131" t="s">
        <v>2134</v>
      </c>
      <c r="E64" s="131" t="s">
        <v>2944</v>
      </c>
      <c r="F64" s="131" t="s">
        <v>1949</v>
      </c>
      <c r="G64" s="132">
        <v>1</v>
      </c>
      <c r="H64" s="133" t="s">
        <v>2945</v>
      </c>
      <c r="I64" s="132">
        <v>0.99460000000000004</v>
      </c>
      <c r="J64" s="154" t="s">
        <v>1613</v>
      </c>
      <c r="K64" s="131" t="s">
        <v>1648</v>
      </c>
      <c r="L64" s="131" t="s">
        <v>1952</v>
      </c>
      <c r="M64" s="155"/>
      <c r="N64" s="154"/>
      <c r="O64" s="155"/>
      <c r="P64" s="154"/>
      <c r="Q64" s="154"/>
      <c r="R64" s="154"/>
      <c r="S64" s="155"/>
      <c r="T64" s="154"/>
      <c r="U64" s="155"/>
      <c r="V64" s="154"/>
      <c r="W64" s="154"/>
      <c r="X64" s="154"/>
    </row>
    <row r="65" spans="1:24" x14ac:dyDescent="0.2">
      <c r="A65" s="131" t="s">
        <v>772</v>
      </c>
      <c r="B65" s="130" t="s">
        <v>771</v>
      </c>
      <c r="C65" s="131" t="s">
        <v>34</v>
      </c>
      <c r="D65" s="131" t="s">
        <v>2442</v>
      </c>
      <c r="E65" s="131" t="s">
        <v>2946</v>
      </c>
      <c r="F65" s="131" t="s">
        <v>2133</v>
      </c>
      <c r="G65" s="154"/>
      <c r="H65" s="154"/>
      <c r="I65" s="154"/>
      <c r="J65" s="154"/>
      <c r="K65" s="154"/>
      <c r="L65" s="154"/>
      <c r="M65" s="154"/>
      <c r="N65" s="154"/>
      <c r="O65" s="154"/>
      <c r="P65" s="154"/>
      <c r="Q65" s="154"/>
      <c r="R65" s="154"/>
      <c r="S65" s="154"/>
      <c r="T65" s="154"/>
      <c r="U65" s="154"/>
      <c r="V65" s="154"/>
      <c r="W65" s="154"/>
      <c r="X65" s="154"/>
    </row>
    <row r="66" spans="1:24" x14ac:dyDescent="0.2">
      <c r="A66" s="131" t="s">
        <v>782</v>
      </c>
      <c r="B66" s="130" t="s">
        <v>781</v>
      </c>
      <c r="C66" s="131" t="s">
        <v>34</v>
      </c>
      <c r="D66" s="131" t="s">
        <v>2122</v>
      </c>
      <c r="E66" s="131" t="s">
        <v>2956</v>
      </c>
      <c r="F66" s="131" t="s">
        <v>1919</v>
      </c>
      <c r="G66" s="132">
        <v>0.54500000000000004</v>
      </c>
      <c r="H66" s="133" t="s">
        <v>2957</v>
      </c>
      <c r="I66" s="132">
        <v>0</v>
      </c>
      <c r="J66" s="154" t="s">
        <v>1613</v>
      </c>
      <c r="K66" s="131" t="s">
        <v>1649</v>
      </c>
      <c r="L66" s="154" t="s">
        <v>1613</v>
      </c>
      <c r="M66" s="155"/>
      <c r="N66" s="154"/>
      <c r="O66" s="155"/>
      <c r="P66" s="154"/>
      <c r="Q66" s="154"/>
      <c r="R66" s="154"/>
      <c r="S66" s="155"/>
      <c r="T66" s="154"/>
      <c r="U66" s="155"/>
      <c r="V66" s="154"/>
      <c r="W66" s="154"/>
      <c r="X66" s="154"/>
    </row>
    <row r="67" spans="1:24" x14ac:dyDescent="0.2">
      <c r="A67" s="131" t="s">
        <v>794</v>
      </c>
      <c r="B67" s="130" t="s">
        <v>793</v>
      </c>
      <c r="C67" s="131" t="s">
        <v>34</v>
      </c>
      <c r="D67" s="131" t="s">
        <v>2034</v>
      </c>
      <c r="E67" s="131" t="s">
        <v>2968</v>
      </c>
      <c r="F67" s="131" t="s">
        <v>1919</v>
      </c>
      <c r="G67" s="132">
        <v>0.8</v>
      </c>
      <c r="H67" s="133" t="s">
        <v>2969</v>
      </c>
      <c r="I67" s="132">
        <v>0.8</v>
      </c>
      <c r="J67" s="133" t="s">
        <v>2970</v>
      </c>
      <c r="K67" s="131" t="s">
        <v>1649</v>
      </c>
      <c r="L67" s="131" t="s">
        <v>1952</v>
      </c>
      <c r="M67" s="132">
        <v>0.43</v>
      </c>
      <c r="N67" s="133" t="s">
        <v>2971</v>
      </c>
      <c r="O67" s="132">
        <v>0.43</v>
      </c>
      <c r="P67" s="133" t="s">
        <v>2972</v>
      </c>
      <c r="Q67" s="131" t="s">
        <v>1649</v>
      </c>
      <c r="R67" s="131" t="s">
        <v>2054</v>
      </c>
      <c r="S67" s="132">
        <v>0.4</v>
      </c>
      <c r="T67" s="133" t="s">
        <v>2969</v>
      </c>
      <c r="U67" s="132">
        <v>0.4</v>
      </c>
      <c r="V67" s="133" t="s">
        <v>2970</v>
      </c>
      <c r="W67" s="131" t="s">
        <v>1649</v>
      </c>
      <c r="X67" s="131" t="s">
        <v>1952</v>
      </c>
    </row>
    <row r="68" spans="1:24" x14ac:dyDescent="0.2">
      <c r="A68" s="131" t="s">
        <v>806</v>
      </c>
      <c r="B68" s="130" t="s">
        <v>805</v>
      </c>
      <c r="C68" s="131" t="s">
        <v>34</v>
      </c>
      <c r="D68" s="131" t="s">
        <v>2266</v>
      </c>
      <c r="E68" s="131" t="s">
        <v>2986</v>
      </c>
      <c r="F68" s="131" t="s">
        <v>1919</v>
      </c>
      <c r="G68" s="132">
        <v>1.5</v>
      </c>
      <c r="H68" s="133" t="s">
        <v>2563</v>
      </c>
      <c r="I68" s="132">
        <v>0.44950000000000001</v>
      </c>
      <c r="J68" s="133" t="s">
        <v>2987</v>
      </c>
      <c r="K68" s="131" t="s">
        <v>1649</v>
      </c>
      <c r="L68" s="131" t="s">
        <v>1952</v>
      </c>
      <c r="M68" s="155"/>
      <c r="N68" s="156"/>
      <c r="O68" s="155"/>
      <c r="P68" s="156"/>
      <c r="Q68" s="154"/>
      <c r="R68" s="154"/>
      <c r="S68" s="155"/>
      <c r="T68" s="156"/>
      <c r="U68" s="155"/>
      <c r="V68" s="156"/>
      <c r="W68" s="154"/>
      <c r="X68" s="154"/>
    </row>
    <row r="69" spans="1:24" x14ac:dyDescent="0.2">
      <c r="A69" s="131" t="s">
        <v>814</v>
      </c>
      <c r="B69" s="130" t="s">
        <v>813</v>
      </c>
      <c r="C69" s="131" t="s">
        <v>34</v>
      </c>
      <c r="D69" s="131" t="s">
        <v>2178</v>
      </c>
      <c r="E69" s="131" t="s">
        <v>2994</v>
      </c>
      <c r="F69" s="131" t="s">
        <v>1949</v>
      </c>
      <c r="G69" s="132">
        <v>0.75</v>
      </c>
      <c r="H69" s="133" t="s">
        <v>2523</v>
      </c>
      <c r="I69" s="132">
        <v>0.62439999999999996</v>
      </c>
      <c r="J69" s="154" t="s">
        <v>1613</v>
      </c>
      <c r="K69" s="131" t="s">
        <v>1648</v>
      </c>
      <c r="L69" s="131" t="s">
        <v>1952</v>
      </c>
      <c r="M69" s="154"/>
      <c r="N69" s="154"/>
      <c r="O69" s="154"/>
      <c r="P69" s="154"/>
      <c r="Q69" s="154"/>
      <c r="R69" s="154"/>
      <c r="S69" s="154"/>
      <c r="T69" s="154"/>
      <c r="U69" s="154"/>
      <c r="V69" s="154"/>
      <c r="W69" s="154"/>
      <c r="X69" s="154"/>
    </row>
    <row r="70" spans="1:24" x14ac:dyDescent="0.2">
      <c r="A70" s="135" t="s">
        <v>14</v>
      </c>
      <c r="B70" s="134" t="s">
        <v>13</v>
      </c>
      <c r="C70" s="135" t="s">
        <v>17</v>
      </c>
      <c r="D70" s="135" t="s">
        <v>1940</v>
      </c>
      <c r="E70" s="135" t="s">
        <v>1941</v>
      </c>
      <c r="F70" s="135" t="s">
        <v>1919</v>
      </c>
      <c r="G70" s="136">
        <v>0.75</v>
      </c>
      <c r="H70" s="137" t="s">
        <v>1942</v>
      </c>
      <c r="I70" s="136">
        <v>0.55430000000000001</v>
      </c>
      <c r="J70" s="137" t="s">
        <v>1943</v>
      </c>
      <c r="K70" s="135" t="s">
        <v>1648</v>
      </c>
      <c r="L70" s="135" t="s">
        <v>1944</v>
      </c>
      <c r="M70" s="136">
        <v>0.2</v>
      </c>
      <c r="N70" s="137" t="s">
        <v>1945</v>
      </c>
      <c r="O70" s="136">
        <v>0.19089999999999999</v>
      </c>
      <c r="P70" s="137" t="s">
        <v>1946</v>
      </c>
      <c r="Q70" s="135" t="s">
        <v>1649</v>
      </c>
      <c r="R70" s="135" t="s">
        <v>1944</v>
      </c>
      <c r="S70" s="155"/>
      <c r="T70" s="156"/>
      <c r="U70" s="155"/>
      <c r="V70" s="156"/>
      <c r="W70" s="154"/>
      <c r="X70" s="154"/>
    </row>
    <row r="71" spans="1:24" x14ac:dyDescent="0.2">
      <c r="A71" s="135" t="s">
        <v>45</v>
      </c>
      <c r="B71" s="134" t="s">
        <v>44</v>
      </c>
      <c r="C71" s="135" t="s">
        <v>17</v>
      </c>
      <c r="D71" s="135" t="s">
        <v>1992</v>
      </c>
      <c r="E71" s="135" t="s">
        <v>1993</v>
      </c>
      <c r="F71" s="135" t="s">
        <v>1949</v>
      </c>
      <c r="G71" s="136">
        <v>1.2049000000000001</v>
      </c>
      <c r="H71" s="137" t="s">
        <v>1956</v>
      </c>
      <c r="I71" s="136">
        <v>1.25</v>
      </c>
      <c r="J71" s="137" t="s">
        <v>1994</v>
      </c>
      <c r="K71" s="135" t="s">
        <v>1649</v>
      </c>
      <c r="L71" s="135" t="s">
        <v>1952</v>
      </c>
      <c r="M71" s="154"/>
      <c r="N71" s="156"/>
      <c r="O71" s="154"/>
      <c r="P71" s="156"/>
      <c r="Q71" s="154"/>
      <c r="R71" s="154"/>
      <c r="S71" s="154"/>
      <c r="T71" s="156"/>
      <c r="U71" s="154"/>
      <c r="V71" s="156"/>
      <c r="W71" s="154"/>
      <c r="X71" s="154"/>
    </row>
    <row r="72" spans="1:24" x14ac:dyDescent="0.2">
      <c r="A72" s="135" t="s">
        <v>56</v>
      </c>
      <c r="B72" s="134" t="s">
        <v>55</v>
      </c>
      <c r="C72" s="135" t="s">
        <v>17</v>
      </c>
      <c r="D72" s="135" t="s">
        <v>2010</v>
      </c>
      <c r="E72" s="135" t="s">
        <v>2011</v>
      </c>
      <c r="F72" s="135" t="s">
        <v>1919</v>
      </c>
      <c r="G72" s="136">
        <v>0.75</v>
      </c>
      <c r="H72" s="137" t="s">
        <v>2012</v>
      </c>
      <c r="I72" s="136">
        <v>0.63360000000000005</v>
      </c>
      <c r="J72" s="137" t="s">
        <v>1615</v>
      </c>
      <c r="K72" s="135" t="s">
        <v>1648</v>
      </c>
      <c r="L72" s="135" t="s">
        <v>1952</v>
      </c>
      <c r="M72" s="136">
        <v>0.5</v>
      </c>
      <c r="N72" s="137" t="s">
        <v>2013</v>
      </c>
      <c r="O72" s="136">
        <v>0.44919999999999999</v>
      </c>
      <c r="P72" s="137" t="s">
        <v>1615</v>
      </c>
      <c r="Q72" s="135" t="s">
        <v>1648</v>
      </c>
      <c r="R72" s="135" t="s">
        <v>1952</v>
      </c>
      <c r="S72" s="155"/>
      <c r="T72" s="156"/>
      <c r="U72" s="155"/>
      <c r="V72" s="156"/>
      <c r="W72" s="154"/>
      <c r="X72" s="154"/>
    </row>
    <row r="73" spans="1:24" x14ac:dyDescent="0.2">
      <c r="A73" s="135" t="s">
        <v>60</v>
      </c>
      <c r="B73" s="134" t="s">
        <v>59</v>
      </c>
      <c r="C73" s="135" t="s">
        <v>17</v>
      </c>
      <c r="D73" s="135" t="s">
        <v>1960</v>
      </c>
      <c r="E73" s="135" t="s">
        <v>2017</v>
      </c>
      <c r="F73" s="135" t="s">
        <v>1919</v>
      </c>
      <c r="G73" s="136">
        <v>0.7</v>
      </c>
      <c r="H73" s="137" t="s">
        <v>2018</v>
      </c>
      <c r="I73" s="136">
        <v>0.7</v>
      </c>
      <c r="J73" s="137" t="s">
        <v>2019</v>
      </c>
      <c r="K73" s="135" t="s">
        <v>1649</v>
      </c>
      <c r="L73" s="135" t="s">
        <v>1952</v>
      </c>
      <c r="M73" s="155"/>
      <c r="N73" s="154"/>
      <c r="O73" s="155"/>
      <c r="P73" s="154"/>
      <c r="Q73" s="154"/>
      <c r="R73" s="154"/>
      <c r="S73" s="155"/>
      <c r="T73" s="154"/>
      <c r="U73" s="155"/>
      <c r="V73" s="154"/>
      <c r="W73" s="154"/>
      <c r="X73" s="154"/>
    </row>
    <row r="74" spans="1:24" x14ac:dyDescent="0.2">
      <c r="A74" s="135" t="s">
        <v>70</v>
      </c>
      <c r="B74" s="134" t="s">
        <v>69</v>
      </c>
      <c r="C74" s="135" t="s">
        <v>17</v>
      </c>
      <c r="D74" s="135" t="s">
        <v>2028</v>
      </c>
      <c r="E74" s="135" t="s">
        <v>2029</v>
      </c>
      <c r="F74" s="135" t="s">
        <v>1949</v>
      </c>
      <c r="G74" s="136">
        <v>0.9</v>
      </c>
      <c r="H74" s="137" t="s">
        <v>2030</v>
      </c>
      <c r="I74" s="136">
        <v>0.9</v>
      </c>
      <c r="J74" s="137" t="s">
        <v>2031</v>
      </c>
      <c r="K74" s="135" t="s">
        <v>1648</v>
      </c>
      <c r="L74" s="135" t="s">
        <v>1952</v>
      </c>
      <c r="M74" s="154"/>
      <c r="N74" s="154"/>
      <c r="O74" s="154"/>
      <c r="P74" s="154"/>
      <c r="Q74" s="154"/>
      <c r="R74" s="154"/>
      <c r="S74" s="154"/>
      <c r="T74" s="154"/>
      <c r="U74" s="154"/>
      <c r="V74" s="154"/>
      <c r="W74" s="154"/>
      <c r="X74" s="154"/>
    </row>
    <row r="75" spans="1:24" x14ac:dyDescent="0.2">
      <c r="A75" s="135" t="s">
        <v>74</v>
      </c>
      <c r="B75" s="134" t="s">
        <v>73</v>
      </c>
      <c r="C75" s="135" t="s">
        <v>17</v>
      </c>
      <c r="D75" s="135" t="s">
        <v>2034</v>
      </c>
      <c r="E75" s="135" t="s">
        <v>2035</v>
      </c>
      <c r="F75" s="135" t="s">
        <v>1949</v>
      </c>
      <c r="G75" s="136">
        <v>0.99199999999999999</v>
      </c>
      <c r="H75" s="137" t="s">
        <v>2036</v>
      </c>
      <c r="I75" s="136">
        <v>0.99199999999999999</v>
      </c>
      <c r="J75" s="137" t="s">
        <v>1999</v>
      </c>
      <c r="K75" s="135" t="s">
        <v>1649</v>
      </c>
      <c r="L75" s="135" t="s">
        <v>1952</v>
      </c>
      <c r="M75" s="154"/>
      <c r="N75" s="154"/>
      <c r="O75" s="154"/>
      <c r="P75" s="154"/>
      <c r="Q75" s="154"/>
      <c r="R75" s="154"/>
      <c r="S75" s="154"/>
      <c r="T75" s="154"/>
      <c r="U75" s="154"/>
      <c r="V75" s="154"/>
      <c r="W75" s="154"/>
      <c r="X75" s="154"/>
    </row>
    <row r="76" spans="1:24" x14ac:dyDescent="0.2">
      <c r="A76" s="135" t="s">
        <v>98</v>
      </c>
      <c r="B76" s="134" t="s">
        <v>97</v>
      </c>
      <c r="C76" s="135" t="s">
        <v>17</v>
      </c>
      <c r="D76" s="135" t="s">
        <v>2072</v>
      </c>
      <c r="E76" s="135" t="s">
        <v>2073</v>
      </c>
      <c r="F76" s="135" t="s">
        <v>890</v>
      </c>
      <c r="G76" s="136">
        <v>1</v>
      </c>
      <c r="H76" s="137" t="s">
        <v>2074</v>
      </c>
      <c r="I76" s="136">
        <v>1</v>
      </c>
      <c r="J76" s="154" t="s">
        <v>1613</v>
      </c>
      <c r="K76" s="135" t="s">
        <v>1648</v>
      </c>
      <c r="L76" s="135" t="s">
        <v>1990</v>
      </c>
      <c r="M76" s="155"/>
      <c r="N76" s="154"/>
      <c r="O76" s="155"/>
      <c r="P76" s="154"/>
      <c r="Q76" s="154"/>
      <c r="R76" s="154"/>
      <c r="S76" s="155"/>
      <c r="T76" s="154"/>
      <c r="U76" s="155"/>
      <c r="V76" s="154"/>
      <c r="W76" s="154"/>
      <c r="X76" s="154"/>
    </row>
    <row r="77" spans="1:24" x14ac:dyDescent="0.2">
      <c r="A77" s="135" t="s">
        <v>120</v>
      </c>
      <c r="B77" s="134" t="s">
        <v>119</v>
      </c>
      <c r="C77" s="135" t="s">
        <v>17</v>
      </c>
      <c r="D77" s="135" t="s">
        <v>2057</v>
      </c>
      <c r="E77" s="135" t="s">
        <v>2105</v>
      </c>
      <c r="F77" s="135" t="s">
        <v>890</v>
      </c>
      <c r="G77" s="136">
        <v>1</v>
      </c>
      <c r="H77" s="137" t="s">
        <v>2106</v>
      </c>
      <c r="I77" s="136">
        <v>0.72440000000000004</v>
      </c>
      <c r="J77" s="154" t="s">
        <v>1613</v>
      </c>
      <c r="K77" s="135" t="s">
        <v>1648</v>
      </c>
      <c r="L77" s="135" t="s">
        <v>1952</v>
      </c>
      <c r="M77" s="136">
        <v>0.98609999999999998</v>
      </c>
      <c r="N77" s="137" t="s">
        <v>1962</v>
      </c>
      <c r="O77" s="136">
        <v>1</v>
      </c>
      <c r="P77" s="137" t="s">
        <v>2095</v>
      </c>
      <c r="Q77" s="135" t="s">
        <v>1649</v>
      </c>
      <c r="R77" s="135" t="s">
        <v>1952</v>
      </c>
      <c r="S77" s="154" t="s">
        <v>1613</v>
      </c>
      <c r="T77" s="154"/>
      <c r="U77" s="154"/>
      <c r="V77" s="154"/>
      <c r="W77" s="154"/>
      <c r="X77" s="154"/>
    </row>
    <row r="78" spans="1:24" x14ac:dyDescent="0.2">
      <c r="A78" s="135" t="s">
        <v>126</v>
      </c>
      <c r="B78" s="134" t="s">
        <v>125</v>
      </c>
      <c r="C78" s="135" t="s">
        <v>17</v>
      </c>
      <c r="D78" s="135" t="s">
        <v>1953</v>
      </c>
      <c r="E78" s="135" t="s">
        <v>2115</v>
      </c>
      <c r="F78" s="135" t="s">
        <v>890</v>
      </c>
      <c r="G78" s="136">
        <v>0.2</v>
      </c>
      <c r="H78" s="137" t="s">
        <v>2116</v>
      </c>
      <c r="I78" s="136">
        <v>0.2</v>
      </c>
      <c r="J78" s="137" t="s">
        <v>1972</v>
      </c>
      <c r="K78" s="135" t="s">
        <v>1649</v>
      </c>
      <c r="L78" s="135" t="s">
        <v>1952</v>
      </c>
      <c r="M78" s="136">
        <v>1</v>
      </c>
      <c r="N78" s="137" t="s">
        <v>2117</v>
      </c>
      <c r="O78" s="136">
        <v>1</v>
      </c>
      <c r="P78" s="137" t="s">
        <v>1972</v>
      </c>
      <c r="Q78" s="135" t="s">
        <v>1649</v>
      </c>
      <c r="R78" s="135" t="s">
        <v>1952</v>
      </c>
      <c r="S78" s="155"/>
      <c r="T78" s="154"/>
      <c r="U78" s="154"/>
      <c r="V78" s="154"/>
      <c r="W78" s="154"/>
      <c r="X78" s="154"/>
    </row>
    <row r="79" spans="1:24" x14ac:dyDescent="0.2">
      <c r="A79" s="135" t="s">
        <v>138</v>
      </c>
      <c r="B79" s="134" t="s">
        <v>137</v>
      </c>
      <c r="C79" s="135" t="s">
        <v>17</v>
      </c>
      <c r="D79" s="135" t="s">
        <v>2134</v>
      </c>
      <c r="E79" s="135" t="s">
        <v>2135</v>
      </c>
      <c r="F79" s="135" t="s">
        <v>1919</v>
      </c>
      <c r="G79" s="136">
        <v>0.75</v>
      </c>
      <c r="H79" s="137" t="s">
        <v>2136</v>
      </c>
      <c r="I79" s="136">
        <v>0.75</v>
      </c>
      <c r="J79" s="154" t="s">
        <v>1613</v>
      </c>
      <c r="K79" s="135" t="s">
        <v>1648</v>
      </c>
      <c r="L79" s="135" t="s">
        <v>1990</v>
      </c>
      <c r="M79" s="154"/>
      <c r="N79" s="154"/>
      <c r="O79" s="154"/>
      <c r="P79" s="154"/>
      <c r="Q79" s="154"/>
      <c r="R79" s="154"/>
      <c r="S79" s="154"/>
      <c r="T79" s="154"/>
      <c r="U79" s="154"/>
      <c r="V79" s="154"/>
      <c r="W79" s="154"/>
      <c r="X79" s="154"/>
    </row>
    <row r="80" spans="1:24" x14ac:dyDescent="0.2">
      <c r="A80" s="135" t="s">
        <v>180</v>
      </c>
      <c r="B80" s="134" t="s">
        <v>179</v>
      </c>
      <c r="C80" s="135" t="s">
        <v>17</v>
      </c>
      <c r="D80" s="135" t="s">
        <v>2198</v>
      </c>
      <c r="E80" s="135" t="s">
        <v>2199</v>
      </c>
      <c r="F80" s="135" t="s">
        <v>1949</v>
      </c>
      <c r="G80" s="136">
        <v>1</v>
      </c>
      <c r="H80" s="137" t="s">
        <v>2192</v>
      </c>
      <c r="I80" s="136">
        <v>1</v>
      </c>
      <c r="J80" s="137" t="s">
        <v>2005</v>
      </c>
      <c r="K80" s="135" t="s">
        <v>1649</v>
      </c>
      <c r="L80" s="135" t="s">
        <v>1952</v>
      </c>
      <c r="M80" s="155"/>
      <c r="N80" s="154"/>
      <c r="O80" s="155"/>
      <c r="P80" s="154"/>
      <c r="Q80" s="154"/>
      <c r="R80" s="154"/>
      <c r="S80" s="155"/>
      <c r="T80" s="154"/>
      <c r="U80" s="155"/>
      <c r="V80" s="154"/>
      <c r="W80" s="154"/>
      <c r="X80" s="154"/>
    </row>
    <row r="81" spans="1:24" x14ac:dyDescent="0.2">
      <c r="A81" s="135" t="s">
        <v>194</v>
      </c>
      <c r="B81" s="134" t="s">
        <v>193</v>
      </c>
      <c r="C81" s="135" t="s">
        <v>17</v>
      </c>
      <c r="D81" s="135" t="s">
        <v>2126</v>
      </c>
      <c r="E81" s="135" t="s">
        <v>2220</v>
      </c>
      <c r="F81" s="135" t="s">
        <v>1919</v>
      </c>
      <c r="G81" s="136">
        <v>1</v>
      </c>
      <c r="H81" s="137" t="s">
        <v>2221</v>
      </c>
      <c r="I81" s="136">
        <v>0.94520000000000004</v>
      </c>
      <c r="J81" s="154" t="s">
        <v>1613</v>
      </c>
      <c r="K81" s="135" t="s">
        <v>1648</v>
      </c>
      <c r="L81" s="135" t="s">
        <v>1952</v>
      </c>
      <c r="M81" s="154"/>
      <c r="N81" s="154"/>
      <c r="O81" s="154"/>
      <c r="P81" s="154"/>
      <c r="Q81" s="154"/>
      <c r="R81" s="154"/>
      <c r="S81" s="154"/>
      <c r="T81" s="154"/>
      <c r="U81" s="154"/>
      <c r="V81" s="154"/>
      <c r="W81" s="154"/>
      <c r="X81" s="154"/>
    </row>
    <row r="82" spans="1:24" x14ac:dyDescent="0.2">
      <c r="A82" s="135" t="s">
        <v>216</v>
      </c>
      <c r="B82" s="134" t="s">
        <v>215</v>
      </c>
      <c r="C82" s="135" t="s">
        <v>17</v>
      </c>
      <c r="D82" s="135" t="s">
        <v>1953</v>
      </c>
      <c r="E82" s="135" t="s">
        <v>2259</v>
      </c>
      <c r="F82" s="135" t="s">
        <v>2066</v>
      </c>
      <c r="G82" s="136">
        <v>0.2</v>
      </c>
      <c r="H82" s="137" t="s">
        <v>2260</v>
      </c>
      <c r="I82" s="136">
        <v>0.2</v>
      </c>
      <c r="J82" s="137" t="s">
        <v>2261</v>
      </c>
      <c r="K82" s="135" t="s">
        <v>1649</v>
      </c>
      <c r="L82" s="135" t="s">
        <v>1990</v>
      </c>
      <c r="M82" s="155"/>
      <c r="N82" s="154"/>
      <c r="O82" s="155"/>
      <c r="P82" s="154"/>
      <c r="Q82" s="154"/>
      <c r="R82" s="154"/>
      <c r="S82" s="155"/>
      <c r="T82" s="154"/>
      <c r="U82" s="155"/>
      <c r="V82" s="154"/>
      <c r="W82" s="154"/>
      <c r="X82" s="154"/>
    </row>
    <row r="83" spans="1:24" x14ac:dyDescent="0.2">
      <c r="A83" s="135" t="s">
        <v>230</v>
      </c>
      <c r="B83" s="134" t="s">
        <v>229</v>
      </c>
      <c r="C83" s="135" t="s">
        <v>17</v>
      </c>
      <c r="D83" s="135" t="s">
        <v>2055</v>
      </c>
      <c r="E83" s="135" t="s">
        <v>2282</v>
      </c>
      <c r="F83" s="135" t="s">
        <v>1919</v>
      </c>
      <c r="G83" s="155"/>
      <c r="H83" s="154"/>
      <c r="I83" s="155"/>
      <c r="J83" s="154"/>
      <c r="K83" s="154"/>
      <c r="L83" s="154"/>
      <c r="M83" s="155"/>
      <c r="N83" s="154"/>
      <c r="O83" s="155"/>
      <c r="P83" s="154"/>
      <c r="Q83" s="154"/>
      <c r="R83" s="154"/>
      <c r="S83" s="155"/>
      <c r="T83" s="154"/>
      <c r="U83" s="155"/>
      <c r="V83" s="154"/>
      <c r="W83" s="154"/>
      <c r="X83" s="154"/>
    </row>
    <row r="84" spans="1:24" x14ac:dyDescent="0.2">
      <c r="A84" s="135" t="s">
        <v>236</v>
      </c>
      <c r="B84" s="134" t="s">
        <v>235</v>
      </c>
      <c r="C84" s="135" t="s">
        <v>17</v>
      </c>
      <c r="D84" s="135" t="s">
        <v>2264</v>
      </c>
      <c r="E84" s="135" t="s">
        <v>2289</v>
      </c>
      <c r="F84" s="135" t="s">
        <v>1919</v>
      </c>
      <c r="G84" s="136">
        <v>2.9999999999999997E-4</v>
      </c>
      <c r="H84" s="137" t="s">
        <v>2290</v>
      </c>
      <c r="I84" s="136">
        <v>2.9999999999999997E-4</v>
      </c>
      <c r="J84" s="137" t="s">
        <v>2117</v>
      </c>
      <c r="K84" s="135" t="s">
        <v>1649</v>
      </c>
      <c r="L84" s="135" t="s">
        <v>1952</v>
      </c>
      <c r="M84" s="136">
        <v>2.9999999999999997E-4</v>
      </c>
      <c r="N84" s="137" t="s">
        <v>2290</v>
      </c>
      <c r="O84" s="136">
        <v>2.9999999999999997E-4</v>
      </c>
      <c r="P84" s="137" t="s">
        <v>2117</v>
      </c>
      <c r="Q84" s="135" t="s">
        <v>1649</v>
      </c>
      <c r="R84" s="135" t="s">
        <v>1952</v>
      </c>
      <c r="S84" s="155"/>
      <c r="T84" s="156"/>
      <c r="U84" s="155"/>
      <c r="V84" s="156"/>
      <c r="W84" s="154"/>
      <c r="X84" s="154"/>
    </row>
    <row r="85" spans="1:24" x14ac:dyDescent="0.2">
      <c r="A85" s="135" t="s">
        <v>238</v>
      </c>
      <c r="B85" s="134" t="s">
        <v>237</v>
      </c>
      <c r="C85" s="135" t="s">
        <v>17</v>
      </c>
      <c r="D85" s="135" t="s">
        <v>1992</v>
      </c>
      <c r="E85" s="135" t="s">
        <v>2291</v>
      </c>
      <c r="F85" s="135" t="s">
        <v>1919</v>
      </c>
      <c r="G85" s="136">
        <v>0.36449999999999999</v>
      </c>
      <c r="H85" s="137" t="s">
        <v>2292</v>
      </c>
      <c r="I85" s="136">
        <v>0.36449999999999999</v>
      </c>
      <c r="J85" s="137" t="s">
        <v>2293</v>
      </c>
      <c r="K85" s="135" t="s">
        <v>1648</v>
      </c>
      <c r="L85" s="135" t="s">
        <v>1952</v>
      </c>
      <c r="M85" s="155"/>
      <c r="N85" s="156"/>
      <c r="O85" s="155"/>
      <c r="P85" s="156"/>
      <c r="Q85" s="154"/>
      <c r="R85" s="154"/>
      <c r="S85" s="155"/>
      <c r="T85" s="156"/>
      <c r="U85" s="155"/>
      <c r="V85" s="156"/>
      <c r="W85" s="154"/>
      <c r="X85" s="154"/>
    </row>
    <row r="86" spans="1:24" x14ac:dyDescent="0.2">
      <c r="A86" s="135" t="s">
        <v>252</v>
      </c>
      <c r="B86" s="134" t="s">
        <v>251</v>
      </c>
      <c r="C86" s="135" t="s">
        <v>17</v>
      </c>
      <c r="D86" s="135" t="s">
        <v>1969</v>
      </c>
      <c r="E86" s="135" t="s">
        <v>2308</v>
      </c>
      <c r="F86" s="135" t="s">
        <v>1949</v>
      </c>
      <c r="G86" s="136">
        <v>0.50690000000000002</v>
      </c>
      <c r="H86" s="137" t="s">
        <v>2309</v>
      </c>
      <c r="I86" s="136">
        <v>0.6</v>
      </c>
      <c r="J86" s="137" t="s">
        <v>2009</v>
      </c>
      <c r="K86" s="135" t="s">
        <v>1648</v>
      </c>
      <c r="L86" s="135" t="s">
        <v>1952</v>
      </c>
      <c r="M86" s="154"/>
      <c r="N86" s="154"/>
      <c r="O86" s="154"/>
      <c r="P86" s="154"/>
      <c r="Q86" s="154"/>
      <c r="R86" s="154"/>
      <c r="S86" s="154"/>
      <c r="T86" s="154"/>
      <c r="U86" s="154"/>
      <c r="V86" s="154"/>
      <c r="W86" s="154"/>
      <c r="X86" s="154"/>
    </row>
    <row r="87" spans="1:24" x14ac:dyDescent="0.2">
      <c r="A87" s="135" t="s">
        <v>280</v>
      </c>
      <c r="B87" s="134" t="s">
        <v>279</v>
      </c>
      <c r="C87" s="135" t="s">
        <v>17</v>
      </c>
      <c r="D87" s="135" t="s">
        <v>2349</v>
      </c>
      <c r="E87" s="135" t="s">
        <v>2350</v>
      </c>
      <c r="F87" s="135" t="s">
        <v>1919</v>
      </c>
      <c r="G87" s="136">
        <v>0.5</v>
      </c>
      <c r="H87" s="137" t="s">
        <v>2024</v>
      </c>
      <c r="I87" s="136">
        <v>0.4965</v>
      </c>
      <c r="J87" s="137" t="s">
        <v>2351</v>
      </c>
      <c r="K87" s="135" t="s">
        <v>1649</v>
      </c>
      <c r="L87" s="135" t="s">
        <v>1952</v>
      </c>
      <c r="M87" s="155"/>
      <c r="N87" s="154"/>
      <c r="O87" s="155"/>
      <c r="P87" s="154"/>
      <c r="Q87" s="154"/>
      <c r="R87" s="154"/>
      <c r="S87" s="155"/>
      <c r="T87" s="154"/>
      <c r="U87" s="155"/>
      <c r="V87" s="154"/>
      <c r="W87" s="154"/>
      <c r="X87" s="154"/>
    </row>
    <row r="88" spans="1:24" x14ac:dyDescent="0.2">
      <c r="A88" s="135" t="s">
        <v>290</v>
      </c>
      <c r="B88" s="134" t="s">
        <v>289</v>
      </c>
      <c r="C88" s="135" t="s">
        <v>17</v>
      </c>
      <c r="D88" s="135" t="s">
        <v>2264</v>
      </c>
      <c r="E88" s="135" t="s">
        <v>2362</v>
      </c>
      <c r="F88" s="135" t="s">
        <v>1949</v>
      </c>
      <c r="G88" s="136">
        <v>0.48770000000000002</v>
      </c>
      <c r="H88" s="137" t="s">
        <v>2067</v>
      </c>
      <c r="I88" s="136">
        <v>0.5</v>
      </c>
      <c r="J88" s="137" t="s">
        <v>1963</v>
      </c>
      <c r="K88" s="135" t="s">
        <v>1649</v>
      </c>
      <c r="L88" s="135" t="s">
        <v>1952</v>
      </c>
      <c r="M88" s="155"/>
      <c r="N88" s="154"/>
      <c r="O88" s="154"/>
      <c r="P88" s="154"/>
      <c r="Q88" s="154"/>
      <c r="R88" s="154"/>
      <c r="S88" s="155"/>
      <c r="T88" s="154"/>
      <c r="U88" s="154"/>
      <c r="V88" s="154"/>
      <c r="W88" s="154"/>
      <c r="X88" s="154"/>
    </row>
    <row r="89" spans="1:24" x14ac:dyDescent="0.2">
      <c r="A89" s="135" t="s">
        <v>334</v>
      </c>
      <c r="B89" s="134" t="s">
        <v>333</v>
      </c>
      <c r="C89" s="135" t="s">
        <v>17</v>
      </c>
      <c r="D89" s="135" t="s">
        <v>2028</v>
      </c>
      <c r="E89" s="135" t="s">
        <v>2427</v>
      </c>
      <c r="F89" s="135" t="s">
        <v>1949</v>
      </c>
      <c r="G89" s="136">
        <v>1.6</v>
      </c>
      <c r="H89" s="137" t="s">
        <v>2428</v>
      </c>
      <c r="I89" s="136">
        <v>1.5781000000000001</v>
      </c>
      <c r="J89" s="137" t="s">
        <v>1991</v>
      </c>
      <c r="K89" s="135" t="s">
        <v>1648</v>
      </c>
      <c r="L89" s="135" t="s">
        <v>1990</v>
      </c>
      <c r="M89" s="154"/>
      <c r="N89" s="154"/>
      <c r="O89" s="154"/>
      <c r="P89" s="154"/>
      <c r="Q89" s="154"/>
      <c r="R89" s="154"/>
      <c r="S89" s="154"/>
      <c r="T89" s="154"/>
      <c r="U89" s="154"/>
      <c r="V89" s="154"/>
      <c r="W89" s="154"/>
      <c r="X89" s="154"/>
    </row>
    <row r="90" spans="1:24" x14ac:dyDescent="0.2">
      <c r="A90" s="135" t="s">
        <v>344</v>
      </c>
      <c r="B90" s="134" t="s">
        <v>343</v>
      </c>
      <c r="C90" s="135" t="s">
        <v>17</v>
      </c>
      <c r="D90" s="135" t="s">
        <v>2446</v>
      </c>
      <c r="E90" s="135" t="s">
        <v>2447</v>
      </c>
      <c r="F90" s="135" t="s">
        <v>1949</v>
      </c>
      <c r="G90" s="136">
        <v>0.85</v>
      </c>
      <c r="H90" s="137" t="s">
        <v>2448</v>
      </c>
      <c r="I90" s="136">
        <v>0.76239999999999997</v>
      </c>
      <c r="J90" s="137" t="s">
        <v>1615</v>
      </c>
      <c r="K90" s="135" t="s">
        <v>1648</v>
      </c>
      <c r="L90" s="135" t="s">
        <v>1952</v>
      </c>
      <c r="M90" s="136">
        <v>0.85</v>
      </c>
      <c r="N90" s="137" t="s">
        <v>2449</v>
      </c>
      <c r="O90" s="136">
        <v>0.77829999999999999</v>
      </c>
      <c r="P90" s="137" t="s">
        <v>1615</v>
      </c>
      <c r="Q90" s="135" t="s">
        <v>1648</v>
      </c>
      <c r="R90" s="135" t="s">
        <v>1952</v>
      </c>
      <c r="S90" s="155"/>
      <c r="T90" s="156"/>
      <c r="U90" s="155"/>
      <c r="V90" s="156"/>
      <c r="W90" s="154"/>
      <c r="X90" s="154"/>
    </row>
    <row r="91" spans="1:24" x14ac:dyDescent="0.2">
      <c r="A91" s="135" t="s">
        <v>354</v>
      </c>
      <c r="B91" s="134" t="s">
        <v>353</v>
      </c>
      <c r="C91" s="135" t="s">
        <v>17</v>
      </c>
      <c r="D91" s="135" t="s">
        <v>2237</v>
      </c>
      <c r="E91" s="135" t="s">
        <v>2460</v>
      </c>
      <c r="F91" s="135" t="s">
        <v>1949</v>
      </c>
      <c r="G91" s="136">
        <v>0.85</v>
      </c>
      <c r="H91" s="137" t="s">
        <v>1966</v>
      </c>
      <c r="I91" s="136">
        <v>0.85</v>
      </c>
      <c r="J91" s="137" t="s">
        <v>2461</v>
      </c>
      <c r="K91" s="135" t="s">
        <v>1649</v>
      </c>
      <c r="L91" s="135" t="s">
        <v>1990</v>
      </c>
      <c r="M91" s="136">
        <v>0.96</v>
      </c>
      <c r="N91" s="137" t="s">
        <v>2462</v>
      </c>
      <c r="O91" s="136">
        <v>0.96</v>
      </c>
      <c r="P91" s="137" t="s">
        <v>2461</v>
      </c>
      <c r="Q91" s="135" t="s">
        <v>1649</v>
      </c>
      <c r="R91" s="135" t="s">
        <v>2054</v>
      </c>
      <c r="S91" s="154" t="s">
        <v>1613</v>
      </c>
      <c r="T91" s="154"/>
      <c r="U91" s="154"/>
      <c r="V91" s="154"/>
      <c r="W91" s="154"/>
      <c r="X91" s="154"/>
    </row>
    <row r="92" spans="1:24" x14ac:dyDescent="0.2">
      <c r="A92" s="135" t="s">
        <v>362</v>
      </c>
      <c r="B92" s="134" t="s">
        <v>361</v>
      </c>
      <c r="C92" s="135" t="s">
        <v>17</v>
      </c>
      <c r="D92" s="135" t="s">
        <v>2148</v>
      </c>
      <c r="E92" s="135" t="s">
        <v>2473</v>
      </c>
      <c r="F92" s="135" t="s">
        <v>1919</v>
      </c>
      <c r="G92" s="136">
        <v>0.9</v>
      </c>
      <c r="H92" s="154" t="s">
        <v>1613</v>
      </c>
      <c r="I92" s="136">
        <v>0.9</v>
      </c>
      <c r="J92" s="137" t="s">
        <v>2474</v>
      </c>
      <c r="K92" s="135" t="s">
        <v>1649</v>
      </c>
      <c r="L92" s="135" t="s">
        <v>1952</v>
      </c>
      <c r="M92" s="154"/>
      <c r="N92" s="154"/>
      <c r="O92" s="154"/>
      <c r="P92" s="154"/>
      <c r="Q92" s="154"/>
      <c r="R92" s="154"/>
      <c r="S92" s="154"/>
      <c r="T92" s="154"/>
      <c r="U92" s="154"/>
      <c r="V92" s="154"/>
      <c r="W92" s="154"/>
      <c r="X92" s="154"/>
    </row>
    <row r="93" spans="1:24" x14ac:dyDescent="0.2">
      <c r="A93" s="135" t="s">
        <v>366</v>
      </c>
      <c r="B93" s="134" t="s">
        <v>365</v>
      </c>
      <c r="C93" s="135" t="s">
        <v>17</v>
      </c>
      <c r="D93" s="135" t="s">
        <v>1973</v>
      </c>
      <c r="E93" s="135" t="s">
        <v>2477</v>
      </c>
      <c r="F93" s="135" t="s">
        <v>1949</v>
      </c>
      <c r="G93" s="136">
        <v>0.6</v>
      </c>
      <c r="H93" s="137" t="s">
        <v>2195</v>
      </c>
      <c r="I93" s="136">
        <v>0.6</v>
      </c>
      <c r="J93" s="137" t="s">
        <v>1972</v>
      </c>
      <c r="K93" s="135" t="s">
        <v>1648</v>
      </c>
      <c r="L93" s="135" t="s">
        <v>1952</v>
      </c>
      <c r="M93" s="154"/>
      <c r="N93" s="154"/>
      <c r="O93" s="154"/>
      <c r="P93" s="154"/>
      <c r="Q93" s="154"/>
      <c r="R93" s="154"/>
      <c r="S93" s="154"/>
      <c r="T93" s="154"/>
      <c r="U93" s="154"/>
      <c r="V93" s="154"/>
      <c r="W93" s="154"/>
      <c r="X93" s="154"/>
    </row>
    <row r="94" spans="1:24" x14ac:dyDescent="0.2">
      <c r="A94" s="135" t="s">
        <v>372</v>
      </c>
      <c r="B94" s="134" t="s">
        <v>371</v>
      </c>
      <c r="C94" s="135" t="s">
        <v>17</v>
      </c>
      <c r="D94" s="135" t="s">
        <v>1984</v>
      </c>
      <c r="E94" s="135" t="s">
        <v>2481</v>
      </c>
      <c r="F94" s="135" t="s">
        <v>2066</v>
      </c>
      <c r="G94" s="136">
        <v>0.5</v>
      </c>
      <c r="H94" s="137" t="s">
        <v>2482</v>
      </c>
      <c r="I94" s="136">
        <v>0.5</v>
      </c>
      <c r="J94" s="137" t="s">
        <v>2296</v>
      </c>
      <c r="K94" s="135" t="s">
        <v>1649</v>
      </c>
      <c r="L94" s="135" t="s">
        <v>1615</v>
      </c>
      <c r="M94" s="155"/>
      <c r="N94" s="156"/>
      <c r="O94" s="155"/>
      <c r="P94" s="156"/>
      <c r="Q94" s="154"/>
      <c r="R94" s="154"/>
      <c r="S94" s="155"/>
      <c r="T94" s="156"/>
      <c r="U94" s="155"/>
      <c r="V94" s="156"/>
      <c r="W94" s="154"/>
      <c r="X94" s="154"/>
    </row>
    <row r="95" spans="1:24" x14ac:dyDescent="0.2">
      <c r="A95" s="135" t="s">
        <v>376</v>
      </c>
      <c r="B95" s="134" t="s">
        <v>375</v>
      </c>
      <c r="C95" s="135" t="s">
        <v>17</v>
      </c>
      <c r="D95" s="135" t="s">
        <v>1947</v>
      </c>
      <c r="E95" s="135" t="s">
        <v>2487</v>
      </c>
      <c r="F95" s="135" t="s">
        <v>1949</v>
      </c>
      <c r="G95" s="136">
        <v>0.74970000000000003</v>
      </c>
      <c r="H95" s="137" t="s">
        <v>2272</v>
      </c>
      <c r="I95" s="136">
        <v>0.75</v>
      </c>
      <c r="J95" s="137" t="s">
        <v>2207</v>
      </c>
      <c r="K95" s="135" t="s">
        <v>1649</v>
      </c>
      <c r="L95" s="135" t="s">
        <v>1944</v>
      </c>
      <c r="M95" s="154"/>
      <c r="N95" s="154"/>
      <c r="O95" s="154"/>
      <c r="P95" s="154"/>
      <c r="Q95" s="154"/>
      <c r="R95" s="154"/>
      <c r="S95" s="154"/>
      <c r="T95" s="154"/>
      <c r="U95" s="154"/>
      <c r="V95" s="154"/>
      <c r="W95" s="154"/>
      <c r="X95" s="154"/>
    </row>
    <row r="96" spans="1:24" x14ac:dyDescent="0.2">
      <c r="A96" s="135" t="s">
        <v>382</v>
      </c>
      <c r="B96" s="134" t="s">
        <v>381</v>
      </c>
      <c r="C96" s="135" t="s">
        <v>17</v>
      </c>
      <c r="D96" s="135" t="s">
        <v>2334</v>
      </c>
      <c r="E96" s="135" t="s">
        <v>2491</v>
      </c>
      <c r="F96" s="135" t="s">
        <v>1919</v>
      </c>
      <c r="G96" s="155"/>
      <c r="H96" s="156"/>
      <c r="I96" s="155"/>
      <c r="J96" s="156"/>
      <c r="K96" s="154"/>
      <c r="L96" s="154"/>
      <c r="M96" s="155"/>
      <c r="N96" s="156"/>
      <c r="O96" s="155"/>
      <c r="P96" s="156"/>
      <c r="Q96" s="154"/>
      <c r="R96" s="154"/>
      <c r="S96" s="155"/>
      <c r="T96" s="156"/>
      <c r="U96" s="155"/>
      <c r="V96" s="156"/>
      <c r="W96" s="154"/>
      <c r="X96" s="154"/>
    </row>
    <row r="97" spans="1:24" x14ac:dyDescent="0.2">
      <c r="A97" s="135" t="s">
        <v>388</v>
      </c>
      <c r="B97" s="134" t="s">
        <v>387</v>
      </c>
      <c r="C97" s="135" t="s">
        <v>17</v>
      </c>
      <c r="D97" s="135" t="s">
        <v>2072</v>
      </c>
      <c r="E97" s="135" t="s">
        <v>2496</v>
      </c>
      <c r="F97" s="135" t="s">
        <v>890</v>
      </c>
      <c r="G97" s="136">
        <v>1</v>
      </c>
      <c r="H97" s="137" t="s">
        <v>2497</v>
      </c>
      <c r="I97" s="136">
        <v>0.96579999999999999</v>
      </c>
      <c r="J97" s="137" t="s">
        <v>2498</v>
      </c>
      <c r="K97" s="135" t="s">
        <v>1648</v>
      </c>
      <c r="L97" s="135" t="s">
        <v>1952</v>
      </c>
      <c r="M97" s="155"/>
      <c r="N97" s="154"/>
      <c r="O97" s="154"/>
      <c r="P97" s="154"/>
      <c r="Q97" s="154"/>
      <c r="R97" s="154"/>
      <c r="S97" s="155"/>
      <c r="T97" s="154"/>
      <c r="U97" s="154"/>
      <c r="V97" s="154"/>
      <c r="W97" s="154"/>
      <c r="X97" s="154"/>
    </row>
    <row r="98" spans="1:24" x14ac:dyDescent="0.2">
      <c r="A98" s="135" t="s">
        <v>392</v>
      </c>
      <c r="B98" s="134" t="s">
        <v>391</v>
      </c>
      <c r="C98" s="135" t="s">
        <v>17</v>
      </c>
      <c r="D98" s="135" t="s">
        <v>1973</v>
      </c>
      <c r="E98" s="135" t="s">
        <v>2500</v>
      </c>
      <c r="F98" s="135" t="s">
        <v>1919</v>
      </c>
      <c r="G98" s="155"/>
      <c r="H98" s="156"/>
      <c r="I98" s="155"/>
      <c r="J98" s="156"/>
      <c r="K98" s="154"/>
      <c r="L98" s="154"/>
      <c r="M98" s="155"/>
      <c r="N98" s="156"/>
      <c r="O98" s="155"/>
      <c r="P98" s="156"/>
      <c r="Q98" s="154"/>
      <c r="R98" s="154"/>
      <c r="S98" s="155"/>
      <c r="T98" s="156"/>
      <c r="U98" s="155"/>
      <c r="V98" s="156"/>
      <c r="W98" s="154"/>
      <c r="X98" s="154"/>
    </row>
    <row r="99" spans="1:24" x14ac:dyDescent="0.2">
      <c r="A99" s="135" t="s">
        <v>396</v>
      </c>
      <c r="B99" s="134" t="s">
        <v>395</v>
      </c>
      <c r="C99" s="135" t="s">
        <v>17</v>
      </c>
      <c r="D99" s="135" t="s">
        <v>2122</v>
      </c>
      <c r="E99" s="135" t="s">
        <v>2503</v>
      </c>
      <c r="F99" s="135" t="s">
        <v>2133</v>
      </c>
      <c r="G99" s="155"/>
      <c r="H99" s="156"/>
      <c r="I99" s="155"/>
      <c r="J99" s="156"/>
      <c r="K99" s="154"/>
      <c r="L99" s="154"/>
      <c r="M99" s="155"/>
      <c r="N99" s="156"/>
      <c r="O99" s="155"/>
      <c r="P99" s="156"/>
      <c r="Q99" s="154"/>
      <c r="R99" s="154"/>
      <c r="S99" s="155"/>
      <c r="T99" s="156"/>
      <c r="U99" s="155"/>
      <c r="V99" s="156"/>
      <c r="W99" s="154"/>
      <c r="X99" s="154"/>
    </row>
    <row r="100" spans="1:24" x14ac:dyDescent="0.2">
      <c r="A100" s="135" t="s">
        <v>398</v>
      </c>
      <c r="B100" s="134" t="s">
        <v>397</v>
      </c>
      <c r="C100" s="135" t="s">
        <v>17</v>
      </c>
      <c r="D100" s="135" t="s">
        <v>2134</v>
      </c>
      <c r="E100" s="135" t="s">
        <v>2504</v>
      </c>
      <c r="F100" s="135" t="s">
        <v>1949</v>
      </c>
      <c r="G100" s="136">
        <v>1</v>
      </c>
      <c r="H100" s="137" t="s">
        <v>2505</v>
      </c>
      <c r="I100" s="136">
        <v>1</v>
      </c>
      <c r="J100" s="154" t="s">
        <v>1613</v>
      </c>
      <c r="K100" s="135" t="s">
        <v>1648</v>
      </c>
      <c r="L100" s="135" t="s">
        <v>1944</v>
      </c>
      <c r="M100" s="154"/>
      <c r="N100" s="154"/>
      <c r="O100" s="154"/>
      <c r="P100" s="154"/>
      <c r="Q100" s="154"/>
      <c r="R100" s="154"/>
      <c r="S100" s="154"/>
      <c r="T100" s="154"/>
      <c r="U100" s="154"/>
      <c r="V100" s="154"/>
      <c r="W100" s="154"/>
      <c r="X100" s="154"/>
    </row>
    <row r="101" spans="1:24" x14ac:dyDescent="0.2">
      <c r="A101" s="135" t="s">
        <v>400</v>
      </c>
      <c r="B101" s="134" t="s">
        <v>399</v>
      </c>
      <c r="C101" s="135" t="s">
        <v>17</v>
      </c>
      <c r="D101" s="135" t="s">
        <v>2045</v>
      </c>
      <c r="E101" s="135" t="s">
        <v>2506</v>
      </c>
      <c r="F101" s="135" t="s">
        <v>1949</v>
      </c>
      <c r="G101" s="136">
        <v>1</v>
      </c>
      <c r="H101" s="137" t="s">
        <v>2507</v>
      </c>
      <c r="I101" s="136">
        <v>0.85709999999999997</v>
      </c>
      <c r="J101" s="137" t="s">
        <v>1943</v>
      </c>
      <c r="K101" s="135" t="s">
        <v>1648</v>
      </c>
      <c r="L101" s="135" t="s">
        <v>1952</v>
      </c>
      <c r="M101" s="154"/>
      <c r="N101" s="154"/>
      <c r="O101" s="154"/>
      <c r="P101" s="154"/>
      <c r="Q101" s="154"/>
      <c r="R101" s="154"/>
      <c r="S101" s="154"/>
      <c r="T101" s="154"/>
      <c r="U101" s="154"/>
      <c r="V101" s="154"/>
      <c r="W101" s="154"/>
      <c r="X101" s="154"/>
    </row>
    <row r="102" spans="1:24" x14ac:dyDescent="0.2">
      <c r="A102" s="135" t="s">
        <v>414</v>
      </c>
      <c r="B102" s="134" t="s">
        <v>413</v>
      </c>
      <c r="C102" s="135" t="s">
        <v>17</v>
      </c>
      <c r="D102" s="135" t="s">
        <v>2002</v>
      </c>
      <c r="E102" s="135" t="s">
        <v>2521</v>
      </c>
      <c r="F102" s="135" t="s">
        <v>1949</v>
      </c>
      <c r="G102" s="136">
        <v>1</v>
      </c>
      <c r="H102" s="137" t="s">
        <v>2522</v>
      </c>
      <c r="I102" s="136">
        <v>0.95</v>
      </c>
      <c r="J102" s="137" t="s">
        <v>2025</v>
      </c>
      <c r="K102" s="135" t="s">
        <v>1649</v>
      </c>
      <c r="L102" s="135" t="s">
        <v>1944</v>
      </c>
      <c r="M102" s="136">
        <v>1</v>
      </c>
      <c r="N102" s="137" t="s">
        <v>2523</v>
      </c>
      <c r="O102" s="136">
        <v>0.95</v>
      </c>
      <c r="P102" s="137" t="s">
        <v>2524</v>
      </c>
      <c r="Q102" s="135" t="s">
        <v>1648</v>
      </c>
      <c r="R102" s="135" t="s">
        <v>1944</v>
      </c>
      <c r="S102" s="154" t="s">
        <v>1613</v>
      </c>
      <c r="T102" s="154"/>
      <c r="U102" s="154"/>
      <c r="V102" s="154"/>
      <c r="W102" s="154"/>
      <c r="X102" s="154"/>
    </row>
    <row r="103" spans="1:24" x14ac:dyDescent="0.2">
      <c r="A103" s="135" t="s">
        <v>427</v>
      </c>
      <c r="B103" s="134" t="s">
        <v>426</v>
      </c>
      <c r="C103" s="135" t="s">
        <v>17</v>
      </c>
      <c r="D103" s="135" t="s">
        <v>1973</v>
      </c>
      <c r="E103" s="135" t="s">
        <v>2533</v>
      </c>
      <c r="F103" s="135" t="s">
        <v>1919</v>
      </c>
      <c r="G103" s="136">
        <v>2</v>
      </c>
      <c r="H103" s="137" t="s">
        <v>2534</v>
      </c>
      <c r="I103" s="136">
        <v>1</v>
      </c>
      <c r="J103" s="137" t="s">
        <v>1991</v>
      </c>
      <c r="K103" s="135" t="s">
        <v>1648</v>
      </c>
      <c r="L103" s="135" t="s">
        <v>1990</v>
      </c>
      <c r="M103" s="154"/>
      <c r="N103" s="154"/>
      <c r="O103" s="154"/>
      <c r="P103" s="154"/>
      <c r="Q103" s="154"/>
      <c r="R103" s="154"/>
      <c r="S103" s="154"/>
      <c r="T103" s="154"/>
      <c r="U103" s="154"/>
      <c r="V103" s="154"/>
      <c r="W103" s="154"/>
      <c r="X103" s="154"/>
    </row>
    <row r="104" spans="1:24" x14ac:dyDescent="0.2">
      <c r="A104" s="135" t="s">
        <v>429</v>
      </c>
      <c r="B104" s="134" t="s">
        <v>428</v>
      </c>
      <c r="C104" s="135" t="s">
        <v>17</v>
      </c>
      <c r="D104" s="135" t="s">
        <v>2393</v>
      </c>
      <c r="E104" s="135" t="s">
        <v>2535</v>
      </c>
      <c r="F104" s="135" t="s">
        <v>1919</v>
      </c>
      <c r="G104" s="136">
        <v>0.4</v>
      </c>
      <c r="H104" s="137" t="s">
        <v>1956</v>
      </c>
      <c r="I104" s="136">
        <v>0.39040000000000002</v>
      </c>
      <c r="J104" s="137" t="s">
        <v>1946</v>
      </c>
      <c r="K104" s="135" t="s">
        <v>1649</v>
      </c>
      <c r="L104" s="135" t="s">
        <v>2536</v>
      </c>
      <c r="M104" s="155"/>
      <c r="N104" s="156"/>
      <c r="O104" s="155"/>
      <c r="P104" s="156"/>
      <c r="Q104" s="154"/>
      <c r="R104" s="154"/>
      <c r="S104" s="155"/>
      <c r="T104" s="156"/>
      <c r="U104" s="155"/>
      <c r="V104" s="156"/>
      <c r="W104" s="154"/>
      <c r="X104" s="154"/>
    </row>
    <row r="105" spans="1:24" x14ac:dyDescent="0.2">
      <c r="A105" s="135" t="s">
        <v>450</v>
      </c>
      <c r="B105" s="134" t="s">
        <v>449</v>
      </c>
      <c r="C105" s="135" t="s">
        <v>17</v>
      </c>
      <c r="D105" s="135" t="s">
        <v>2105</v>
      </c>
      <c r="E105" s="135" t="s">
        <v>2559</v>
      </c>
      <c r="F105" s="135" t="s">
        <v>1949</v>
      </c>
      <c r="G105" s="136">
        <v>0.25</v>
      </c>
      <c r="H105" s="137" t="s">
        <v>2560</v>
      </c>
      <c r="I105" s="136">
        <v>0.25</v>
      </c>
      <c r="J105" s="137" t="s">
        <v>2561</v>
      </c>
      <c r="K105" s="135" t="s">
        <v>1649</v>
      </c>
      <c r="L105" s="135" t="s">
        <v>1952</v>
      </c>
      <c r="M105" s="154"/>
      <c r="N105" s="154"/>
      <c r="O105" s="154"/>
      <c r="P105" s="154"/>
      <c r="Q105" s="154"/>
      <c r="R105" s="154"/>
      <c r="S105" s="154"/>
      <c r="T105" s="154"/>
      <c r="U105" s="154"/>
      <c r="V105" s="154"/>
      <c r="W105" s="154"/>
      <c r="X105" s="154"/>
    </row>
    <row r="106" spans="1:24" x14ac:dyDescent="0.2">
      <c r="A106" s="135" t="s">
        <v>456</v>
      </c>
      <c r="B106" s="134" t="s">
        <v>455</v>
      </c>
      <c r="C106" s="135" t="s">
        <v>17</v>
      </c>
      <c r="D106" s="135" t="s">
        <v>2316</v>
      </c>
      <c r="E106" s="135" t="s">
        <v>2259</v>
      </c>
      <c r="F106" s="135" t="s">
        <v>2066</v>
      </c>
      <c r="G106" s="136">
        <v>1</v>
      </c>
      <c r="H106" s="137" t="s">
        <v>2567</v>
      </c>
      <c r="I106" s="136">
        <v>1</v>
      </c>
      <c r="J106" s="154" t="s">
        <v>1613</v>
      </c>
      <c r="K106" s="135" t="s">
        <v>1648</v>
      </c>
      <c r="L106" s="135" t="s">
        <v>1952</v>
      </c>
      <c r="M106" s="155"/>
      <c r="N106" s="156"/>
      <c r="O106" s="155"/>
      <c r="P106" s="156"/>
      <c r="Q106" s="154"/>
      <c r="R106" s="154"/>
      <c r="S106" s="155"/>
      <c r="T106" s="156"/>
      <c r="U106" s="155"/>
      <c r="V106" s="156"/>
      <c r="W106" s="154"/>
      <c r="X106" s="154"/>
    </row>
    <row r="107" spans="1:24" x14ac:dyDescent="0.2">
      <c r="A107" s="135" t="s">
        <v>462</v>
      </c>
      <c r="B107" s="134" t="s">
        <v>461</v>
      </c>
      <c r="C107" s="135" t="s">
        <v>17</v>
      </c>
      <c r="D107" s="135" t="s">
        <v>1958</v>
      </c>
      <c r="E107" s="135" t="s">
        <v>2573</v>
      </c>
      <c r="F107" s="135" t="s">
        <v>1949</v>
      </c>
      <c r="G107" s="136">
        <v>1</v>
      </c>
      <c r="H107" s="137" t="s">
        <v>2574</v>
      </c>
      <c r="I107" s="136">
        <v>0.84950000000000003</v>
      </c>
      <c r="J107" s="154" t="s">
        <v>1613</v>
      </c>
      <c r="K107" s="135" t="s">
        <v>1648</v>
      </c>
      <c r="L107" s="135" t="s">
        <v>1952</v>
      </c>
      <c r="M107" s="154"/>
      <c r="N107" s="154"/>
      <c r="O107" s="154"/>
      <c r="P107" s="154"/>
      <c r="Q107" s="154"/>
      <c r="R107" s="154"/>
      <c r="S107" s="154"/>
      <c r="T107" s="154"/>
      <c r="U107" s="154"/>
      <c r="V107" s="154"/>
      <c r="W107" s="154"/>
      <c r="X107" s="154"/>
    </row>
    <row r="108" spans="1:24" x14ac:dyDescent="0.2">
      <c r="A108" s="135" t="s">
        <v>466</v>
      </c>
      <c r="B108" s="134" t="s">
        <v>465</v>
      </c>
      <c r="C108" s="135" t="s">
        <v>17</v>
      </c>
      <c r="D108" s="135" t="s">
        <v>1969</v>
      </c>
      <c r="E108" s="135" t="s">
        <v>2578</v>
      </c>
      <c r="F108" s="135" t="s">
        <v>1919</v>
      </c>
      <c r="G108" s="155"/>
      <c r="H108" s="154"/>
      <c r="I108" s="155"/>
      <c r="J108" s="154"/>
      <c r="K108" s="154"/>
      <c r="L108" s="154"/>
      <c r="M108" s="155"/>
      <c r="N108" s="154"/>
      <c r="O108" s="155"/>
      <c r="P108" s="154"/>
      <c r="Q108" s="154"/>
      <c r="R108" s="154"/>
      <c r="S108" s="155"/>
      <c r="T108" s="154"/>
      <c r="U108" s="155"/>
      <c r="V108" s="154"/>
      <c r="W108" s="154"/>
      <c r="X108" s="154"/>
    </row>
    <row r="109" spans="1:24" x14ac:dyDescent="0.2">
      <c r="A109" s="135" t="s">
        <v>478</v>
      </c>
      <c r="B109" s="134" t="s">
        <v>477</v>
      </c>
      <c r="C109" s="135" t="s">
        <v>17</v>
      </c>
      <c r="D109" s="135" t="s">
        <v>2152</v>
      </c>
      <c r="E109" s="135" t="s">
        <v>2587</v>
      </c>
      <c r="F109" s="135" t="s">
        <v>1919</v>
      </c>
      <c r="G109" s="136">
        <v>2</v>
      </c>
      <c r="H109" s="137" t="s">
        <v>2588</v>
      </c>
      <c r="I109" s="136">
        <v>2</v>
      </c>
      <c r="J109" s="137" t="s">
        <v>2589</v>
      </c>
      <c r="K109" s="135" t="s">
        <v>1649</v>
      </c>
      <c r="L109" s="135" t="s">
        <v>1952</v>
      </c>
      <c r="M109" s="155"/>
      <c r="N109" s="156"/>
      <c r="O109" s="155"/>
      <c r="P109" s="156"/>
      <c r="Q109" s="154"/>
      <c r="R109" s="154"/>
      <c r="S109" s="155"/>
      <c r="T109" s="156"/>
      <c r="U109" s="155"/>
      <c r="V109" s="156"/>
      <c r="W109" s="154"/>
      <c r="X109" s="154"/>
    </row>
    <row r="110" spans="1:24" x14ac:dyDescent="0.2">
      <c r="A110" s="135" t="s">
        <v>480</v>
      </c>
      <c r="B110" s="134" t="s">
        <v>479</v>
      </c>
      <c r="C110" s="135" t="s">
        <v>17</v>
      </c>
      <c r="D110" s="135" t="s">
        <v>1953</v>
      </c>
      <c r="E110" s="135" t="s">
        <v>2590</v>
      </c>
      <c r="F110" s="135" t="s">
        <v>1949</v>
      </c>
      <c r="G110" s="136">
        <v>0.2</v>
      </c>
      <c r="H110" s="137" t="s">
        <v>2591</v>
      </c>
      <c r="I110" s="136">
        <v>0.2</v>
      </c>
      <c r="J110" s="137" t="s">
        <v>2592</v>
      </c>
      <c r="K110" s="135" t="s">
        <v>1649</v>
      </c>
      <c r="L110" s="135" t="s">
        <v>1952</v>
      </c>
      <c r="M110" s="154"/>
      <c r="N110" s="154"/>
      <c r="O110" s="154"/>
      <c r="P110" s="154"/>
      <c r="Q110" s="154"/>
      <c r="R110" s="154"/>
      <c r="S110" s="154"/>
      <c r="T110" s="154"/>
      <c r="U110" s="154"/>
      <c r="V110" s="154"/>
      <c r="W110" s="154"/>
      <c r="X110" s="154"/>
    </row>
    <row r="111" spans="1:24" x14ac:dyDescent="0.2">
      <c r="A111" s="135" t="s">
        <v>488</v>
      </c>
      <c r="B111" s="134" t="s">
        <v>487</v>
      </c>
      <c r="C111" s="135" t="s">
        <v>17</v>
      </c>
      <c r="D111" s="135" t="s">
        <v>2122</v>
      </c>
      <c r="E111" s="135" t="s">
        <v>2600</v>
      </c>
      <c r="F111" s="135" t="s">
        <v>1949</v>
      </c>
      <c r="G111" s="136">
        <v>0.75</v>
      </c>
      <c r="H111" s="137" t="s">
        <v>2601</v>
      </c>
      <c r="I111" s="136">
        <v>0.73540000000000005</v>
      </c>
      <c r="J111" s="137" t="s">
        <v>2602</v>
      </c>
      <c r="K111" s="135" t="s">
        <v>1649</v>
      </c>
      <c r="L111" s="135" t="s">
        <v>1952</v>
      </c>
      <c r="M111" s="154"/>
      <c r="N111" s="154"/>
      <c r="O111" s="154"/>
      <c r="P111" s="154"/>
      <c r="Q111" s="154"/>
      <c r="R111" s="154"/>
      <c r="S111" s="154"/>
      <c r="T111" s="154"/>
      <c r="U111" s="154"/>
      <c r="V111" s="154"/>
      <c r="W111" s="154"/>
      <c r="X111" s="154"/>
    </row>
    <row r="112" spans="1:24" x14ac:dyDescent="0.2">
      <c r="A112" s="135" t="s">
        <v>490</v>
      </c>
      <c r="B112" s="134" t="s">
        <v>489</v>
      </c>
      <c r="C112" s="135" t="s">
        <v>17</v>
      </c>
      <c r="D112" s="135" t="s">
        <v>2324</v>
      </c>
      <c r="E112" s="135" t="s">
        <v>2603</v>
      </c>
      <c r="F112" s="135" t="s">
        <v>2133</v>
      </c>
      <c r="G112" s="155"/>
      <c r="H112" s="154"/>
      <c r="I112" s="155"/>
      <c r="J112" s="154"/>
      <c r="K112" s="154"/>
      <c r="L112" s="154"/>
      <c r="M112" s="155"/>
      <c r="N112" s="154"/>
      <c r="O112" s="155"/>
      <c r="P112" s="154"/>
      <c r="Q112" s="154"/>
      <c r="R112" s="154"/>
      <c r="S112" s="155"/>
      <c r="T112" s="154"/>
      <c r="U112" s="155"/>
      <c r="V112" s="154"/>
      <c r="W112" s="154"/>
      <c r="X112" s="154"/>
    </row>
    <row r="113" spans="1:24" x14ac:dyDescent="0.2">
      <c r="A113" s="135" t="s">
        <v>494</v>
      </c>
      <c r="B113" s="134" t="s">
        <v>493</v>
      </c>
      <c r="C113" s="135" t="s">
        <v>17</v>
      </c>
      <c r="D113" s="135" t="s">
        <v>2126</v>
      </c>
      <c r="E113" s="135" t="s">
        <v>2605</v>
      </c>
      <c r="F113" s="135" t="s">
        <v>1919</v>
      </c>
      <c r="G113" s="136">
        <v>1</v>
      </c>
      <c r="H113" s="137" t="s">
        <v>2044</v>
      </c>
      <c r="I113" s="136">
        <v>0.97519999999999996</v>
      </c>
      <c r="J113" s="137" t="s">
        <v>2044</v>
      </c>
      <c r="K113" s="135" t="s">
        <v>1648</v>
      </c>
      <c r="L113" s="135" t="s">
        <v>1952</v>
      </c>
      <c r="M113" s="155"/>
      <c r="N113" s="156"/>
      <c r="O113" s="155"/>
      <c r="P113" s="156"/>
      <c r="Q113" s="154"/>
      <c r="R113" s="154"/>
      <c r="S113" s="155"/>
      <c r="T113" s="156"/>
      <c r="U113" s="155"/>
      <c r="V113" s="156"/>
      <c r="W113" s="154"/>
      <c r="X113" s="154"/>
    </row>
    <row r="114" spans="1:24" x14ac:dyDescent="0.2">
      <c r="A114" s="135" t="s">
        <v>512</v>
      </c>
      <c r="B114" s="134" t="s">
        <v>511</v>
      </c>
      <c r="C114" s="135" t="s">
        <v>17</v>
      </c>
      <c r="D114" s="135" t="s">
        <v>1953</v>
      </c>
      <c r="E114" s="135" t="s">
        <v>2629</v>
      </c>
      <c r="F114" s="135" t="s">
        <v>1949</v>
      </c>
      <c r="G114" s="136">
        <v>0.2</v>
      </c>
      <c r="H114" s="137" t="s">
        <v>1962</v>
      </c>
      <c r="I114" s="136">
        <v>0.2</v>
      </c>
      <c r="J114" s="137" t="s">
        <v>2260</v>
      </c>
      <c r="K114" s="135" t="s">
        <v>1649</v>
      </c>
      <c r="L114" s="135" t="s">
        <v>1990</v>
      </c>
      <c r="M114" s="136">
        <v>0.59860000000000002</v>
      </c>
      <c r="N114" s="137" t="s">
        <v>2630</v>
      </c>
      <c r="O114" s="136">
        <v>0.59860000000000002</v>
      </c>
      <c r="P114" s="137" t="s">
        <v>2631</v>
      </c>
      <c r="Q114" s="135" t="s">
        <v>1649</v>
      </c>
      <c r="R114" s="135" t="s">
        <v>1990</v>
      </c>
      <c r="S114" s="154" t="s">
        <v>1613</v>
      </c>
      <c r="T114" s="154"/>
      <c r="U114" s="154"/>
      <c r="V114" s="154"/>
      <c r="W114" s="154"/>
      <c r="X114" s="154"/>
    </row>
    <row r="115" spans="1:24" x14ac:dyDescent="0.2">
      <c r="A115" s="135" t="s">
        <v>514</v>
      </c>
      <c r="B115" s="134" t="s">
        <v>513</v>
      </c>
      <c r="C115" s="135" t="s">
        <v>17</v>
      </c>
      <c r="D115" s="135" t="s">
        <v>2034</v>
      </c>
      <c r="E115" s="135" t="s">
        <v>2632</v>
      </c>
      <c r="F115" s="135" t="s">
        <v>1919</v>
      </c>
      <c r="G115" s="136">
        <v>0.8</v>
      </c>
      <c r="H115" s="137" t="s">
        <v>2633</v>
      </c>
      <c r="I115" s="136">
        <v>0.73480000000000001</v>
      </c>
      <c r="J115" s="137" t="s">
        <v>1615</v>
      </c>
      <c r="K115" s="135" t="s">
        <v>1648</v>
      </c>
      <c r="L115" s="135" t="s">
        <v>1952</v>
      </c>
      <c r="M115" s="136">
        <v>0.66</v>
      </c>
      <c r="N115" s="137" t="s">
        <v>2401</v>
      </c>
      <c r="O115" s="136">
        <v>0.54690000000000005</v>
      </c>
      <c r="P115" s="137" t="s">
        <v>2634</v>
      </c>
      <c r="Q115" s="135" t="s">
        <v>1649</v>
      </c>
      <c r="R115" s="135" t="s">
        <v>2054</v>
      </c>
      <c r="S115" s="136">
        <v>6.0400000000000002E-2</v>
      </c>
      <c r="T115" s="137" t="s">
        <v>2635</v>
      </c>
      <c r="U115" s="136">
        <v>0.06</v>
      </c>
      <c r="V115" s="154" t="s">
        <v>1613</v>
      </c>
      <c r="W115" s="135" t="s">
        <v>1648</v>
      </c>
      <c r="X115" s="135" t="s">
        <v>1952</v>
      </c>
    </row>
    <row r="116" spans="1:24" x14ac:dyDescent="0.2">
      <c r="A116" s="135" t="s">
        <v>526</v>
      </c>
      <c r="B116" s="134" t="s">
        <v>525</v>
      </c>
      <c r="C116" s="135" t="s">
        <v>17</v>
      </c>
      <c r="D116" s="135" t="s">
        <v>2057</v>
      </c>
      <c r="E116" s="135" t="s">
        <v>2644</v>
      </c>
      <c r="F116" s="135" t="s">
        <v>1919</v>
      </c>
      <c r="G116" s="136">
        <v>0.5</v>
      </c>
      <c r="H116" s="137" t="s">
        <v>2645</v>
      </c>
      <c r="I116" s="136">
        <v>0.33629999999999999</v>
      </c>
      <c r="J116" s="137" t="s">
        <v>2646</v>
      </c>
      <c r="K116" s="135" t="s">
        <v>1648</v>
      </c>
      <c r="L116" s="135" t="s">
        <v>1990</v>
      </c>
      <c r="M116" s="136">
        <v>0.45219999999999999</v>
      </c>
      <c r="N116" s="137" t="s">
        <v>2647</v>
      </c>
      <c r="O116" s="136">
        <v>0.35</v>
      </c>
      <c r="P116" s="137" t="s">
        <v>2648</v>
      </c>
      <c r="Q116" s="135" t="s">
        <v>1649</v>
      </c>
      <c r="R116" s="135" t="s">
        <v>1988</v>
      </c>
      <c r="S116" s="155"/>
      <c r="T116" s="156"/>
      <c r="U116" s="155"/>
      <c r="V116" s="156"/>
      <c r="W116" s="154"/>
      <c r="X116" s="154"/>
    </row>
    <row r="117" spans="1:24" x14ac:dyDescent="0.2">
      <c r="A117" s="135" t="s">
        <v>528</v>
      </c>
      <c r="B117" s="134" t="s">
        <v>527</v>
      </c>
      <c r="C117" s="135" t="s">
        <v>17</v>
      </c>
      <c r="D117" s="135" t="s">
        <v>2237</v>
      </c>
      <c r="E117" s="135" t="s">
        <v>2649</v>
      </c>
      <c r="F117" s="135" t="s">
        <v>1949</v>
      </c>
      <c r="G117" s="136">
        <v>1.1000000000000001</v>
      </c>
      <c r="H117" s="137" t="s">
        <v>2650</v>
      </c>
      <c r="I117" s="136">
        <v>1.0947</v>
      </c>
      <c r="J117" s="137" t="s">
        <v>2651</v>
      </c>
      <c r="K117" s="135" t="s">
        <v>1649</v>
      </c>
      <c r="L117" s="135" t="s">
        <v>2652</v>
      </c>
      <c r="M117" s="155"/>
      <c r="N117" s="154"/>
      <c r="O117" s="155"/>
      <c r="P117" s="154"/>
      <c r="Q117" s="154"/>
      <c r="R117" s="154"/>
      <c r="S117" s="155"/>
      <c r="T117" s="154"/>
      <c r="U117" s="155"/>
      <c r="V117" s="154"/>
      <c r="W117" s="154"/>
      <c r="X117" s="154"/>
    </row>
    <row r="118" spans="1:24" x14ac:dyDescent="0.2">
      <c r="A118" s="135" t="s">
        <v>532</v>
      </c>
      <c r="B118" s="134" t="s">
        <v>531</v>
      </c>
      <c r="C118" s="135" t="s">
        <v>17</v>
      </c>
      <c r="D118" s="135" t="s">
        <v>2134</v>
      </c>
      <c r="E118" s="135" t="s">
        <v>2656</v>
      </c>
      <c r="F118" s="135" t="s">
        <v>1949</v>
      </c>
      <c r="G118" s="136">
        <v>8.9999999999999998E-4</v>
      </c>
      <c r="H118" s="137" t="s">
        <v>1956</v>
      </c>
      <c r="I118" s="136">
        <v>0.88719999999999999</v>
      </c>
      <c r="J118" s="137" t="s">
        <v>2657</v>
      </c>
      <c r="K118" s="135" t="s">
        <v>1649</v>
      </c>
      <c r="L118" s="135" t="s">
        <v>1944</v>
      </c>
      <c r="M118" s="155"/>
      <c r="N118" s="154"/>
      <c r="O118" s="155"/>
      <c r="P118" s="154"/>
      <c r="Q118" s="154"/>
      <c r="R118" s="154"/>
      <c r="S118" s="155"/>
      <c r="T118" s="154"/>
      <c r="U118" s="155"/>
      <c r="V118" s="154"/>
      <c r="W118" s="154"/>
      <c r="X118" s="154"/>
    </row>
    <row r="119" spans="1:24" x14ac:dyDescent="0.2">
      <c r="A119" s="135" t="s">
        <v>540</v>
      </c>
      <c r="B119" s="134" t="s">
        <v>539</v>
      </c>
      <c r="C119" s="135" t="s">
        <v>17</v>
      </c>
      <c r="D119" s="135" t="s">
        <v>2126</v>
      </c>
      <c r="E119" s="135" t="s">
        <v>2665</v>
      </c>
      <c r="F119" s="135" t="s">
        <v>1919</v>
      </c>
      <c r="G119" s="136">
        <v>1.6351</v>
      </c>
      <c r="H119" s="137" t="s">
        <v>2666</v>
      </c>
      <c r="I119" s="136">
        <v>1.6351</v>
      </c>
      <c r="J119" s="137" t="s">
        <v>2667</v>
      </c>
      <c r="K119" s="135" t="s">
        <v>1649</v>
      </c>
      <c r="L119" s="135" t="s">
        <v>1952</v>
      </c>
      <c r="M119" s="154"/>
      <c r="N119" s="154"/>
      <c r="O119" s="154"/>
      <c r="P119" s="154"/>
      <c r="Q119" s="154"/>
      <c r="R119" s="154"/>
      <c r="S119" s="154"/>
      <c r="T119" s="154"/>
      <c r="U119" s="154"/>
      <c r="V119" s="154"/>
      <c r="W119" s="154"/>
      <c r="X119" s="154"/>
    </row>
    <row r="120" spans="1:24" x14ac:dyDescent="0.2">
      <c r="A120" s="135" t="s">
        <v>560</v>
      </c>
      <c r="B120" s="134" t="s">
        <v>559</v>
      </c>
      <c r="C120" s="135" t="s">
        <v>17</v>
      </c>
      <c r="D120" s="135" t="s">
        <v>2037</v>
      </c>
      <c r="E120" s="135" t="s">
        <v>2688</v>
      </c>
      <c r="F120" s="135" t="s">
        <v>1949</v>
      </c>
      <c r="G120" s="136">
        <v>1</v>
      </c>
      <c r="H120" s="137" t="s">
        <v>2689</v>
      </c>
      <c r="I120" s="136">
        <v>0.75</v>
      </c>
      <c r="J120" s="154" t="s">
        <v>1613</v>
      </c>
      <c r="K120" s="135" t="s">
        <v>1648</v>
      </c>
      <c r="L120" s="135" t="s">
        <v>1990</v>
      </c>
      <c r="M120" s="155"/>
      <c r="N120" s="154"/>
      <c r="O120" s="155"/>
      <c r="P120" s="154"/>
      <c r="Q120" s="154"/>
      <c r="R120" s="154"/>
      <c r="S120" s="155"/>
      <c r="T120" s="154"/>
      <c r="U120" s="155"/>
      <c r="V120" s="154"/>
      <c r="W120" s="154"/>
      <c r="X120" s="154"/>
    </row>
    <row r="121" spans="1:24" x14ac:dyDescent="0.2">
      <c r="A121" s="135" t="s">
        <v>566</v>
      </c>
      <c r="B121" s="134" t="s">
        <v>565</v>
      </c>
      <c r="C121" s="135" t="s">
        <v>17</v>
      </c>
      <c r="D121" s="135" t="s">
        <v>2105</v>
      </c>
      <c r="E121" s="135" t="s">
        <v>2694</v>
      </c>
      <c r="F121" s="135" t="s">
        <v>1919</v>
      </c>
      <c r="G121" s="136">
        <v>1</v>
      </c>
      <c r="H121" s="137">
        <v>19511</v>
      </c>
      <c r="I121" s="136">
        <v>1</v>
      </c>
      <c r="J121" s="154" t="s">
        <v>1613</v>
      </c>
      <c r="K121" s="135" t="s">
        <v>1648</v>
      </c>
      <c r="L121" s="135" t="s">
        <v>1968</v>
      </c>
      <c r="M121" s="136">
        <v>0.25</v>
      </c>
      <c r="N121" s="137" t="s">
        <v>2695</v>
      </c>
      <c r="O121" s="136">
        <v>0.25</v>
      </c>
      <c r="P121" s="137" t="s">
        <v>2696</v>
      </c>
      <c r="Q121" s="135" t="s">
        <v>1649</v>
      </c>
      <c r="R121" s="135" t="s">
        <v>1944</v>
      </c>
      <c r="S121" s="155"/>
      <c r="T121" s="154"/>
      <c r="U121" s="155"/>
      <c r="V121" s="154"/>
      <c r="W121" s="154"/>
      <c r="X121" s="154"/>
    </row>
    <row r="122" spans="1:24" x14ac:dyDescent="0.2">
      <c r="A122" s="135" t="s">
        <v>572</v>
      </c>
      <c r="B122" s="134" t="s">
        <v>571</v>
      </c>
      <c r="C122" s="135" t="s">
        <v>17</v>
      </c>
      <c r="D122" s="135" t="s">
        <v>2334</v>
      </c>
      <c r="E122" s="135" t="s">
        <v>2704</v>
      </c>
      <c r="F122" s="135" t="s">
        <v>1919</v>
      </c>
      <c r="G122" s="155"/>
      <c r="H122" s="156"/>
      <c r="I122" s="155"/>
      <c r="J122" s="154"/>
      <c r="K122" s="154"/>
      <c r="L122" s="154"/>
      <c r="M122" s="155"/>
      <c r="N122" s="154"/>
      <c r="O122" s="155"/>
      <c r="P122" s="154"/>
      <c r="Q122" s="154"/>
      <c r="R122" s="154"/>
      <c r="S122" s="155"/>
      <c r="T122" s="154"/>
      <c r="U122" s="155"/>
      <c r="V122" s="154"/>
      <c r="W122" s="154"/>
      <c r="X122" s="154"/>
    </row>
    <row r="123" spans="1:24" x14ac:dyDescent="0.2">
      <c r="A123" s="135" t="s">
        <v>582</v>
      </c>
      <c r="B123" s="134" t="s">
        <v>581</v>
      </c>
      <c r="C123" s="135" t="s">
        <v>17</v>
      </c>
      <c r="D123" s="135" t="s">
        <v>2028</v>
      </c>
      <c r="E123" s="135" t="s">
        <v>2717</v>
      </c>
      <c r="F123" s="135" t="s">
        <v>1949</v>
      </c>
      <c r="G123" s="136">
        <v>1</v>
      </c>
      <c r="H123" s="137" t="s">
        <v>2718</v>
      </c>
      <c r="I123" s="136">
        <v>0.6</v>
      </c>
      <c r="J123" s="137" t="s">
        <v>2719</v>
      </c>
      <c r="K123" s="135" t="s">
        <v>1649</v>
      </c>
      <c r="L123" s="135" t="s">
        <v>1952</v>
      </c>
      <c r="M123" s="155"/>
      <c r="N123" s="156"/>
      <c r="O123" s="155"/>
      <c r="P123" s="156"/>
      <c r="Q123" s="154"/>
      <c r="R123" s="154"/>
      <c r="S123" s="155"/>
      <c r="T123" s="156"/>
      <c r="U123" s="155"/>
      <c r="V123" s="156"/>
      <c r="W123" s="154"/>
      <c r="X123" s="154"/>
    </row>
    <row r="124" spans="1:24" x14ac:dyDescent="0.2">
      <c r="A124" s="135" t="s">
        <v>586</v>
      </c>
      <c r="B124" s="134" t="s">
        <v>585</v>
      </c>
      <c r="C124" s="135" t="s">
        <v>17</v>
      </c>
      <c r="D124" s="135" t="s">
        <v>2134</v>
      </c>
      <c r="E124" s="135" t="s">
        <v>2724</v>
      </c>
      <c r="F124" s="135" t="s">
        <v>1919</v>
      </c>
      <c r="G124" s="136">
        <v>0.93</v>
      </c>
      <c r="H124" s="137" t="s">
        <v>2725</v>
      </c>
      <c r="I124" s="136">
        <v>0.93</v>
      </c>
      <c r="J124" s="137" t="s">
        <v>2726</v>
      </c>
      <c r="K124" s="135" t="s">
        <v>1649</v>
      </c>
      <c r="L124" s="135" t="s">
        <v>1952</v>
      </c>
      <c r="M124" s="155"/>
      <c r="N124" s="154"/>
      <c r="O124" s="155"/>
      <c r="P124" s="154"/>
      <c r="Q124" s="154"/>
      <c r="R124" s="154"/>
      <c r="S124" s="155"/>
      <c r="T124" s="154"/>
      <c r="U124" s="155"/>
      <c r="V124" s="154"/>
      <c r="W124" s="154"/>
      <c r="X124" s="154"/>
    </row>
    <row r="125" spans="1:24" x14ac:dyDescent="0.2">
      <c r="A125" s="135" t="s">
        <v>592</v>
      </c>
      <c r="B125" s="134" t="s">
        <v>591</v>
      </c>
      <c r="C125" s="135" t="s">
        <v>17</v>
      </c>
      <c r="D125" s="135" t="s">
        <v>2028</v>
      </c>
      <c r="E125" s="135" t="s">
        <v>2733</v>
      </c>
      <c r="F125" s="135" t="s">
        <v>1919</v>
      </c>
      <c r="G125" s="136">
        <v>0.5</v>
      </c>
      <c r="H125" s="137" t="s">
        <v>2314</v>
      </c>
      <c r="I125" s="136">
        <v>0.5</v>
      </c>
      <c r="J125" s="137" t="s">
        <v>2734</v>
      </c>
      <c r="K125" s="135" t="s">
        <v>1649</v>
      </c>
      <c r="L125" s="135" t="s">
        <v>1990</v>
      </c>
      <c r="M125" s="136">
        <v>0.5</v>
      </c>
      <c r="N125" s="137" t="s">
        <v>2735</v>
      </c>
      <c r="O125" s="136">
        <v>0.5</v>
      </c>
      <c r="P125" s="137" t="s">
        <v>2736</v>
      </c>
      <c r="Q125" s="135" t="s">
        <v>1649</v>
      </c>
      <c r="R125" s="135" t="s">
        <v>1988</v>
      </c>
      <c r="S125" s="136">
        <v>0.35</v>
      </c>
      <c r="T125" s="137" t="s">
        <v>2735</v>
      </c>
      <c r="U125" s="136">
        <v>0.35</v>
      </c>
      <c r="V125" s="137" t="s">
        <v>2737</v>
      </c>
      <c r="W125" s="135" t="s">
        <v>1649</v>
      </c>
      <c r="X125" s="135" t="s">
        <v>1990</v>
      </c>
    </row>
    <row r="126" spans="1:24" x14ac:dyDescent="0.2">
      <c r="A126" s="135" t="s">
        <v>600</v>
      </c>
      <c r="B126" s="134" t="s">
        <v>599</v>
      </c>
      <c r="C126" s="135" t="s">
        <v>17</v>
      </c>
      <c r="D126" s="135" t="s">
        <v>2055</v>
      </c>
      <c r="E126" s="135" t="s">
        <v>2058</v>
      </c>
      <c r="F126" s="135" t="s">
        <v>1949</v>
      </c>
      <c r="G126" s="136">
        <v>0.5</v>
      </c>
      <c r="H126" s="137" t="s">
        <v>2749</v>
      </c>
      <c r="I126" s="136">
        <v>0.46210000000000001</v>
      </c>
      <c r="J126" s="154" t="s">
        <v>1613</v>
      </c>
      <c r="K126" s="135" t="s">
        <v>1648</v>
      </c>
      <c r="L126" s="135" t="s">
        <v>1952</v>
      </c>
      <c r="M126" s="155"/>
      <c r="N126" s="154"/>
      <c r="O126" s="155"/>
      <c r="P126" s="154"/>
      <c r="Q126" s="154"/>
      <c r="R126" s="154"/>
      <c r="S126" s="155"/>
      <c r="T126" s="154"/>
      <c r="U126" s="155"/>
      <c r="V126" s="154"/>
      <c r="W126" s="154"/>
      <c r="X126" s="154"/>
    </row>
    <row r="127" spans="1:24" x14ac:dyDescent="0.2">
      <c r="A127" s="135" t="s">
        <v>606</v>
      </c>
      <c r="B127" s="134" t="s">
        <v>605</v>
      </c>
      <c r="C127" s="135" t="s">
        <v>17</v>
      </c>
      <c r="D127" s="135" t="s">
        <v>2264</v>
      </c>
      <c r="E127" s="135" t="s">
        <v>2758</v>
      </c>
      <c r="F127" s="135" t="s">
        <v>1949</v>
      </c>
      <c r="G127" s="136">
        <v>1</v>
      </c>
      <c r="H127" s="137" t="s">
        <v>2759</v>
      </c>
      <c r="I127" s="136">
        <v>0.99009999999999998</v>
      </c>
      <c r="J127" s="137" t="s">
        <v>2631</v>
      </c>
      <c r="K127" s="135" t="s">
        <v>1649</v>
      </c>
      <c r="L127" s="135" t="s">
        <v>1952</v>
      </c>
      <c r="M127" s="154"/>
      <c r="N127" s="154"/>
      <c r="O127" s="154"/>
      <c r="P127" s="154"/>
      <c r="Q127" s="154"/>
      <c r="R127" s="154"/>
      <c r="S127" s="154"/>
      <c r="T127" s="154"/>
      <c r="U127" s="154"/>
      <c r="V127" s="154"/>
      <c r="W127" s="154"/>
      <c r="X127" s="154"/>
    </row>
    <row r="128" spans="1:24" x14ac:dyDescent="0.2">
      <c r="A128" s="135" t="s">
        <v>608</v>
      </c>
      <c r="B128" s="134" t="s">
        <v>607</v>
      </c>
      <c r="C128" s="135" t="s">
        <v>17</v>
      </c>
      <c r="D128" s="135" t="s">
        <v>2101</v>
      </c>
      <c r="E128" s="135" t="s">
        <v>2760</v>
      </c>
      <c r="F128" s="135" t="s">
        <v>1919</v>
      </c>
      <c r="G128" s="136">
        <v>0.75</v>
      </c>
      <c r="H128" s="137" t="s">
        <v>2761</v>
      </c>
      <c r="I128" s="136">
        <v>0.68120000000000003</v>
      </c>
      <c r="J128" s="154" t="s">
        <v>1613</v>
      </c>
      <c r="K128" s="135" t="s">
        <v>1648</v>
      </c>
      <c r="L128" s="135" t="s">
        <v>1952</v>
      </c>
      <c r="M128" s="136">
        <v>6.88E-2</v>
      </c>
      <c r="N128" s="137" t="s">
        <v>2085</v>
      </c>
      <c r="O128" s="136">
        <v>6.88E-2</v>
      </c>
      <c r="P128" s="154" t="s">
        <v>1613</v>
      </c>
      <c r="Q128" s="135" t="s">
        <v>1648</v>
      </c>
      <c r="R128" s="135" t="s">
        <v>1952</v>
      </c>
      <c r="S128" s="154" t="s">
        <v>1613</v>
      </c>
      <c r="T128" s="154"/>
      <c r="U128" s="154"/>
      <c r="V128" s="154"/>
      <c r="W128" s="154"/>
      <c r="X128" s="154"/>
    </row>
    <row r="129" spans="1:24" x14ac:dyDescent="0.2">
      <c r="A129" s="135" t="s">
        <v>614</v>
      </c>
      <c r="B129" s="134" t="s">
        <v>613</v>
      </c>
      <c r="C129" s="135" t="s">
        <v>17</v>
      </c>
      <c r="D129" s="135" t="s">
        <v>2134</v>
      </c>
      <c r="E129" s="154" t="s">
        <v>1613</v>
      </c>
      <c r="F129" s="135" t="s">
        <v>1949</v>
      </c>
      <c r="G129" s="136">
        <v>1</v>
      </c>
      <c r="H129" s="137" t="s">
        <v>2269</v>
      </c>
      <c r="I129" s="136">
        <v>1</v>
      </c>
      <c r="J129" s="137" t="s">
        <v>2766</v>
      </c>
      <c r="K129" s="135" t="s">
        <v>1649</v>
      </c>
      <c r="L129" s="135" t="s">
        <v>1990</v>
      </c>
      <c r="M129" s="155"/>
      <c r="N129" s="154"/>
      <c r="O129" s="155"/>
      <c r="P129" s="154"/>
      <c r="Q129" s="154"/>
      <c r="R129" s="154"/>
      <c r="S129" s="154"/>
      <c r="T129" s="154"/>
      <c r="U129" s="154"/>
      <c r="V129" s="154"/>
      <c r="W129" s="154"/>
      <c r="X129" s="154"/>
    </row>
    <row r="130" spans="1:24" x14ac:dyDescent="0.2">
      <c r="A130" s="135" t="s">
        <v>620</v>
      </c>
      <c r="B130" s="134" t="s">
        <v>619</v>
      </c>
      <c r="C130" s="135" t="s">
        <v>17</v>
      </c>
      <c r="D130" s="135" t="s">
        <v>2122</v>
      </c>
      <c r="E130" s="135" t="s">
        <v>2772</v>
      </c>
      <c r="F130" s="135" t="s">
        <v>1949</v>
      </c>
      <c r="G130" s="136">
        <v>1</v>
      </c>
      <c r="H130" s="137" t="s">
        <v>2042</v>
      </c>
      <c r="I130" s="136">
        <v>0.99650000000000005</v>
      </c>
      <c r="J130" s="137" t="s">
        <v>2773</v>
      </c>
      <c r="K130" s="135" t="s">
        <v>1649</v>
      </c>
      <c r="L130" s="135" t="s">
        <v>1952</v>
      </c>
      <c r="M130" s="154"/>
      <c r="N130" s="156"/>
      <c r="O130" s="154"/>
      <c r="P130" s="156"/>
      <c r="Q130" s="154"/>
      <c r="R130" s="154"/>
      <c r="S130" s="154"/>
      <c r="T130" s="156"/>
      <c r="U130" s="154"/>
      <c r="V130" s="156"/>
      <c r="W130" s="154"/>
      <c r="X130" s="154"/>
    </row>
    <row r="131" spans="1:24" x14ac:dyDescent="0.2">
      <c r="A131" s="135" t="s">
        <v>632</v>
      </c>
      <c r="B131" s="134" t="s">
        <v>631</v>
      </c>
      <c r="C131" s="135" t="s">
        <v>17</v>
      </c>
      <c r="D131" s="135" t="s">
        <v>2101</v>
      </c>
      <c r="E131" s="135" t="s">
        <v>2782</v>
      </c>
      <c r="F131" s="135" t="s">
        <v>1949</v>
      </c>
      <c r="G131" s="136">
        <v>0.99690000000000001</v>
      </c>
      <c r="H131" s="137" t="s">
        <v>2783</v>
      </c>
      <c r="I131" s="136">
        <v>0.99690000000000001</v>
      </c>
      <c r="J131" s="137" t="s">
        <v>2784</v>
      </c>
      <c r="K131" s="135" t="s">
        <v>1649</v>
      </c>
      <c r="L131" s="135" t="s">
        <v>1990</v>
      </c>
      <c r="M131" s="155"/>
      <c r="N131" s="154"/>
      <c r="O131" s="155"/>
      <c r="P131" s="154"/>
      <c r="Q131" s="154"/>
      <c r="R131" s="154"/>
      <c r="S131" s="155"/>
      <c r="T131" s="154"/>
      <c r="U131" s="155"/>
      <c r="V131" s="154"/>
      <c r="W131" s="154"/>
      <c r="X131" s="154"/>
    </row>
    <row r="132" spans="1:24" x14ac:dyDescent="0.2">
      <c r="A132" s="135" t="s">
        <v>644</v>
      </c>
      <c r="B132" s="134" t="s">
        <v>643</v>
      </c>
      <c r="C132" s="135" t="s">
        <v>17</v>
      </c>
      <c r="D132" s="135" t="s">
        <v>2478</v>
      </c>
      <c r="E132" s="135" t="s">
        <v>2793</v>
      </c>
      <c r="F132" s="135" t="s">
        <v>1949</v>
      </c>
      <c r="G132" s="136">
        <v>0.75</v>
      </c>
      <c r="H132" s="137" t="s">
        <v>2272</v>
      </c>
      <c r="I132" s="136">
        <v>0.75</v>
      </c>
      <c r="J132" s="137" t="s">
        <v>2794</v>
      </c>
      <c r="K132" s="135" t="s">
        <v>1649</v>
      </c>
      <c r="L132" s="135" t="s">
        <v>1944</v>
      </c>
      <c r="M132" s="154"/>
      <c r="N132" s="154"/>
      <c r="O132" s="154"/>
      <c r="P132" s="154"/>
      <c r="Q132" s="154"/>
      <c r="R132" s="154"/>
      <c r="S132" s="154"/>
      <c r="T132" s="154"/>
      <c r="U132" s="154"/>
      <c r="V132" s="154"/>
      <c r="W132" s="154"/>
      <c r="X132" s="154"/>
    </row>
    <row r="133" spans="1:24" x14ac:dyDescent="0.2">
      <c r="A133" s="135" t="s">
        <v>658</v>
      </c>
      <c r="B133" s="134" t="s">
        <v>657</v>
      </c>
      <c r="C133" s="135" t="s">
        <v>17</v>
      </c>
      <c r="D133" s="135" t="s">
        <v>2571</v>
      </c>
      <c r="E133" s="135" t="s">
        <v>2808</v>
      </c>
      <c r="F133" s="135" t="s">
        <v>890</v>
      </c>
      <c r="G133" s="136">
        <v>1</v>
      </c>
      <c r="H133" s="137" t="s">
        <v>2809</v>
      </c>
      <c r="I133" s="136">
        <v>1</v>
      </c>
      <c r="J133" s="137" t="s">
        <v>2810</v>
      </c>
      <c r="K133" s="135" t="s">
        <v>1649</v>
      </c>
      <c r="L133" s="135" t="s">
        <v>1952</v>
      </c>
      <c r="M133" s="136">
        <v>0.5</v>
      </c>
      <c r="N133" s="137" t="s">
        <v>2811</v>
      </c>
      <c r="O133" s="136">
        <v>0.5</v>
      </c>
      <c r="P133" s="137" t="s">
        <v>2812</v>
      </c>
      <c r="Q133" s="135" t="s">
        <v>1649</v>
      </c>
      <c r="R133" s="135" t="s">
        <v>1952</v>
      </c>
      <c r="S133" s="136">
        <v>0.25</v>
      </c>
      <c r="T133" s="137" t="s">
        <v>2811</v>
      </c>
      <c r="U133" s="136">
        <v>0.25</v>
      </c>
      <c r="V133" s="137" t="s">
        <v>2812</v>
      </c>
      <c r="W133" s="135" t="s">
        <v>1649</v>
      </c>
      <c r="X133" s="135" t="s">
        <v>1952</v>
      </c>
    </row>
    <row r="134" spans="1:24" x14ac:dyDescent="0.2">
      <c r="A134" s="135" t="s">
        <v>668</v>
      </c>
      <c r="B134" s="134" t="s">
        <v>667</v>
      </c>
      <c r="C134" s="135" t="s">
        <v>17</v>
      </c>
      <c r="D134" s="135" t="s">
        <v>1953</v>
      </c>
      <c r="E134" s="135" t="s">
        <v>1953</v>
      </c>
      <c r="F134" s="135" t="s">
        <v>1949</v>
      </c>
      <c r="G134" s="136">
        <v>0.625</v>
      </c>
      <c r="H134" s="137" t="s">
        <v>2371</v>
      </c>
      <c r="I134" s="136">
        <v>0.621</v>
      </c>
      <c r="J134" s="137" t="s">
        <v>2236</v>
      </c>
      <c r="K134" s="135" t="s">
        <v>1649</v>
      </c>
      <c r="L134" s="135" t="s">
        <v>1952</v>
      </c>
      <c r="M134" s="136">
        <v>0.2</v>
      </c>
      <c r="N134" s="137" t="s">
        <v>2825</v>
      </c>
      <c r="O134" s="136">
        <v>0.2</v>
      </c>
      <c r="P134" s="137" t="s">
        <v>2826</v>
      </c>
      <c r="Q134" s="135" t="s">
        <v>1649</v>
      </c>
      <c r="R134" s="135" t="s">
        <v>1952</v>
      </c>
      <c r="S134" s="155"/>
      <c r="T134" s="156"/>
      <c r="U134" s="155"/>
      <c r="V134" s="156"/>
      <c r="W134" s="154"/>
      <c r="X134" s="154"/>
    </row>
    <row r="135" spans="1:24" x14ac:dyDescent="0.2">
      <c r="A135" s="135" t="s">
        <v>672</v>
      </c>
      <c r="B135" s="134" t="s">
        <v>671</v>
      </c>
      <c r="C135" s="135" t="s">
        <v>17</v>
      </c>
      <c r="D135" s="135" t="s">
        <v>1973</v>
      </c>
      <c r="E135" s="135" t="s">
        <v>2831</v>
      </c>
      <c r="F135" s="135" t="s">
        <v>1949</v>
      </c>
      <c r="G135" s="136">
        <v>0.3</v>
      </c>
      <c r="H135" s="137" t="s">
        <v>2832</v>
      </c>
      <c r="I135" s="136">
        <v>0.21540000000000001</v>
      </c>
      <c r="J135" s="137" t="s">
        <v>2803</v>
      </c>
      <c r="K135" s="135" t="s">
        <v>1648</v>
      </c>
      <c r="L135" s="135" t="s">
        <v>1952</v>
      </c>
      <c r="M135" s="136">
        <v>0.2</v>
      </c>
      <c r="N135" s="137" t="s">
        <v>2833</v>
      </c>
      <c r="O135" s="136">
        <v>0.19320000000000001</v>
      </c>
      <c r="P135" s="137" t="s">
        <v>2834</v>
      </c>
      <c r="Q135" s="135" t="s">
        <v>1649</v>
      </c>
      <c r="R135" s="135" t="s">
        <v>1952</v>
      </c>
      <c r="S135" s="136">
        <v>0.37</v>
      </c>
      <c r="T135" s="137" t="s">
        <v>2024</v>
      </c>
      <c r="U135" s="136">
        <v>0.37</v>
      </c>
      <c r="V135" s="137" t="s">
        <v>2835</v>
      </c>
      <c r="W135" s="135" t="s">
        <v>1649</v>
      </c>
      <c r="X135" s="135" t="s">
        <v>2054</v>
      </c>
    </row>
    <row r="136" spans="1:24" x14ac:dyDescent="0.2">
      <c r="A136" s="135" t="s">
        <v>678</v>
      </c>
      <c r="B136" s="134" t="s">
        <v>677</v>
      </c>
      <c r="C136" s="135" t="s">
        <v>17</v>
      </c>
      <c r="D136" s="135" t="s">
        <v>2028</v>
      </c>
      <c r="E136" s="135" t="s">
        <v>2838</v>
      </c>
      <c r="F136" s="135" t="s">
        <v>1919</v>
      </c>
      <c r="G136" s="136">
        <v>0.5</v>
      </c>
      <c r="H136" s="137" t="s">
        <v>2839</v>
      </c>
      <c r="I136" s="136">
        <v>0.5</v>
      </c>
      <c r="J136" s="137" t="s">
        <v>2840</v>
      </c>
      <c r="K136" s="135" t="s">
        <v>1649</v>
      </c>
      <c r="L136" s="135" t="s">
        <v>1952</v>
      </c>
      <c r="M136" s="136">
        <v>0.3</v>
      </c>
      <c r="N136" s="137" t="s">
        <v>2839</v>
      </c>
      <c r="O136" s="136">
        <v>0.3</v>
      </c>
      <c r="P136" s="137" t="s">
        <v>2841</v>
      </c>
      <c r="Q136" s="135" t="s">
        <v>1649</v>
      </c>
      <c r="R136" s="135" t="s">
        <v>1952</v>
      </c>
      <c r="S136" s="136">
        <v>0.1</v>
      </c>
      <c r="T136" s="137" t="s">
        <v>1977</v>
      </c>
      <c r="U136" s="136">
        <v>0.1</v>
      </c>
      <c r="V136" s="137" t="s">
        <v>2842</v>
      </c>
      <c r="W136" s="135" t="s">
        <v>1649</v>
      </c>
      <c r="X136" s="135" t="s">
        <v>1952</v>
      </c>
    </row>
    <row r="137" spans="1:24" x14ac:dyDescent="0.2">
      <c r="A137" s="135" t="s">
        <v>686</v>
      </c>
      <c r="B137" s="134" t="s">
        <v>685</v>
      </c>
      <c r="C137" s="135" t="s">
        <v>17</v>
      </c>
      <c r="D137" s="135" t="s">
        <v>2190</v>
      </c>
      <c r="E137" s="135" t="s">
        <v>2846</v>
      </c>
      <c r="F137" s="135" t="s">
        <v>1919</v>
      </c>
      <c r="G137" s="136">
        <v>0.75</v>
      </c>
      <c r="H137" s="137" t="s">
        <v>2243</v>
      </c>
      <c r="I137" s="136">
        <v>0.75</v>
      </c>
      <c r="J137" s="137" t="s">
        <v>2847</v>
      </c>
      <c r="K137" s="135" t="s">
        <v>1649</v>
      </c>
      <c r="L137" s="135" t="s">
        <v>1952</v>
      </c>
      <c r="M137" s="154"/>
      <c r="N137" s="154"/>
      <c r="O137" s="154"/>
      <c r="P137" s="154"/>
      <c r="Q137" s="154"/>
      <c r="R137" s="154"/>
      <c r="S137" s="154"/>
      <c r="T137" s="154"/>
      <c r="U137" s="154"/>
      <c r="V137" s="154"/>
      <c r="W137" s="154"/>
      <c r="X137" s="154"/>
    </row>
    <row r="138" spans="1:24" x14ac:dyDescent="0.2">
      <c r="A138" s="135" t="s">
        <v>708</v>
      </c>
      <c r="B138" s="134" t="s">
        <v>707</v>
      </c>
      <c r="C138" s="135" t="s">
        <v>17</v>
      </c>
      <c r="D138" s="135" t="s">
        <v>1947</v>
      </c>
      <c r="E138" s="135" t="s">
        <v>2876</v>
      </c>
      <c r="F138" s="135" t="s">
        <v>1949</v>
      </c>
      <c r="G138" s="136">
        <v>1.2487999999999999</v>
      </c>
      <c r="H138" s="137" t="s">
        <v>2877</v>
      </c>
      <c r="I138" s="136">
        <v>1.25</v>
      </c>
      <c r="J138" s="137" t="s">
        <v>2878</v>
      </c>
      <c r="K138" s="135" t="s">
        <v>1649</v>
      </c>
      <c r="L138" s="135" t="s">
        <v>1952</v>
      </c>
      <c r="M138" s="155"/>
      <c r="N138" s="154"/>
      <c r="O138" s="155"/>
      <c r="P138" s="156"/>
      <c r="Q138" s="154"/>
      <c r="R138" s="154"/>
      <c r="S138" s="155"/>
      <c r="T138" s="154"/>
      <c r="U138" s="155"/>
      <c r="V138" s="154"/>
      <c r="W138" s="154"/>
      <c r="X138" s="154"/>
    </row>
    <row r="139" spans="1:24" x14ac:dyDescent="0.2">
      <c r="A139" s="135" t="s">
        <v>720</v>
      </c>
      <c r="B139" s="134" t="s">
        <v>719</v>
      </c>
      <c r="C139" s="135" t="s">
        <v>17</v>
      </c>
      <c r="D139" s="135" t="s">
        <v>2393</v>
      </c>
      <c r="E139" s="135" t="s">
        <v>2888</v>
      </c>
      <c r="F139" s="135" t="s">
        <v>1949</v>
      </c>
      <c r="G139" s="136">
        <v>0.5</v>
      </c>
      <c r="H139" s="137" t="s">
        <v>2471</v>
      </c>
      <c r="I139" s="136">
        <v>0.5</v>
      </c>
      <c r="J139" s="137" t="s">
        <v>2889</v>
      </c>
      <c r="K139" s="135" t="s">
        <v>1649</v>
      </c>
      <c r="L139" s="135" t="s">
        <v>1952</v>
      </c>
      <c r="M139" s="154"/>
      <c r="N139" s="154"/>
      <c r="O139" s="154"/>
      <c r="P139" s="154"/>
      <c r="Q139" s="154"/>
      <c r="R139" s="154"/>
      <c r="S139" s="154"/>
      <c r="T139" s="154"/>
      <c r="U139" s="154"/>
      <c r="V139" s="154"/>
      <c r="W139" s="154"/>
      <c r="X139" s="154"/>
    </row>
    <row r="140" spans="1:24" x14ac:dyDescent="0.2">
      <c r="A140" s="135" t="s">
        <v>728</v>
      </c>
      <c r="B140" s="134" t="s">
        <v>727</v>
      </c>
      <c r="C140" s="135" t="s">
        <v>17</v>
      </c>
      <c r="D140" s="135" t="s">
        <v>2101</v>
      </c>
      <c r="E140" s="135" t="s">
        <v>2896</v>
      </c>
      <c r="F140" s="135" t="s">
        <v>1919</v>
      </c>
      <c r="G140" s="155"/>
      <c r="H140" s="154"/>
      <c r="I140" s="155"/>
      <c r="J140" s="154"/>
      <c r="K140" s="154"/>
      <c r="L140" s="154"/>
      <c r="M140" s="155"/>
      <c r="N140" s="154"/>
      <c r="O140" s="155"/>
      <c r="P140" s="154"/>
      <c r="Q140" s="154"/>
      <c r="R140" s="154"/>
      <c r="S140" s="155"/>
      <c r="T140" s="154"/>
      <c r="U140" s="155"/>
      <c r="V140" s="154"/>
      <c r="W140" s="154"/>
      <c r="X140" s="154"/>
    </row>
    <row r="141" spans="1:24" x14ac:dyDescent="0.2">
      <c r="A141" s="135" t="s">
        <v>736</v>
      </c>
      <c r="B141" s="134" t="s">
        <v>735</v>
      </c>
      <c r="C141" s="135" t="s">
        <v>17</v>
      </c>
      <c r="D141" s="135" t="s">
        <v>2101</v>
      </c>
      <c r="E141" s="135" t="s">
        <v>2905</v>
      </c>
      <c r="F141" s="135" t="s">
        <v>1919</v>
      </c>
      <c r="G141" s="155"/>
      <c r="H141" s="154"/>
      <c r="I141" s="155"/>
      <c r="J141" s="154"/>
      <c r="K141" s="154"/>
      <c r="L141" s="154"/>
      <c r="M141" s="155"/>
      <c r="N141" s="154"/>
      <c r="O141" s="155"/>
      <c r="P141" s="154"/>
      <c r="Q141" s="154"/>
      <c r="R141" s="154"/>
      <c r="S141" s="155"/>
      <c r="T141" s="154"/>
      <c r="U141" s="155"/>
      <c r="V141" s="154"/>
      <c r="W141" s="154"/>
      <c r="X141" s="154"/>
    </row>
    <row r="142" spans="1:24" x14ac:dyDescent="0.2">
      <c r="A142" s="135" t="s">
        <v>744</v>
      </c>
      <c r="B142" s="134" t="s">
        <v>743</v>
      </c>
      <c r="C142" s="135" t="s">
        <v>17</v>
      </c>
      <c r="D142" s="135" t="s">
        <v>2057</v>
      </c>
      <c r="E142" s="135" t="s">
        <v>2913</v>
      </c>
      <c r="F142" s="135" t="s">
        <v>1919</v>
      </c>
      <c r="G142" s="136">
        <v>1.5</v>
      </c>
      <c r="H142" s="137" t="s">
        <v>2914</v>
      </c>
      <c r="I142" s="136">
        <v>1.4796</v>
      </c>
      <c r="J142" s="137" t="s">
        <v>2915</v>
      </c>
      <c r="K142" s="135" t="s">
        <v>1649</v>
      </c>
      <c r="L142" s="135" t="s">
        <v>1952</v>
      </c>
      <c r="M142" s="154"/>
      <c r="N142" s="156"/>
      <c r="O142" s="154"/>
      <c r="P142" s="156"/>
      <c r="Q142" s="154"/>
      <c r="R142" s="154"/>
      <c r="S142" s="154"/>
      <c r="T142" s="156"/>
      <c r="U142" s="154"/>
      <c r="V142" s="156"/>
      <c r="W142" s="154"/>
      <c r="X142" s="154"/>
    </row>
    <row r="143" spans="1:24" x14ac:dyDescent="0.2">
      <c r="A143" s="135" t="s">
        <v>758</v>
      </c>
      <c r="B143" s="134" t="s">
        <v>757</v>
      </c>
      <c r="C143" s="135" t="s">
        <v>17</v>
      </c>
      <c r="D143" s="135" t="s">
        <v>2010</v>
      </c>
      <c r="E143" s="135" t="s">
        <v>2929</v>
      </c>
      <c r="F143" s="135" t="s">
        <v>890</v>
      </c>
      <c r="G143" s="136">
        <v>1</v>
      </c>
      <c r="H143" s="137" t="s">
        <v>2930</v>
      </c>
      <c r="I143" s="136">
        <v>0.83389999999999997</v>
      </c>
      <c r="J143" s="137" t="s">
        <v>1943</v>
      </c>
      <c r="K143" s="135" t="s">
        <v>1648</v>
      </c>
      <c r="L143" s="135" t="s">
        <v>1952</v>
      </c>
      <c r="M143" s="136">
        <v>0.4</v>
      </c>
      <c r="N143" s="137" t="s">
        <v>2004</v>
      </c>
      <c r="O143" s="136">
        <v>0.4</v>
      </c>
      <c r="P143" s="137" t="s">
        <v>2931</v>
      </c>
      <c r="Q143" s="135" t="s">
        <v>1649</v>
      </c>
      <c r="R143" s="135" t="s">
        <v>1952</v>
      </c>
      <c r="S143" s="154" t="s">
        <v>1613</v>
      </c>
      <c r="T143" s="154"/>
      <c r="U143" s="154"/>
      <c r="V143" s="154"/>
      <c r="W143" s="154"/>
      <c r="X143" s="154"/>
    </row>
    <row r="144" spans="1:24" x14ac:dyDescent="0.2">
      <c r="A144" s="135" t="s">
        <v>764</v>
      </c>
      <c r="B144" s="134" t="s">
        <v>763</v>
      </c>
      <c r="C144" s="135" t="s">
        <v>17</v>
      </c>
      <c r="D144" s="135" t="s">
        <v>2215</v>
      </c>
      <c r="E144" s="135" t="s">
        <v>2938</v>
      </c>
      <c r="F144" s="135" t="s">
        <v>1919</v>
      </c>
      <c r="G144" s="136">
        <v>0.5</v>
      </c>
      <c r="H144" s="137" t="s">
        <v>2939</v>
      </c>
      <c r="I144" s="136">
        <v>0.05</v>
      </c>
      <c r="J144" s="137" t="s">
        <v>1991</v>
      </c>
      <c r="K144" s="135" t="s">
        <v>1648</v>
      </c>
      <c r="L144" s="135" t="s">
        <v>1990</v>
      </c>
      <c r="M144" s="154" t="s">
        <v>1613</v>
      </c>
      <c r="N144" s="156"/>
      <c r="O144" s="154"/>
      <c r="P144" s="154"/>
      <c r="Q144" s="154"/>
      <c r="R144" s="154"/>
      <c r="S144" s="154"/>
      <c r="T144" s="154"/>
      <c r="U144" s="154"/>
      <c r="V144" s="154"/>
      <c r="W144" s="154"/>
      <c r="X144" s="154"/>
    </row>
    <row r="145" spans="1:24" x14ac:dyDescent="0.2">
      <c r="A145" s="135" t="s">
        <v>774</v>
      </c>
      <c r="B145" s="134" t="s">
        <v>773</v>
      </c>
      <c r="C145" s="135" t="s">
        <v>17</v>
      </c>
      <c r="D145" s="135" t="s">
        <v>1940</v>
      </c>
      <c r="E145" s="135" t="s">
        <v>2947</v>
      </c>
      <c r="F145" s="135" t="s">
        <v>890</v>
      </c>
      <c r="G145" s="136">
        <v>1</v>
      </c>
      <c r="H145" s="137" t="s">
        <v>2948</v>
      </c>
      <c r="I145" s="136">
        <v>0.79500000000000004</v>
      </c>
      <c r="J145" s="154" t="s">
        <v>1613</v>
      </c>
      <c r="K145" s="135" t="s">
        <v>1648</v>
      </c>
      <c r="L145" s="135" t="s">
        <v>1990</v>
      </c>
      <c r="M145" s="136">
        <v>0.98740000000000006</v>
      </c>
      <c r="N145" s="137" t="s">
        <v>2949</v>
      </c>
      <c r="O145" s="136">
        <v>0.98740000000000006</v>
      </c>
      <c r="P145" s="137" t="s">
        <v>2757</v>
      </c>
      <c r="Q145" s="135" t="s">
        <v>1649</v>
      </c>
      <c r="R145" s="135" t="s">
        <v>1990</v>
      </c>
      <c r="S145" s="154" t="s">
        <v>1613</v>
      </c>
      <c r="T145" s="154"/>
      <c r="U145" s="154"/>
      <c r="V145" s="154"/>
      <c r="W145" s="154"/>
      <c r="X145" s="154"/>
    </row>
    <row r="146" spans="1:24" x14ac:dyDescent="0.2">
      <c r="A146" s="135" t="s">
        <v>784</v>
      </c>
      <c r="B146" s="134" t="s">
        <v>783</v>
      </c>
      <c r="C146" s="135" t="s">
        <v>17</v>
      </c>
      <c r="D146" s="135" t="s">
        <v>2057</v>
      </c>
      <c r="E146" s="135" t="s">
        <v>2958</v>
      </c>
      <c r="F146" s="135" t="s">
        <v>1949</v>
      </c>
      <c r="G146" s="136">
        <v>0.5</v>
      </c>
      <c r="H146" s="137" t="s">
        <v>2269</v>
      </c>
      <c r="I146" s="136">
        <v>0.5</v>
      </c>
      <c r="J146" s="137" t="s">
        <v>2943</v>
      </c>
      <c r="K146" s="135" t="s">
        <v>1649</v>
      </c>
      <c r="L146" s="135" t="s">
        <v>1990</v>
      </c>
      <c r="M146" s="136">
        <v>0.5</v>
      </c>
      <c r="N146" s="137" t="s">
        <v>2437</v>
      </c>
      <c r="O146" s="136">
        <v>0.5</v>
      </c>
      <c r="P146" s="137" t="s">
        <v>2943</v>
      </c>
      <c r="Q146" s="135" t="s">
        <v>1649</v>
      </c>
      <c r="R146" s="135" t="s">
        <v>1990</v>
      </c>
      <c r="S146" s="155"/>
      <c r="T146" s="156"/>
      <c r="U146" s="155"/>
      <c r="V146" s="156"/>
      <c r="W146" s="154"/>
      <c r="X146" s="154"/>
    </row>
    <row r="147" spans="1:24" x14ac:dyDescent="0.2">
      <c r="A147" s="135" t="s">
        <v>802</v>
      </c>
      <c r="B147" s="134" t="s">
        <v>801</v>
      </c>
      <c r="C147" s="135" t="s">
        <v>17</v>
      </c>
      <c r="D147" s="135" t="s">
        <v>2126</v>
      </c>
      <c r="E147" s="135" t="s">
        <v>2979</v>
      </c>
      <c r="F147" s="135" t="s">
        <v>1919</v>
      </c>
      <c r="G147" s="136">
        <v>0.3</v>
      </c>
      <c r="H147" s="137" t="s">
        <v>2980</v>
      </c>
      <c r="I147" s="136">
        <v>0.3</v>
      </c>
      <c r="J147" s="137" t="s">
        <v>2981</v>
      </c>
      <c r="K147" s="135" t="s">
        <v>1649</v>
      </c>
      <c r="L147" s="135" t="s">
        <v>1952</v>
      </c>
      <c r="M147" s="136">
        <v>0.7</v>
      </c>
      <c r="N147" s="137" t="s">
        <v>2982</v>
      </c>
      <c r="O147" s="136">
        <v>0.64870000000000005</v>
      </c>
      <c r="P147" s="154" t="s">
        <v>1613</v>
      </c>
      <c r="Q147" s="135" t="s">
        <v>1648</v>
      </c>
      <c r="R147" s="135" t="s">
        <v>1952</v>
      </c>
      <c r="S147" s="154" t="s">
        <v>1613</v>
      </c>
      <c r="T147" s="154"/>
      <c r="U147" s="154"/>
      <c r="V147" s="154"/>
      <c r="W147" s="154"/>
      <c r="X147" s="154"/>
    </row>
    <row r="148" spans="1:24" x14ac:dyDescent="0.2">
      <c r="A148" s="139" t="s">
        <v>24</v>
      </c>
      <c r="B148" s="138" t="s">
        <v>23</v>
      </c>
      <c r="C148" s="139" t="s">
        <v>25</v>
      </c>
      <c r="D148" s="139" t="s">
        <v>1953</v>
      </c>
      <c r="E148" s="139" t="s">
        <v>1954</v>
      </c>
      <c r="F148" s="139" t="s">
        <v>1949</v>
      </c>
      <c r="G148" s="140">
        <v>0.2</v>
      </c>
      <c r="H148" s="141" t="s">
        <v>1955</v>
      </c>
      <c r="I148" s="140">
        <v>0.2</v>
      </c>
      <c r="J148" s="141" t="s">
        <v>1946</v>
      </c>
      <c r="K148" s="139" t="s">
        <v>1649</v>
      </c>
      <c r="L148" s="139" t="s">
        <v>1952</v>
      </c>
      <c r="M148" s="140">
        <v>0.79</v>
      </c>
      <c r="N148" s="141" t="s">
        <v>1956</v>
      </c>
      <c r="O148" s="140">
        <v>0.79</v>
      </c>
      <c r="P148" s="141" t="s">
        <v>1957</v>
      </c>
      <c r="Q148" s="139" t="s">
        <v>1649</v>
      </c>
      <c r="R148" s="139" t="s">
        <v>1952</v>
      </c>
      <c r="S148" s="155"/>
      <c r="T148" s="154"/>
      <c r="U148" s="155"/>
      <c r="V148" s="154"/>
      <c r="W148" s="154"/>
      <c r="X148" s="154"/>
    </row>
    <row r="149" spans="1:24" x14ac:dyDescent="0.2">
      <c r="A149" s="139" t="s">
        <v>27</v>
      </c>
      <c r="B149" s="138" t="s">
        <v>26</v>
      </c>
      <c r="C149" s="139" t="s">
        <v>25</v>
      </c>
      <c r="D149" s="139" t="s">
        <v>1958</v>
      </c>
      <c r="E149" s="139" t="s">
        <v>1959</v>
      </c>
      <c r="F149" s="139" t="s">
        <v>1949</v>
      </c>
      <c r="G149" s="155"/>
      <c r="H149" s="154"/>
      <c r="I149" s="155"/>
      <c r="J149" s="154"/>
      <c r="K149" s="154"/>
      <c r="L149" s="154"/>
      <c r="M149" s="155"/>
      <c r="N149" s="154"/>
      <c r="O149" s="155"/>
      <c r="P149" s="154"/>
      <c r="Q149" s="154"/>
      <c r="R149" s="154"/>
      <c r="S149" s="155"/>
      <c r="T149" s="154"/>
      <c r="U149" s="155"/>
      <c r="V149" s="154"/>
      <c r="W149" s="154"/>
      <c r="X149" s="154"/>
    </row>
    <row r="150" spans="1:24" x14ac:dyDescent="0.2">
      <c r="A150" s="139" t="s">
        <v>29</v>
      </c>
      <c r="B150" s="138" t="s">
        <v>28</v>
      </c>
      <c r="C150" s="139" t="s">
        <v>25</v>
      </c>
      <c r="D150" s="139" t="s">
        <v>1960</v>
      </c>
      <c r="E150" s="139" t="s">
        <v>1961</v>
      </c>
      <c r="F150" s="139" t="s">
        <v>1949</v>
      </c>
      <c r="G150" s="140">
        <v>2.5</v>
      </c>
      <c r="H150" s="141" t="s">
        <v>1962</v>
      </c>
      <c r="I150" s="140">
        <v>2.5</v>
      </c>
      <c r="J150" s="141" t="s">
        <v>1963</v>
      </c>
      <c r="K150" s="139" t="s">
        <v>1649</v>
      </c>
      <c r="L150" s="139" t="s">
        <v>1952</v>
      </c>
      <c r="M150" s="154"/>
      <c r="N150" s="156"/>
      <c r="O150" s="154"/>
      <c r="P150" s="156"/>
      <c r="Q150" s="154"/>
      <c r="R150" s="154"/>
      <c r="S150" s="154"/>
      <c r="T150" s="154"/>
      <c r="U150" s="154"/>
      <c r="V150" s="154"/>
      <c r="W150" s="154"/>
      <c r="X150" s="154"/>
    </row>
    <row r="151" spans="1:24" x14ac:dyDescent="0.2">
      <c r="A151" s="139" t="s">
        <v>31</v>
      </c>
      <c r="B151" s="138" t="s">
        <v>30</v>
      </c>
      <c r="C151" s="139" t="s">
        <v>25</v>
      </c>
      <c r="D151" s="139" t="s">
        <v>1964</v>
      </c>
      <c r="E151" s="139" t="s">
        <v>1965</v>
      </c>
      <c r="F151" s="139" t="s">
        <v>894</v>
      </c>
      <c r="G151" s="140">
        <v>0.5</v>
      </c>
      <c r="H151" s="141" t="s">
        <v>1966</v>
      </c>
      <c r="I151" s="140">
        <v>0.5</v>
      </c>
      <c r="J151" s="141" t="s">
        <v>1967</v>
      </c>
      <c r="K151" s="139" t="s">
        <v>1649</v>
      </c>
      <c r="L151" s="139" t="s">
        <v>1968</v>
      </c>
      <c r="M151" s="154"/>
      <c r="N151" s="154"/>
      <c r="O151" s="154"/>
      <c r="P151" s="154"/>
      <c r="Q151" s="154"/>
      <c r="R151" s="154"/>
      <c r="S151" s="154"/>
      <c r="T151" s="154"/>
      <c r="U151" s="154"/>
      <c r="V151" s="154"/>
      <c r="W151" s="154"/>
      <c r="X151" s="154"/>
    </row>
    <row r="152" spans="1:24" x14ac:dyDescent="0.2">
      <c r="A152" s="139" t="s">
        <v>43</v>
      </c>
      <c r="B152" s="138" t="s">
        <v>42</v>
      </c>
      <c r="C152" s="139" t="s">
        <v>25</v>
      </c>
      <c r="D152" s="139" t="s">
        <v>1984</v>
      </c>
      <c r="E152" s="139" t="s">
        <v>1985</v>
      </c>
      <c r="F152" s="139" t="s">
        <v>890</v>
      </c>
      <c r="G152" s="140">
        <v>2</v>
      </c>
      <c r="H152" s="141" t="s">
        <v>1986</v>
      </c>
      <c r="I152" s="140">
        <v>2</v>
      </c>
      <c r="J152" s="141" t="s">
        <v>1987</v>
      </c>
      <c r="K152" s="139" t="s">
        <v>1649</v>
      </c>
      <c r="L152" s="139" t="s">
        <v>1988</v>
      </c>
      <c r="M152" s="140">
        <v>1</v>
      </c>
      <c r="N152" s="141" t="s">
        <v>1989</v>
      </c>
      <c r="O152" s="140">
        <v>1</v>
      </c>
      <c r="P152" s="141" t="s">
        <v>1615</v>
      </c>
      <c r="Q152" s="139" t="s">
        <v>1648</v>
      </c>
      <c r="R152" s="139" t="s">
        <v>1990</v>
      </c>
      <c r="S152" s="155"/>
      <c r="T152" s="156"/>
      <c r="U152" s="155"/>
      <c r="V152" s="156"/>
      <c r="W152" s="154"/>
      <c r="X152" s="154"/>
    </row>
    <row r="153" spans="1:24" x14ac:dyDescent="0.2">
      <c r="A153" s="139" t="s">
        <v>51</v>
      </c>
      <c r="B153" s="138" t="s">
        <v>50</v>
      </c>
      <c r="C153" s="139" t="s">
        <v>25</v>
      </c>
      <c r="D153" s="139" t="s">
        <v>2002</v>
      </c>
      <c r="E153" s="139" t="s">
        <v>2003</v>
      </c>
      <c r="F153" s="139" t="s">
        <v>890</v>
      </c>
      <c r="G153" s="140">
        <v>1.3</v>
      </c>
      <c r="H153" s="141" t="s">
        <v>2004</v>
      </c>
      <c r="I153" s="140">
        <v>1.2324999999999999</v>
      </c>
      <c r="J153" s="141" t="s">
        <v>2005</v>
      </c>
      <c r="K153" s="139" t="s">
        <v>1649</v>
      </c>
      <c r="L153" s="139" t="s">
        <v>1990</v>
      </c>
      <c r="M153" s="155"/>
      <c r="N153" s="154"/>
      <c r="O153" s="155"/>
      <c r="P153" s="154"/>
      <c r="Q153" s="154"/>
      <c r="R153" s="154"/>
      <c r="S153" s="155"/>
      <c r="T153" s="154"/>
      <c r="U153" s="155"/>
      <c r="V153" s="154"/>
      <c r="W153" s="154"/>
      <c r="X153" s="154"/>
    </row>
    <row r="154" spans="1:24" x14ac:dyDescent="0.2">
      <c r="A154" s="139" t="s">
        <v>66</v>
      </c>
      <c r="B154" s="138" t="s">
        <v>65</v>
      </c>
      <c r="C154" s="139" t="s">
        <v>25</v>
      </c>
      <c r="D154" s="139" t="s">
        <v>2022</v>
      </c>
      <c r="E154" s="139" t="s">
        <v>2023</v>
      </c>
      <c r="F154" s="139" t="s">
        <v>1949</v>
      </c>
      <c r="G154" s="140">
        <v>0.5</v>
      </c>
      <c r="H154" s="141" t="s">
        <v>2024</v>
      </c>
      <c r="I154" s="140">
        <v>0.5</v>
      </c>
      <c r="J154" s="141" t="s">
        <v>2025</v>
      </c>
      <c r="K154" s="139" t="s">
        <v>1649</v>
      </c>
      <c r="L154" s="139" t="s">
        <v>1952</v>
      </c>
      <c r="M154" s="154"/>
      <c r="N154" s="154"/>
      <c r="O154" s="154"/>
      <c r="P154" s="154"/>
      <c r="Q154" s="154"/>
      <c r="R154" s="154"/>
      <c r="S154" s="154"/>
      <c r="T154" s="154"/>
      <c r="U154" s="154"/>
      <c r="V154" s="154"/>
      <c r="W154" s="154"/>
      <c r="X154" s="154"/>
    </row>
    <row r="155" spans="1:24" x14ac:dyDescent="0.2">
      <c r="A155" s="139" t="s">
        <v>76</v>
      </c>
      <c r="B155" s="138" t="s">
        <v>75</v>
      </c>
      <c r="C155" s="139" t="s">
        <v>25</v>
      </c>
      <c r="D155" s="139" t="s">
        <v>2037</v>
      </c>
      <c r="E155" s="139" t="s">
        <v>2038</v>
      </c>
      <c r="F155" s="139" t="s">
        <v>1919</v>
      </c>
      <c r="G155" s="140">
        <v>0.68</v>
      </c>
      <c r="H155" s="141" t="s">
        <v>2039</v>
      </c>
      <c r="I155" s="140">
        <v>0.68</v>
      </c>
      <c r="J155" s="141" t="s">
        <v>2040</v>
      </c>
      <c r="K155" s="139" t="s">
        <v>1649</v>
      </c>
      <c r="L155" s="139" t="s">
        <v>1990</v>
      </c>
      <c r="M155" s="155"/>
      <c r="N155" s="156"/>
      <c r="O155" s="155"/>
      <c r="P155" s="156"/>
      <c r="Q155" s="154"/>
      <c r="R155" s="154"/>
      <c r="S155" s="154"/>
      <c r="T155" s="154"/>
      <c r="U155" s="154"/>
      <c r="V155" s="154"/>
      <c r="W155" s="154"/>
      <c r="X155" s="154"/>
    </row>
    <row r="156" spans="1:24" x14ac:dyDescent="0.2">
      <c r="A156" s="139" t="s">
        <v>96</v>
      </c>
      <c r="B156" s="138" t="s">
        <v>95</v>
      </c>
      <c r="C156" s="139" t="s">
        <v>25</v>
      </c>
      <c r="D156" s="139" t="s">
        <v>2057</v>
      </c>
      <c r="E156" s="139" t="s">
        <v>2070</v>
      </c>
      <c r="F156" s="139" t="s">
        <v>1949</v>
      </c>
      <c r="G156" s="140">
        <v>1</v>
      </c>
      <c r="H156" s="141" t="s">
        <v>2071</v>
      </c>
      <c r="I156" s="140">
        <v>1</v>
      </c>
      <c r="J156" s="141" t="s">
        <v>1957</v>
      </c>
      <c r="K156" s="139" t="s">
        <v>1649</v>
      </c>
      <c r="L156" s="139" t="s">
        <v>1952</v>
      </c>
      <c r="M156" s="155"/>
      <c r="N156" s="154"/>
      <c r="O156" s="155"/>
      <c r="P156" s="154"/>
      <c r="Q156" s="154"/>
      <c r="R156" s="154"/>
      <c r="S156" s="155"/>
      <c r="T156" s="154"/>
      <c r="U156" s="155"/>
      <c r="V156" s="154"/>
      <c r="W156" s="154"/>
      <c r="X156" s="154"/>
    </row>
    <row r="157" spans="1:24" x14ac:dyDescent="0.2">
      <c r="A157" s="139" t="s">
        <v>106</v>
      </c>
      <c r="B157" s="138" t="s">
        <v>105</v>
      </c>
      <c r="C157" s="139" t="s">
        <v>25</v>
      </c>
      <c r="D157" s="139" t="s">
        <v>1940</v>
      </c>
      <c r="E157" s="139" t="s">
        <v>2077</v>
      </c>
      <c r="F157" s="139" t="s">
        <v>890</v>
      </c>
      <c r="G157" s="140">
        <v>1.3332999999999999</v>
      </c>
      <c r="H157" s="141" t="s">
        <v>2078</v>
      </c>
      <c r="I157" s="140">
        <v>1.2028000000000001</v>
      </c>
      <c r="J157" s="141" t="s">
        <v>2009</v>
      </c>
      <c r="K157" s="139" t="s">
        <v>1648</v>
      </c>
      <c r="L157" s="139" t="s">
        <v>1952</v>
      </c>
      <c r="M157" s="140">
        <v>0.52</v>
      </c>
      <c r="N157" s="141" t="s">
        <v>2079</v>
      </c>
      <c r="O157" s="140">
        <v>0.52</v>
      </c>
      <c r="P157" s="141" t="s">
        <v>2080</v>
      </c>
      <c r="Q157" s="139" t="s">
        <v>1649</v>
      </c>
      <c r="R157" s="139" t="s">
        <v>2054</v>
      </c>
      <c r="S157" s="154" t="s">
        <v>1613</v>
      </c>
      <c r="T157" s="154" t="s">
        <v>1613</v>
      </c>
      <c r="U157" s="154" t="s">
        <v>1613</v>
      </c>
      <c r="V157" s="154" t="s">
        <v>1613</v>
      </c>
      <c r="W157" s="154"/>
      <c r="X157" s="154" t="s">
        <v>1613</v>
      </c>
    </row>
    <row r="158" spans="1:24" x14ac:dyDescent="0.2">
      <c r="A158" s="139" t="s">
        <v>110</v>
      </c>
      <c r="B158" s="138" t="s">
        <v>109</v>
      </c>
      <c r="C158" s="139" t="s">
        <v>25</v>
      </c>
      <c r="D158" s="139" t="s">
        <v>2045</v>
      </c>
      <c r="E158" s="139" t="s">
        <v>2087</v>
      </c>
      <c r="F158" s="139" t="s">
        <v>1949</v>
      </c>
      <c r="G158" s="140">
        <v>0.75</v>
      </c>
      <c r="H158" s="141" t="s">
        <v>2088</v>
      </c>
      <c r="I158" s="140">
        <v>0.63670000000000004</v>
      </c>
      <c r="J158" s="141" t="s">
        <v>1887</v>
      </c>
      <c r="K158" s="139" t="s">
        <v>1648</v>
      </c>
      <c r="L158" s="139" t="s">
        <v>1952</v>
      </c>
      <c r="M158" s="140">
        <v>0.35</v>
      </c>
      <c r="N158" s="141" t="s">
        <v>2089</v>
      </c>
      <c r="O158" s="140">
        <v>0.33289999999999997</v>
      </c>
      <c r="P158" s="141" t="s">
        <v>1887</v>
      </c>
      <c r="Q158" s="139" t="s">
        <v>1648</v>
      </c>
      <c r="R158" s="139" t="s">
        <v>1952</v>
      </c>
      <c r="S158" s="155"/>
      <c r="T158" s="154"/>
      <c r="U158" s="155"/>
      <c r="V158" s="154"/>
      <c r="W158" s="154"/>
      <c r="X158" s="154"/>
    </row>
    <row r="159" spans="1:24" x14ac:dyDescent="0.2">
      <c r="A159" s="139" t="s">
        <v>128</v>
      </c>
      <c r="B159" s="138" t="s">
        <v>127</v>
      </c>
      <c r="C159" s="139" t="s">
        <v>25</v>
      </c>
      <c r="D159" s="139" t="s">
        <v>2057</v>
      </c>
      <c r="E159" s="139" t="s">
        <v>2118</v>
      </c>
      <c r="F159" s="139" t="s">
        <v>1949</v>
      </c>
      <c r="G159" s="140">
        <v>0.9</v>
      </c>
      <c r="H159" s="141" t="s">
        <v>2119</v>
      </c>
      <c r="I159" s="140">
        <v>0.9</v>
      </c>
      <c r="J159" s="141" t="s">
        <v>2001</v>
      </c>
      <c r="K159" s="139" t="s">
        <v>1649</v>
      </c>
      <c r="L159" s="139" t="s">
        <v>1952</v>
      </c>
      <c r="M159" s="140">
        <v>0.3</v>
      </c>
      <c r="N159" s="141" t="s">
        <v>2120</v>
      </c>
      <c r="O159" s="140">
        <v>0.3</v>
      </c>
      <c r="P159" s="141" t="s">
        <v>2121</v>
      </c>
      <c r="Q159" s="139" t="s">
        <v>1649</v>
      </c>
      <c r="R159" s="139" t="s">
        <v>1952</v>
      </c>
      <c r="S159" s="154" t="s">
        <v>1613</v>
      </c>
      <c r="T159" s="154"/>
      <c r="U159" s="154"/>
      <c r="V159" s="154"/>
      <c r="W159" s="154"/>
      <c r="X159" s="154"/>
    </row>
    <row r="160" spans="1:24" x14ac:dyDescent="0.2">
      <c r="A160" s="139" t="s">
        <v>130</v>
      </c>
      <c r="B160" s="138" t="s">
        <v>129</v>
      </c>
      <c r="C160" s="139" t="s">
        <v>25</v>
      </c>
      <c r="D160" s="139" t="s">
        <v>2122</v>
      </c>
      <c r="E160" s="139" t="s">
        <v>2123</v>
      </c>
      <c r="F160" s="139" t="s">
        <v>1949</v>
      </c>
      <c r="G160" s="140">
        <v>1.25</v>
      </c>
      <c r="H160" s="141" t="s">
        <v>2124</v>
      </c>
      <c r="I160" s="140">
        <v>1.25</v>
      </c>
      <c r="J160" s="141" t="s">
        <v>2125</v>
      </c>
      <c r="K160" s="139" t="s">
        <v>1649</v>
      </c>
      <c r="L160" s="139" t="s">
        <v>1952</v>
      </c>
      <c r="M160" s="154"/>
      <c r="N160" s="156"/>
      <c r="O160" s="154"/>
      <c r="P160" s="156"/>
      <c r="Q160" s="154"/>
      <c r="R160" s="154"/>
      <c r="S160" s="154"/>
      <c r="T160" s="154"/>
      <c r="U160" s="154"/>
      <c r="V160" s="154"/>
      <c r="W160" s="154"/>
      <c r="X160" s="154"/>
    </row>
    <row r="161" spans="1:24" x14ac:dyDescent="0.2">
      <c r="A161" s="139" t="s">
        <v>136</v>
      </c>
      <c r="B161" s="138" t="s">
        <v>135</v>
      </c>
      <c r="C161" s="139" t="s">
        <v>25</v>
      </c>
      <c r="D161" s="139" t="s">
        <v>2131</v>
      </c>
      <c r="E161" s="139" t="s">
        <v>2132</v>
      </c>
      <c r="F161" s="139" t="s">
        <v>2133</v>
      </c>
      <c r="G161" s="155"/>
      <c r="H161" s="154"/>
      <c r="I161" s="155"/>
      <c r="J161" s="154"/>
      <c r="K161" s="154"/>
      <c r="L161" s="154"/>
      <c r="M161" s="155"/>
      <c r="N161" s="154"/>
      <c r="O161" s="155"/>
      <c r="P161" s="154"/>
      <c r="Q161" s="154"/>
      <c r="R161" s="154"/>
      <c r="S161" s="155"/>
      <c r="T161" s="154"/>
      <c r="U161" s="155"/>
      <c r="V161" s="154"/>
      <c r="W161" s="154"/>
      <c r="X161" s="154"/>
    </row>
    <row r="162" spans="1:24" x14ac:dyDescent="0.2">
      <c r="A162" s="139" t="s">
        <v>144</v>
      </c>
      <c r="B162" s="138" t="s">
        <v>143</v>
      </c>
      <c r="C162" s="139" t="s">
        <v>25</v>
      </c>
      <c r="D162" s="139" t="s">
        <v>2122</v>
      </c>
      <c r="E162" s="139" t="s">
        <v>2142</v>
      </c>
      <c r="F162" s="139" t="s">
        <v>1949</v>
      </c>
      <c r="G162" s="140">
        <v>1.4908999999999999</v>
      </c>
      <c r="H162" s="141" t="s">
        <v>2119</v>
      </c>
      <c r="I162" s="140">
        <v>1.4908999999999999</v>
      </c>
      <c r="J162" s="141" t="s">
        <v>2143</v>
      </c>
      <c r="K162" s="139" t="s">
        <v>1649</v>
      </c>
      <c r="L162" s="139" t="s">
        <v>1952</v>
      </c>
      <c r="M162" s="154"/>
      <c r="N162" s="156"/>
      <c r="O162" s="154"/>
      <c r="P162" s="156"/>
      <c r="Q162" s="154"/>
      <c r="R162" s="154"/>
      <c r="S162" s="154"/>
      <c r="T162" s="154"/>
      <c r="U162" s="154"/>
      <c r="V162" s="154"/>
      <c r="W162" s="154"/>
      <c r="X162" s="154"/>
    </row>
    <row r="163" spans="1:24" x14ac:dyDescent="0.2">
      <c r="A163" s="139" t="s">
        <v>148</v>
      </c>
      <c r="B163" s="138" t="s">
        <v>147</v>
      </c>
      <c r="C163" s="139" t="s">
        <v>25</v>
      </c>
      <c r="D163" s="139" t="s">
        <v>2148</v>
      </c>
      <c r="E163" s="139" t="s">
        <v>2149</v>
      </c>
      <c r="F163" s="139" t="s">
        <v>890</v>
      </c>
      <c r="G163" s="140">
        <v>0.9</v>
      </c>
      <c r="H163" s="141" t="s">
        <v>2150</v>
      </c>
      <c r="I163" s="140">
        <v>0.9</v>
      </c>
      <c r="J163" s="141" t="s">
        <v>2151</v>
      </c>
      <c r="K163" s="139" t="s">
        <v>1649</v>
      </c>
      <c r="L163" s="139" t="s">
        <v>1990</v>
      </c>
      <c r="M163" s="155"/>
      <c r="N163" s="154"/>
      <c r="O163" s="155"/>
      <c r="P163" s="154"/>
      <c r="Q163" s="154"/>
      <c r="R163" s="154"/>
      <c r="S163" s="155"/>
      <c r="T163" s="154"/>
      <c r="U163" s="155"/>
      <c r="V163" s="154"/>
      <c r="W163" s="154"/>
      <c r="X163" s="154"/>
    </row>
    <row r="164" spans="1:24" x14ac:dyDescent="0.2">
      <c r="A164" s="139" t="s">
        <v>152</v>
      </c>
      <c r="B164" s="138" t="s">
        <v>151</v>
      </c>
      <c r="C164" s="139" t="s">
        <v>25</v>
      </c>
      <c r="D164" s="139" t="s">
        <v>2155</v>
      </c>
      <c r="E164" s="139" t="s">
        <v>2156</v>
      </c>
      <c r="F164" s="139" t="s">
        <v>890</v>
      </c>
      <c r="G164" s="140">
        <v>0.5</v>
      </c>
      <c r="H164" s="141" t="s">
        <v>2157</v>
      </c>
      <c r="I164" s="140">
        <v>0</v>
      </c>
      <c r="J164" s="154" t="s">
        <v>1613</v>
      </c>
      <c r="K164" s="139" t="s">
        <v>1648</v>
      </c>
      <c r="L164" s="139" t="s">
        <v>1952</v>
      </c>
      <c r="M164" s="140">
        <v>1</v>
      </c>
      <c r="N164" s="141" t="s">
        <v>2158</v>
      </c>
      <c r="O164" s="140">
        <v>0.87719999999999998</v>
      </c>
      <c r="P164" s="154" t="s">
        <v>1613</v>
      </c>
      <c r="Q164" s="139" t="s">
        <v>1648</v>
      </c>
      <c r="R164" s="139" t="s">
        <v>1952</v>
      </c>
      <c r="S164" s="155"/>
      <c r="T164" s="156"/>
      <c r="U164" s="155"/>
      <c r="V164" s="156"/>
      <c r="W164" s="154"/>
      <c r="X164" s="154"/>
    </row>
    <row r="165" spans="1:24" x14ac:dyDescent="0.2">
      <c r="A165" s="139" t="s">
        <v>154</v>
      </c>
      <c r="B165" s="138" t="s">
        <v>153</v>
      </c>
      <c r="C165" s="139" t="s">
        <v>25</v>
      </c>
      <c r="D165" s="139" t="s">
        <v>2010</v>
      </c>
      <c r="E165" s="139" t="s">
        <v>2159</v>
      </c>
      <c r="F165" s="139" t="s">
        <v>890</v>
      </c>
      <c r="G165" s="155"/>
      <c r="H165" s="156"/>
      <c r="I165" s="155"/>
      <c r="J165" s="156"/>
      <c r="K165" s="154"/>
      <c r="L165" s="154"/>
      <c r="M165" s="155"/>
      <c r="N165" s="156"/>
      <c r="O165" s="155"/>
      <c r="P165" s="156"/>
      <c r="Q165" s="154"/>
      <c r="R165" s="154"/>
      <c r="S165" s="155"/>
      <c r="T165" s="156"/>
      <c r="U165" s="155"/>
      <c r="V165" s="156"/>
      <c r="W165" s="154"/>
      <c r="X165" s="154"/>
    </row>
    <row r="166" spans="1:24" x14ac:dyDescent="0.2">
      <c r="A166" s="139" t="s">
        <v>160</v>
      </c>
      <c r="B166" s="138" t="s">
        <v>159</v>
      </c>
      <c r="C166" s="139" t="s">
        <v>25</v>
      </c>
      <c r="D166" s="139" t="s">
        <v>2045</v>
      </c>
      <c r="E166" s="139" t="s">
        <v>2167</v>
      </c>
      <c r="F166" s="139" t="s">
        <v>1949</v>
      </c>
      <c r="G166" s="140">
        <v>0.5</v>
      </c>
      <c r="H166" s="141" t="s">
        <v>2168</v>
      </c>
      <c r="I166" s="140">
        <v>0.44190000000000002</v>
      </c>
      <c r="J166" s="141" t="s">
        <v>1615</v>
      </c>
      <c r="K166" s="139" t="s">
        <v>1648</v>
      </c>
      <c r="L166" s="139" t="s">
        <v>1952</v>
      </c>
      <c r="M166" s="140">
        <v>0.65</v>
      </c>
      <c r="N166" s="141" t="s">
        <v>2169</v>
      </c>
      <c r="O166" s="140">
        <v>0.63090000000000002</v>
      </c>
      <c r="P166" s="141" t="s">
        <v>2170</v>
      </c>
      <c r="Q166" s="139" t="s">
        <v>1649</v>
      </c>
      <c r="R166" s="139" t="s">
        <v>1952</v>
      </c>
      <c r="S166" s="140">
        <v>0.75</v>
      </c>
      <c r="T166" s="141" t="s">
        <v>2169</v>
      </c>
      <c r="U166" s="140">
        <v>0.7</v>
      </c>
      <c r="V166" s="141" t="s">
        <v>2171</v>
      </c>
      <c r="W166" s="139" t="s">
        <v>1649</v>
      </c>
      <c r="X166" s="139" t="s">
        <v>2054</v>
      </c>
    </row>
    <row r="167" spans="1:24" x14ac:dyDescent="0.2">
      <c r="A167" s="139" t="s">
        <v>196</v>
      </c>
      <c r="B167" s="138" t="s">
        <v>195</v>
      </c>
      <c r="C167" s="139" t="s">
        <v>25</v>
      </c>
      <c r="D167" s="139" t="s">
        <v>1980</v>
      </c>
      <c r="E167" s="139" t="s">
        <v>2222</v>
      </c>
      <c r="F167" s="139" t="s">
        <v>1949</v>
      </c>
      <c r="G167" s="140">
        <v>0.6</v>
      </c>
      <c r="H167" s="141" t="s">
        <v>2223</v>
      </c>
      <c r="I167" s="140">
        <v>0.58809999999999996</v>
      </c>
      <c r="J167" s="141" t="s">
        <v>2224</v>
      </c>
      <c r="K167" s="139" t="s">
        <v>1648</v>
      </c>
      <c r="L167" s="139" t="s">
        <v>1952</v>
      </c>
      <c r="M167" s="140">
        <v>0.33</v>
      </c>
      <c r="N167" s="141" t="s">
        <v>2225</v>
      </c>
      <c r="O167" s="140">
        <v>0.28000000000000003</v>
      </c>
      <c r="P167" s="141" t="s">
        <v>2226</v>
      </c>
      <c r="Q167" s="139" t="s">
        <v>1649</v>
      </c>
      <c r="R167" s="139" t="s">
        <v>2054</v>
      </c>
      <c r="S167" s="140">
        <v>0.28000000000000003</v>
      </c>
      <c r="T167" s="141" t="s">
        <v>2227</v>
      </c>
      <c r="U167" s="140">
        <v>0.28000000000000003</v>
      </c>
      <c r="V167" s="141" t="s">
        <v>2228</v>
      </c>
      <c r="W167" s="139" t="s">
        <v>1649</v>
      </c>
      <c r="X167" s="139" t="s">
        <v>1988</v>
      </c>
    </row>
    <row r="168" spans="1:24" x14ac:dyDescent="0.2">
      <c r="A168" s="139" t="s">
        <v>220</v>
      </c>
      <c r="B168" s="138" t="s">
        <v>219</v>
      </c>
      <c r="C168" s="139" t="s">
        <v>25</v>
      </c>
      <c r="D168" s="139" t="s">
        <v>2264</v>
      </c>
      <c r="E168" s="139" t="s">
        <v>2265</v>
      </c>
      <c r="F168" s="139" t="s">
        <v>1949</v>
      </c>
      <c r="G168" s="155"/>
      <c r="H168" s="156"/>
      <c r="I168" s="155"/>
      <c r="J168" s="156"/>
      <c r="K168" s="154"/>
      <c r="L168" s="154"/>
      <c r="M168" s="155"/>
      <c r="N168" s="156"/>
      <c r="O168" s="155"/>
      <c r="P168" s="156"/>
      <c r="Q168" s="154"/>
      <c r="R168" s="154"/>
      <c r="S168" s="155"/>
      <c r="T168" s="156"/>
      <c r="U168" s="155"/>
      <c r="V168" s="156"/>
      <c r="W168" s="154"/>
      <c r="X168" s="154"/>
    </row>
    <row r="169" spans="1:24" x14ac:dyDescent="0.2">
      <c r="A169" s="139" t="s">
        <v>232</v>
      </c>
      <c r="B169" s="138" t="s">
        <v>231</v>
      </c>
      <c r="C169" s="139" t="s">
        <v>25</v>
      </c>
      <c r="D169" s="139" t="s">
        <v>1973</v>
      </c>
      <c r="E169" s="139" t="s">
        <v>2283</v>
      </c>
      <c r="F169" s="139" t="s">
        <v>1919</v>
      </c>
      <c r="G169" s="140">
        <v>0.29289999999999999</v>
      </c>
      <c r="H169" s="141" t="s">
        <v>1955</v>
      </c>
      <c r="I169" s="140">
        <v>0.29289999999999999</v>
      </c>
      <c r="J169" s="141" t="s">
        <v>2284</v>
      </c>
      <c r="K169" s="139" t="s">
        <v>1649</v>
      </c>
      <c r="L169" s="139" t="s">
        <v>1952</v>
      </c>
      <c r="M169" s="140">
        <v>0.3049</v>
      </c>
      <c r="N169" s="141" t="s">
        <v>1955</v>
      </c>
      <c r="O169" s="140">
        <v>0.3049</v>
      </c>
      <c r="P169" s="141" t="s">
        <v>2236</v>
      </c>
      <c r="Q169" s="139" t="s">
        <v>1649</v>
      </c>
      <c r="R169" s="139" t="s">
        <v>1952</v>
      </c>
      <c r="S169" s="154" t="s">
        <v>1613</v>
      </c>
      <c r="T169" s="154"/>
      <c r="U169" s="154"/>
      <c r="V169" s="154"/>
      <c r="W169" s="154"/>
      <c r="X169" s="154"/>
    </row>
    <row r="170" spans="1:24" x14ac:dyDescent="0.2">
      <c r="A170" s="139" t="s">
        <v>246</v>
      </c>
      <c r="B170" s="138" t="s">
        <v>245</v>
      </c>
      <c r="C170" s="139" t="s">
        <v>25</v>
      </c>
      <c r="D170" s="139" t="s">
        <v>2057</v>
      </c>
      <c r="E170" s="139" t="s">
        <v>2057</v>
      </c>
      <c r="F170" s="139" t="s">
        <v>1949</v>
      </c>
      <c r="G170" s="140">
        <v>0.75</v>
      </c>
      <c r="H170" s="141" t="s">
        <v>1962</v>
      </c>
      <c r="I170" s="140">
        <v>0.75</v>
      </c>
      <c r="J170" s="141" t="s">
        <v>2305</v>
      </c>
      <c r="K170" s="139" t="s">
        <v>1649</v>
      </c>
      <c r="L170" s="139" t="s">
        <v>1952</v>
      </c>
      <c r="M170" s="154"/>
      <c r="N170" s="154"/>
      <c r="O170" s="154"/>
      <c r="P170" s="154"/>
      <c r="Q170" s="154"/>
      <c r="R170" s="154"/>
      <c r="S170" s="154"/>
      <c r="T170" s="154"/>
      <c r="U170" s="154"/>
      <c r="V170" s="154"/>
      <c r="W170" s="154"/>
      <c r="X170" s="154"/>
    </row>
    <row r="171" spans="1:24" x14ac:dyDescent="0.2">
      <c r="A171" s="139" t="s">
        <v>250</v>
      </c>
      <c r="B171" s="138" t="s">
        <v>249</v>
      </c>
      <c r="C171" s="139" t="s">
        <v>25</v>
      </c>
      <c r="D171" s="139" t="s">
        <v>1979</v>
      </c>
      <c r="E171" s="154" t="s">
        <v>1613</v>
      </c>
      <c r="F171" s="139" t="s">
        <v>890</v>
      </c>
      <c r="G171" s="140">
        <v>0.24560000000000001</v>
      </c>
      <c r="H171" s="141" t="s">
        <v>2306</v>
      </c>
      <c r="I171" s="140">
        <v>0.24560000000000001</v>
      </c>
      <c r="J171" s="154" t="s">
        <v>1613</v>
      </c>
      <c r="K171" s="139" t="s">
        <v>1648</v>
      </c>
      <c r="L171" s="139" t="s">
        <v>1952</v>
      </c>
      <c r="M171" s="140">
        <v>1</v>
      </c>
      <c r="N171" s="141" t="s">
        <v>2307</v>
      </c>
      <c r="O171" s="140">
        <v>1</v>
      </c>
      <c r="P171" s="154" t="s">
        <v>1613</v>
      </c>
      <c r="Q171" s="139" t="s">
        <v>1648</v>
      </c>
      <c r="R171" s="139" t="s">
        <v>1952</v>
      </c>
      <c r="S171" s="154" t="s">
        <v>1613</v>
      </c>
      <c r="T171" s="154"/>
      <c r="U171" s="154"/>
      <c r="V171" s="154"/>
      <c r="W171" s="154"/>
      <c r="X171" s="154"/>
    </row>
    <row r="172" spans="1:24" x14ac:dyDescent="0.2">
      <c r="A172" s="139" t="s">
        <v>262</v>
      </c>
      <c r="B172" s="138" t="s">
        <v>261</v>
      </c>
      <c r="C172" s="139" t="s">
        <v>25</v>
      </c>
      <c r="D172" s="139" t="s">
        <v>2316</v>
      </c>
      <c r="E172" s="139" t="s">
        <v>2317</v>
      </c>
      <c r="F172" s="139" t="s">
        <v>1949</v>
      </c>
      <c r="G172" s="140">
        <v>1</v>
      </c>
      <c r="H172" s="141" t="s">
        <v>2318</v>
      </c>
      <c r="I172" s="140">
        <v>4</v>
      </c>
      <c r="J172" s="141" t="s">
        <v>2319</v>
      </c>
      <c r="K172" s="139" t="s">
        <v>1648</v>
      </c>
      <c r="L172" s="139" t="s">
        <v>1990</v>
      </c>
      <c r="M172" s="154"/>
      <c r="N172" s="156"/>
      <c r="O172" s="154"/>
      <c r="P172" s="154"/>
      <c r="Q172" s="154"/>
      <c r="R172" s="154"/>
      <c r="S172" s="154"/>
      <c r="T172" s="156"/>
      <c r="U172" s="154"/>
      <c r="V172" s="154"/>
      <c r="W172" s="154"/>
      <c r="X172" s="154"/>
    </row>
    <row r="173" spans="1:24" x14ac:dyDescent="0.2">
      <c r="A173" s="139" t="s">
        <v>284</v>
      </c>
      <c r="B173" s="138" t="s">
        <v>283</v>
      </c>
      <c r="C173" s="139" t="s">
        <v>25</v>
      </c>
      <c r="D173" s="139" t="s">
        <v>2101</v>
      </c>
      <c r="E173" s="139" t="s">
        <v>2356</v>
      </c>
      <c r="F173" s="139" t="s">
        <v>1949</v>
      </c>
      <c r="G173" s="140">
        <v>0.85</v>
      </c>
      <c r="H173" s="141" t="s">
        <v>2357</v>
      </c>
      <c r="I173" s="140">
        <v>0.84930000000000005</v>
      </c>
      <c r="J173" s="141" t="s">
        <v>2319</v>
      </c>
      <c r="K173" s="139" t="s">
        <v>1648</v>
      </c>
      <c r="L173" s="139" t="s">
        <v>1990</v>
      </c>
      <c r="M173" s="155"/>
      <c r="N173" s="154"/>
      <c r="O173" s="155"/>
      <c r="P173" s="154"/>
      <c r="Q173" s="154"/>
      <c r="R173" s="154"/>
      <c r="S173" s="155"/>
      <c r="T173" s="154"/>
      <c r="U173" s="155"/>
      <c r="V173" s="154"/>
      <c r="W173" s="154"/>
      <c r="X173" s="154"/>
    </row>
    <row r="174" spans="1:24" x14ac:dyDescent="0.2">
      <c r="A174" s="139" t="s">
        <v>296</v>
      </c>
      <c r="B174" s="138" t="s">
        <v>295</v>
      </c>
      <c r="C174" s="139" t="s">
        <v>25</v>
      </c>
      <c r="D174" s="139" t="s">
        <v>2022</v>
      </c>
      <c r="E174" s="139" t="s">
        <v>2370</v>
      </c>
      <c r="F174" s="139" t="s">
        <v>1949</v>
      </c>
      <c r="G174" s="140">
        <v>1.3</v>
      </c>
      <c r="H174" s="141" t="s">
        <v>2371</v>
      </c>
      <c r="I174" s="140">
        <v>1.3</v>
      </c>
      <c r="J174" s="141" t="s">
        <v>2372</v>
      </c>
      <c r="K174" s="139" t="s">
        <v>1649</v>
      </c>
      <c r="L174" s="139" t="s">
        <v>1952</v>
      </c>
      <c r="M174" s="155"/>
      <c r="N174" s="156"/>
      <c r="O174" s="155"/>
      <c r="P174" s="156"/>
      <c r="Q174" s="154"/>
      <c r="R174" s="154"/>
      <c r="S174" s="155"/>
      <c r="T174" s="154"/>
      <c r="U174" s="155"/>
      <c r="V174" s="154"/>
      <c r="W174" s="154"/>
      <c r="X174" s="154"/>
    </row>
    <row r="175" spans="1:24" x14ac:dyDescent="0.2">
      <c r="A175" s="139" t="s">
        <v>302</v>
      </c>
      <c r="B175" s="138" t="s">
        <v>301</v>
      </c>
      <c r="C175" s="139" t="s">
        <v>25</v>
      </c>
      <c r="D175" s="139" t="s">
        <v>1980</v>
      </c>
      <c r="E175" s="139" t="s">
        <v>2382</v>
      </c>
      <c r="F175" s="139" t="s">
        <v>890</v>
      </c>
      <c r="G175" s="140">
        <v>0.3</v>
      </c>
      <c r="H175" s="141" t="s">
        <v>2383</v>
      </c>
      <c r="I175" s="140">
        <v>0.3</v>
      </c>
      <c r="J175" s="141" t="s">
        <v>2384</v>
      </c>
      <c r="K175" s="139" t="s">
        <v>1649</v>
      </c>
      <c r="L175" s="139" t="s">
        <v>1952</v>
      </c>
      <c r="M175" s="157"/>
      <c r="N175" s="157"/>
      <c r="O175" s="157"/>
      <c r="P175" s="157"/>
      <c r="Q175" s="157"/>
      <c r="R175" s="157"/>
      <c r="S175" s="154" t="s">
        <v>1613</v>
      </c>
      <c r="T175" s="154"/>
      <c r="U175" s="154"/>
      <c r="V175" s="154"/>
      <c r="W175" s="154"/>
      <c r="X175" s="154"/>
    </row>
    <row r="176" spans="1:24" x14ac:dyDescent="0.2">
      <c r="A176" s="139" t="s">
        <v>310</v>
      </c>
      <c r="B176" s="138" t="s">
        <v>309</v>
      </c>
      <c r="C176" s="139" t="s">
        <v>25</v>
      </c>
      <c r="D176" s="139" t="s">
        <v>2262</v>
      </c>
      <c r="E176" s="139" t="s">
        <v>2390</v>
      </c>
      <c r="F176" s="139" t="s">
        <v>2133</v>
      </c>
      <c r="G176" s="155"/>
      <c r="H176" s="154"/>
      <c r="I176" s="155"/>
      <c r="J176" s="154"/>
      <c r="K176" s="154"/>
      <c r="L176" s="154"/>
      <c r="M176" s="155"/>
      <c r="N176" s="154"/>
      <c r="O176" s="155"/>
      <c r="P176" s="154"/>
      <c r="Q176" s="154"/>
      <c r="R176" s="154"/>
      <c r="S176" s="155"/>
      <c r="T176" s="154"/>
      <c r="U176" s="155"/>
      <c r="V176" s="154"/>
      <c r="W176" s="154"/>
      <c r="X176" s="154"/>
    </row>
    <row r="177" spans="1:24" x14ac:dyDescent="0.2">
      <c r="A177" s="139" t="s">
        <v>324</v>
      </c>
      <c r="B177" s="138" t="s">
        <v>323</v>
      </c>
      <c r="C177" s="139" t="s">
        <v>25</v>
      </c>
      <c r="D177" s="139" t="s">
        <v>2237</v>
      </c>
      <c r="E177" s="139" t="s">
        <v>2406</v>
      </c>
      <c r="F177" s="139" t="s">
        <v>1949</v>
      </c>
      <c r="G177" s="140">
        <v>0.93500000000000005</v>
      </c>
      <c r="H177" s="141" t="s">
        <v>2407</v>
      </c>
      <c r="I177" s="140">
        <v>0.84499999999999997</v>
      </c>
      <c r="J177" s="141" t="s">
        <v>2408</v>
      </c>
      <c r="K177" s="139" t="s">
        <v>1648</v>
      </c>
      <c r="L177" s="139" t="s">
        <v>1990</v>
      </c>
      <c r="M177" s="140">
        <v>0.65529999999999999</v>
      </c>
      <c r="N177" s="141" t="s">
        <v>2409</v>
      </c>
      <c r="O177" s="140">
        <v>0.56140000000000001</v>
      </c>
      <c r="P177" s="141" t="s">
        <v>2410</v>
      </c>
      <c r="Q177" s="139" t="s">
        <v>1649</v>
      </c>
      <c r="R177" s="139" t="s">
        <v>1988</v>
      </c>
      <c r="S177" s="140">
        <v>0.75</v>
      </c>
      <c r="T177" s="141" t="s">
        <v>2395</v>
      </c>
      <c r="U177" s="140">
        <v>0.73699999999999999</v>
      </c>
      <c r="V177" s="141" t="s">
        <v>2231</v>
      </c>
      <c r="W177" s="139" t="s">
        <v>1649</v>
      </c>
      <c r="X177" s="139" t="s">
        <v>1990</v>
      </c>
    </row>
    <row r="178" spans="1:24" x14ac:dyDescent="0.2">
      <c r="A178" s="139" t="s">
        <v>342</v>
      </c>
      <c r="B178" s="138" t="s">
        <v>341</v>
      </c>
      <c r="C178" s="139" t="s">
        <v>25</v>
      </c>
      <c r="D178" s="139" t="s">
        <v>2442</v>
      </c>
      <c r="E178" s="139" t="s">
        <v>2443</v>
      </c>
      <c r="F178" s="139" t="s">
        <v>1949</v>
      </c>
      <c r="G178" s="140">
        <v>2</v>
      </c>
      <c r="H178" s="141" t="s">
        <v>2444</v>
      </c>
      <c r="I178" s="140">
        <v>1.9578</v>
      </c>
      <c r="J178" s="141" t="s">
        <v>2445</v>
      </c>
      <c r="K178" s="139" t="s">
        <v>1648</v>
      </c>
      <c r="L178" s="139" t="s">
        <v>1968</v>
      </c>
      <c r="M178" s="154"/>
      <c r="N178" s="154"/>
      <c r="O178" s="154"/>
      <c r="P178" s="154"/>
      <c r="Q178" s="154"/>
      <c r="R178" s="154"/>
      <c r="S178" s="154"/>
      <c r="T178" s="154"/>
      <c r="U178" s="154"/>
      <c r="V178" s="154"/>
      <c r="W178" s="154"/>
      <c r="X178" s="154"/>
    </row>
    <row r="179" spans="1:24" x14ac:dyDescent="0.2">
      <c r="A179" s="139" t="s">
        <v>350</v>
      </c>
      <c r="B179" s="138" t="s">
        <v>349</v>
      </c>
      <c r="C179" s="139" t="s">
        <v>25</v>
      </c>
      <c r="D179" s="139" t="s">
        <v>1973</v>
      </c>
      <c r="E179" s="139" t="s">
        <v>2455</v>
      </c>
      <c r="F179" s="139" t="s">
        <v>1949</v>
      </c>
      <c r="G179" s="140">
        <v>1.5</v>
      </c>
      <c r="H179" s="141" t="s">
        <v>2456</v>
      </c>
      <c r="I179" s="140">
        <v>1.3643000000000001</v>
      </c>
      <c r="J179" s="141" t="s">
        <v>1943</v>
      </c>
      <c r="K179" s="139" t="s">
        <v>1648</v>
      </c>
      <c r="L179" s="139" t="s">
        <v>1952</v>
      </c>
      <c r="M179" s="154"/>
      <c r="N179" s="154"/>
      <c r="O179" s="154"/>
      <c r="P179" s="154"/>
      <c r="Q179" s="154"/>
      <c r="R179" s="154"/>
      <c r="S179" s="154"/>
      <c r="T179" s="154"/>
      <c r="U179" s="154"/>
      <c r="V179" s="154"/>
      <c r="W179" s="154"/>
      <c r="X179" s="154"/>
    </row>
    <row r="180" spans="1:24" x14ac:dyDescent="0.2">
      <c r="A180" s="139" t="s">
        <v>358</v>
      </c>
      <c r="B180" s="138" t="s">
        <v>357</v>
      </c>
      <c r="C180" s="139" t="s">
        <v>25</v>
      </c>
      <c r="D180" s="139" t="s">
        <v>2134</v>
      </c>
      <c r="E180" s="139" t="s">
        <v>2468</v>
      </c>
      <c r="F180" s="139" t="s">
        <v>890</v>
      </c>
      <c r="G180" s="140">
        <v>1</v>
      </c>
      <c r="H180" s="141" t="s">
        <v>2469</v>
      </c>
      <c r="I180" s="140">
        <v>0.99470000000000003</v>
      </c>
      <c r="J180" s="154" t="s">
        <v>1613</v>
      </c>
      <c r="K180" s="139" t="s">
        <v>1648</v>
      </c>
      <c r="L180" s="139" t="s">
        <v>1944</v>
      </c>
      <c r="M180" s="154"/>
      <c r="N180" s="154"/>
      <c r="O180" s="154"/>
      <c r="P180" s="154"/>
      <c r="Q180" s="154"/>
      <c r="R180" s="154"/>
      <c r="S180" s="155"/>
      <c r="T180" s="154"/>
      <c r="U180" s="155"/>
      <c r="V180" s="154"/>
      <c r="W180" s="154"/>
      <c r="X180" s="154"/>
    </row>
    <row r="181" spans="1:24" x14ac:dyDescent="0.2">
      <c r="A181" s="139" t="s">
        <v>378</v>
      </c>
      <c r="B181" s="138" t="s">
        <v>377</v>
      </c>
      <c r="C181" s="139" t="s">
        <v>25</v>
      </c>
      <c r="D181" s="139" t="s">
        <v>1940</v>
      </c>
      <c r="E181" s="139" t="s">
        <v>2488</v>
      </c>
      <c r="F181" s="139" t="s">
        <v>890</v>
      </c>
      <c r="G181" s="154"/>
      <c r="H181" s="154"/>
      <c r="I181" s="154"/>
      <c r="J181" s="154"/>
      <c r="K181" s="154"/>
      <c r="L181" s="154"/>
      <c r="M181" s="154"/>
      <c r="N181" s="154"/>
      <c r="O181" s="154"/>
      <c r="P181" s="154"/>
      <c r="Q181" s="154"/>
      <c r="R181" s="154"/>
      <c r="S181" s="154"/>
      <c r="T181" s="154"/>
      <c r="U181" s="154"/>
      <c r="V181" s="154"/>
      <c r="W181" s="154"/>
      <c r="X181" s="154"/>
    </row>
    <row r="182" spans="1:24" x14ac:dyDescent="0.2">
      <c r="A182" s="139" t="s">
        <v>410</v>
      </c>
      <c r="B182" s="138" t="s">
        <v>409</v>
      </c>
      <c r="C182" s="139" t="s">
        <v>25</v>
      </c>
      <c r="D182" s="139" t="s">
        <v>2215</v>
      </c>
      <c r="E182" s="139" t="s">
        <v>2519</v>
      </c>
      <c r="F182" s="139" t="s">
        <v>890</v>
      </c>
      <c r="G182" s="155"/>
      <c r="H182" s="154"/>
      <c r="I182" s="155"/>
      <c r="J182" s="154"/>
      <c r="K182" s="154"/>
      <c r="L182" s="154"/>
      <c r="M182" s="155"/>
      <c r="N182" s="154"/>
      <c r="O182" s="155"/>
      <c r="P182" s="154"/>
      <c r="Q182" s="154"/>
      <c r="R182" s="154"/>
      <c r="S182" s="155"/>
      <c r="T182" s="154"/>
      <c r="U182" s="155"/>
      <c r="V182" s="154"/>
      <c r="W182" s="154"/>
      <c r="X182" s="154"/>
    </row>
    <row r="183" spans="1:24" x14ac:dyDescent="0.2">
      <c r="A183" s="139" t="s">
        <v>408</v>
      </c>
      <c r="B183" s="138" t="s">
        <v>407</v>
      </c>
      <c r="C183" s="139" t="s">
        <v>25</v>
      </c>
      <c r="D183" s="139" t="s">
        <v>2517</v>
      </c>
      <c r="E183" s="139" t="s">
        <v>2518</v>
      </c>
      <c r="F183" s="139" t="s">
        <v>2133</v>
      </c>
      <c r="G183" s="154"/>
      <c r="H183" s="154"/>
      <c r="I183" s="154"/>
      <c r="J183" s="154"/>
      <c r="K183" s="154"/>
      <c r="L183" s="154"/>
      <c r="M183" s="155"/>
      <c r="N183" s="154"/>
      <c r="O183" s="155"/>
      <c r="P183" s="154"/>
      <c r="Q183" s="154"/>
      <c r="R183" s="154"/>
      <c r="S183" s="155"/>
      <c r="T183" s="154"/>
      <c r="U183" s="155"/>
      <c r="V183" s="154"/>
      <c r="W183" s="154"/>
      <c r="X183" s="154"/>
    </row>
    <row r="184" spans="1:24" x14ac:dyDescent="0.2">
      <c r="A184" s="139" t="s">
        <v>433</v>
      </c>
      <c r="B184" s="138" t="s">
        <v>432</v>
      </c>
      <c r="C184" s="139" t="s">
        <v>25</v>
      </c>
      <c r="D184" s="139" t="s">
        <v>2010</v>
      </c>
      <c r="E184" s="139" t="s">
        <v>2540</v>
      </c>
      <c r="F184" s="139" t="s">
        <v>1919</v>
      </c>
      <c r="G184" s="140">
        <v>1</v>
      </c>
      <c r="H184" s="141" t="s">
        <v>2541</v>
      </c>
      <c r="I184" s="140">
        <v>1</v>
      </c>
      <c r="J184" s="141" t="s">
        <v>1615</v>
      </c>
      <c r="K184" s="139" t="s">
        <v>1648</v>
      </c>
      <c r="L184" s="139" t="s">
        <v>1944</v>
      </c>
      <c r="M184" s="140">
        <v>0.3</v>
      </c>
      <c r="N184" s="141" t="s">
        <v>2542</v>
      </c>
      <c r="O184" s="140">
        <v>0.28999999999999998</v>
      </c>
      <c r="P184" s="141" t="s">
        <v>1615</v>
      </c>
      <c r="Q184" s="139" t="s">
        <v>1648</v>
      </c>
      <c r="R184" s="139" t="s">
        <v>1944</v>
      </c>
      <c r="S184" s="155"/>
      <c r="T184" s="154"/>
      <c r="U184" s="155"/>
      <c r="V184" s="154"/>
      <c r="W184" s="154"/>
      <c r="X184" s="154"/>
    </row>
    <row r="185" spans="1:24" x14ac:dyDescent="0.2">
      <c r="A185" s="139" t="s">
        <v>446</v>
      </c>
      <c r="B185" s="138" t="s">
        <v>445</v>
      </c>
      <c r="C185" s="139" t="s">
        <v>25</v>
      </c>
      <c r="D185" s="139" t="s">
        <v>2010</v>
      </c>
      <c r="E185" s="139" t="s">
        <v>2009</v>
      </c>
      <c r="F185" s="139" t="s">
        <v>890</v>
      </c>
      <c r="G185" s="155"/>
      <c r="H185" s="154"/>
      <c r="I185" s="155"/>
      <c r="J185" s="154"/>
      <c r="K185" s="154"/>
      <c r="L185" s="154"/>
      <c r="M185" s="155"/>
      <c r="N185" s="154"/>
      <c r="O185" s="155"/>
      <c r="P185" s="154"/>
      <c r="Q185" s="154"/>
      <c r="R185" s="154"/>
      <c r="S185" s="155"/>
      <c r="T185" s="154"/>
      <c r="U185" s="155"/>
      <c r="V185" s="154"/>
      <c r="W185" s="154"/>
      <c r="X185" s="154"/>
    </row>
    <row r="186" spans="1:24" x14ac:dyDescent="0.2">
      <c r="A186" s="139" t="s">
        <v>468</v>
      </c>
      <c r="B186" s="138" t="s">
        <v>467</v>
      </c>
      <c r="C186" s="139" t="s">
        <v>25</v>
      </c>
      <c r="D186" s="139" t="s">
        <v>2006</v>
      </c>
      <c r="E186" s="139" t="s">
        <v>2579</v>
      </c>
      <c r="F186" s="139" t="s">
        <v>1949</v>
      </c>
      <c r="G186" s="140">
        <v>1.0451999999999999</v>
      </c>
      <c r="H186" s="141" t="s">
        <v>2418</v>
      </c>
      <c r="I186" s="140">
        <v>1.0451999999999999</v>
      </c>
      <c r="J186" s="141" t="s">
        <v>2580</v>
      </c>
      <c r="K186" s="139" t="s">
        <v>1649</v>
      </c>
      <c r="L186" s="139" t="s">
        <v>1990</v>
      </c>
      <c r="M186" s="154"/>
      <c r="N186" s="154"/>
      <c r="O186" s="154"/>
      <c r="P186" s="154"/>
      <c r="Q186" s="154"/>
      <c r="R186" s="154"/>
      <c r="S186" s="154"/>
      <c r="T186" s="154"/>
      <c r="U186" s="154"/>
      <c r="V186" s="154"/>
      <c r="W186" s="154"/>
      <c r="X186" s="154"/>
    </row>
    <row r="187" spans="1:24" x14ac:dyDescent="0.2">
      <c r="A187" s="139" t="s">
        <v>474</v>
      </c>
      <c r="B187" s="138" t="s">
        <v>473</v>
      </c>
      <c r="C187" s="139" t="s">
        <v>25</v>
      </c>
      <c r="D187" s="139" t="s">
        <v>2583</v>
      </c>
      <c r="E187" s="139" t="s">
        <v>2584</v>
      </c>
      <c r="F187" s="139" t="s">
        <v>2133</v>
      </c>
      <c r="G187" s="155"/>
      <c r="H187" s="154"/>
      <c r="I187" s="155"/>
      <c r="J187" s="154"/>
      <c r="K187" s="154"/>
      <c r="L187" s="154"/>
      <c r="M187" s="155"/>
      <c r="N187" s="154"/>
      <c r="O187" s="155"/>
      <c r="P187" s="154"/>
      <c r="Q187" s="154"/>
      <c r="R187" s="154"/>
      <c r="S187" s="155"/>
      <c r="T187" s="154"/>
      <c r="U187" s="155"/>
      <c r="V187" s="154"/>
      <c r="W187" s="154"/>
      <c r="X187" s="154"/>
    </row>
    <row r="188" spans="1:24" x14ac:dyDescent="0.2">
      <c r="A188" s="139" t="s">
        <v>492</v>
      </c>
      <c r="B188" s="138" t="s">
        <v>491</v>
      </c>
      <c r="C188" s="139" t="s">
        <v>25</v>
      </c>
      <c r="D188" s="139" t="s">
        <v>1979</v>
      </c>
      <c r="E188" s="154" t="s">
        <v>1613</v>
      </c>
      <c r="F188" s="139" t="s">
        <v>890</v>
      </c>
      <c r="G188" s="140">
        <v>0.97009999999999996</v>
      </c>
      <c r="H188" s="154" t="s">
        <v>1613</v>
      </c>
      <c r="I188" s="140">
        <v>0.97009999999999996</v>
      </c>
      <c r="J188" s="154" t="s">
        <v>1613</v>
      </c>
      <c r="K188" s="139" t="s">
        <v>1648</v>
      </c>
      <c r="L188" s="139" t="s">
        <v>1952</v>
      </c>
      <c r="M188" s="154"/>
      <c r="N188" s="154"/>
      <c r="O188" s="154"/>
      <c r="P188" s="154"/>
      <c r="Q188" s="154"/>
      <c r="R188" s="154"/>
      <c r="S188" s="154"/>
      <c r="T188" s="154"/>
      <c r="U188" s="154"/>
      <c r="V188" s="154"/>
      <c r="W188" s="154"/>
      <c r="X188" s="154"/>
    </row>
    <row r="189" spans="1:24" x14ac:dyDescent="0.2">
      <c r="A189" s="139" t="s">
        <v>504</v>
      </c>
      <c r="B189" s="138" t="s">
        <v>503</v>
      </c>
      <c r="C189" s="139" t="s">
        <v>25</v>
      </c>
      <c r="D189" s="139" t="s">
        <v>2122</v>
      </c>
      <c r="E189" s="139" t="s">
        <v>2620</v>
      </c>
      <c r="F189" s="139" t="s">
        <v>1949</v>
      </c>
      <c r="G189" s="140">
        <v>1</v>
      </c>
      <c r="H189" s="141" t="s">
        <v>2621</v>
      </c>
      <c r="I189" s="140">
        <v>0.98480000000000001</v>
      </c>
      <c r="J189" s="141" t="s">
        <v>2622</v>
      </c>
      <c r="K189" s="139" t="s">
        <v>1649</v>
      </c>
      <c r="L189" s="139" t="s">
        <v>1952</v>
      </c>
      <c r="M189" s="154"/>
      <c r="N189" s="154"/>
      <c r="O189" s="154"/>
      <c r="P189" s="154"/>
      <c r="Q189" s="154"/>
      <c r="R189" s="154"/>
      <c r="S189" s="154"/>
      <c r="T189" s="154"/>
      <c r="U189" s="154"/>
      <c r="V189" s="154"/>
      <c r="W189" s="154"/>
      <c r="X189" s="154"/>
    </row>
    <row r="190" spans="1:24" x14ac:dyDescent="0.2">
      <c r="A190" s="139" t="s">
        <v>510</v>
      </c>
      <c r="B190" s="138" t="s">
        <v>509</v>
      </c>
      <c r="C190" s="139" t="s">
        <v>25</v>
      </c>
      <c r="D190" s="139" t="s">
        <v>2625</v>
      </c>
      <c r="E190" s="139" t="s">
        <v>2626</v>
      </c>
      <c r="F190" s="139" t="s">
        <v>894</v>
      </c>
      <c r="G190" s="140">
        <v>0.6</v>
      </c>
      <c r="H190" s="141" t="s">
        <v>2627</v>
      </c>
      <c r="I190" s="140">
        <v>0.6</v>
      </c>
      <c r="J190" s="141" t="s">
        <v>2628</v>
      </c>
      <c r="K190" s="139" t="s">
        <v>1649</v>
      </c>
      <c r="L190" s="139" t="s">
        <v>1990</v>
      </c>
      <c r="M190" s="154"/>
      <c r="N190" s="154"/>
      <c r="O190" s="154"/>
      <c r="P190" s="154"/>
      <c r="Q190" s="154"/>
      <c r="R190" s="154"/>
      <c r="S190" s="154"/>
      <c r="T190" s="154"/>
      <c r="U190" s="154"/>
      <c r="V190" s="154"/>
      <c r="W190" s="154"/>
      <c r="X190" s="154"/>
    </row>
    <row r="191" spans="1:24" x14ac:dyDescent="0.2">
      <c r="A191" s="139" t="s">
        <v>520</v>
      </c>
      <c r="B191" s="138" t="s">
        <v>519</v>
      </c>
      <c r="C191" s="139" t="s">
        <v>25</v>
      </c>
      <c r="D191" s="139" t="s">
        <v>2641</v>
      </c>
      <c r="E191" s="139" t="s">
        <v>2642</v>
      </c>
      <c r="F191" s="139" t="s">
        <v>2133</v>
      </c>
      <c r="G191" s="154"/>
      <c r="H191" s="156"/>
      <c r="I191" s="154"/>
      <c r="J191" s="156"/>
      <c r="K191" s="154"/>
      <c r="L191" s="154"/>
      <c r="M191" s="154"/>
      <c r="N191" s="154"/>
      <c r="O191" s="154"/>
      <c r="P191" s="154"/>
      <c r="Q191" s="154"/>
      <c r="R191" s="154"/>
      <c r="S191" s="154"/>
      <c r="T191" s="154"/>
      <c r="U191" s="154"/>
      <c r="V191" s="154"/>
      <c r="W191" s="154"/>
      <c r="X191" s="154"/>
    </row>
    <row r="192" spans="1:24" x14ac:dyDescent="0.2">
      <c r="A192" s="139" t="s">
        <v>524</v>
      </c>
      <c r="B192" s="138" t="s">
        <v>523</v>
      </c>
      <c r="C192" s="139" t="s">
        <v>25</v>
      </c>
      <c r="D192" s="139" t="s">
        <v>2349</v>
      </c>
      <c r="E192" s="139" t="s">
        <v>2643</v>
      </c>
      <c r="F192" s="139" t="s">
        <v>890</v>
      </c>
      <c r="G192" s="155"/>
      <c r="H192" s="156"/>
      <c r="I192" s="155"/>
      <c r="J192" s="156"/>
      <c r="K192" s="154"/>
      <c r="L192" s="154"/>
      <c r="M192" s="155"/>
      <c r="N192" s="156"/>
      <c r="O192" s="155"/>
      <c r="P192" s="156"/>
      <c r="Q192" s="154"/>
      <c r="R192" s="154"/>
      <c r="S192" s="155"/>
      <c r="T192" s="156"/>
      <c r="U192" s="155"/>
      <c r="V192" s="156"/>
      <c r="W192" s="154"/>
      <c r="X192" s="154"/>
    </row>
    <row r="193" spans="1:24" x14ac:dyDescent="0.2">
      <c r="A193" s="139" t="s">
        <v>536</v>
      </c>
      <c r="B193" s="138" t="s">
        <v>535</v>
      </c>
      <c r="C193" s="139" t="s">
        <v>25</v>
      </c>
      <c r="D193" s="139" t="s">
        <v>2006</v>
      </c>
      <c r="E193" s="139" t="s">
        <v>2660</v>
      </c>
      <c r="F193" s="139" t="s">
        <v>1919</v>
      </c>
      <c r="G193" s="140">
        <v>1</v>
      </c>
      <c r="H193" s="141" t="s">
        <v>2661</v>
      </c>
      <c r="I193" s="140">
        <v>0.82220000000000004</v>
      </c>
      <c r="J193" s="154" t="s">
        <v>1613</v>
      </c>
      <c r="K193" s="139" t="s">
        <v>1648</v>
      </c>
      <c r="L193" s="139" t="s">
        <v>1952</v>
      </c>
      <c r="M193" s="140">
        <v>0.5</v>
      </c>
      <c r="N193" s="141" t="s">
        <v>2662</v>
      </c>
      <c r="O193" s="140">
        <v>0.4133</v>
      </c>
      <c r="P193" s="141" t="s">
        <v>1615</v>
      </c>
      <c r="Q193" s="139" t="s">
        <v>1648</v>
      </c>
      <c r="R193" s="139" t="s">
        <v>1944</v>
      </c>
      <c r="S193" s="154" t="s">
        <v>1613</v>
      </c>
      <c r="T193" s="154"/>
      <c r="U193" s="154"/>
      <c r="V193" s="154"/>
      <c r="W193" s="154"/>
      <c r="X193" s="154"/>
    </row>
    <row r="194" spans="1:24" x14ac:dyDescent="0.2">
      <c r="A194" s="139" t="s">
        <v>554</v>
      </c>
      <c r="B194" s="138" t="s">
        <v>553</v>
      </c>
      <c r="C194" s="139" t="s">
        <v>25</v>
      </c>
      <c r="D194" s="139" t="s">
        <v>2679</v>
      </c>
      <c r="E194" s="139" t="s">
        <v>2680</v>
      </c>
      <c r="F194" s="139" t="s">
        <v>894</v>
      </c>
      <c r="G194" s="140">
        <v>0.5</v>
      </c>
      <c r="H194" s="141" t="s">
        <v>2437</v>
      </c>
      <c r="I194" s="140">
        <v>0.5</v>
      </c>
      <c r="J194" s="141" t="s">
        <v>2681</v>
      </c>
      <c r="K194" s="139" t="s">
        <v>1649</v>
      </c>
      <c r="L194" s="139" t="s">
        <v>1968</v>
      </c>
      <c r="M194" s="154"/>
      <c r="N194" s="154"/>
      <c r="O194" s="154"/>
      <c r="P194" s="154"/>
      <c r="Q194" s="154"/>
      <c r="R194" s="154"/>
      <c r="S194" s="154"/>
      <c r="T194" s="154"/>
      <c r="U194" s="154"/>
      <c r="V194" s="154"/>
      <c r="W194" s="154"/>
      <c r="X194" s="154"/>
    </row>
    <row r="195" spans="1:24" x14ac:dyDescent="0.2">
      <c r="A195" s="139" t="s">
        <v>564</v>
      </c>
      <c r="B195" s="138" t="s">
        <v>563</v>
      </c>
      <c r="C195" s="139" t="s">
        <v>25</v>
      </c>
      <c r="D195" s="139" t="s">
        <v>2022</v>
      </c>
      <c r="E195" s="139" t="s">
        <v>2692</v>
      </c>
      <c r="F195" s="139" t="s">
        <v>1949</v>
      </c>
      <c r="G195" s="140">
        <v>2</v>
      </c>
      <c r="H195" s="141" t="s">
        <v>2144</v>
      </c>
      <c r="I195" s="140">
        <v>1.9907999999999999</v>
      </c>
      <c r="J195" s="141" t="s">
        <v>2693</v>
      </c>
      <c r="K195" s="139" t="s">
        <v>1648</v>
      </c>
      <c r="L195" s="139" t="s">
        <v>1952</v>
      </c>
      <c r="M195" s="154"/>
      <c r="N195" s="156"/>
      <c r="O195" s="154"/>
      <c r="P195" s="156"/>
      <c r="Q195" s="154"/>
      <c r="R195" s="154"/>
      <c r="S195" s="154"/>
      <c r="T195" s="154"/>
      <c r="U195" s="154"/>
      <c r="V195" s="154"/>
      <c r="W195" s="154"/>
      <c r="X195" s="154"/>
    </row>
    <row r="196" spans="1:24" x14ac:dyDescent="0.2">
      <c r="A196" s="139" t="s">
        <v>568</v>
      </c>
      <c r="B196" s="138" t="s">
        <v>567</v>
      </c>
      <c r="C196" s="139" t="s">
        <v>25</v>
      </c>
      <c r="D196" s="139" t="s">
        <v>1980</v>
      </c>
      <c r="E196" s="139" t="s">
        <v>2697</v>
      </c>
      <c r="F196" s="139" t="s">
        <v>1919</v>
      </c>
      <c r="G196" s="140">
        <v>0.5</v>
      </c>
      <c r="H196" s="141" t="s">
        <v>2698</v>
      </c>
      <c r="I196" s="140">
        <v>0.45910000000000001</v>
      </c>
      <c r="J196" s="141" t="s">
        <v>2060</v>
      </c>
      <c r="K196" s="139" t="s">
        <v>1649</v>
      </c>
      <c r="L196" s="139" t="s">
        <v>1990</v>
      </c>
      <c r="M196" s="155"/>
      <c r="N196" s="156"/>
      <c r="O196" s="155"/>
      <c r="P196" s="156"/>
      <c r="Q196" s="154"/>
      <c r="R196" s="154"/>
      <c r="S196" s="155"/>
      <c r="T196" s="154"/>
      <c r="U196" s="155"/>
      <c r="V196" s="154"/>
      <c r="W196" s="154"/>
      <c r="X196" s="154"/>
    </row>
    <row r="197" spans="1:24" x14ac:dyDescent="0.2">
      <c r="A197" s="139" t="s">
        <v>576</v>
      </c>
      <c r="B197" s="138" t="s">
        <v>575</v>
      </c>
      <c r="C197" s="139" t="s">
        <v>25</v>
      </c>
      <c r="D197" s="139" t="s">
        <v>2435</v>
      </c>
      <c r="E197" s="139" t="s">
        <v>2707</v>
      </c>
      <c r="F197" s="139" t="s">
        <v>1949</v>
      </c>
      <c r="G197" s="140">
        <v>1</v>
      </c>
      <c r="H197" s="141" t="s">
        <v>2708</v>
      </c>
      <c r="I197" s="140">
        <v>0.99229999999999996</v>
      </c>
      <c r="J197" s="141" t="s">
        <v>2319</v>
      </c>
      <c r="K197" s="139" t="s">
        <v>1648</v>
      </c>
      <c r="L197" s="139" t="s">
        <v>1968</v>
      </c>
      <c r="M197" s="155"/>
      <c r="N197" s="154"/>
      <c r="O197" s="154"/>
      <c r="P197" s="154"/>
      <c r="Q197" s="154"/>
      <c r="R197" s="154"/>
      <c r="S197" s="154"/>
      <c r="T197" s="154"/>
      <c r="U197" s="154"/>
      <c r="V197" s="154"/>
      <c r="W197" s="154"/>
      <c r="X197" s="154"/>
    </row>
    <row r="198" spans="1:24" x14ac:dyDescent="0.2">
      <c r="A198" s="139" t="s">
        <v>584</v>
      </c>
      <c r="B198" s="138" t="s">
        <v>583</v>
      </c>
      <c r="C198" s="139" t="s">
        <v>25</v>
      </c>
      <c r="D198" s="139" t="s">
        <v>2110</v>
      </c>
      <c r="E198" s="139" t="s">
        <v>2720</v>
      </c>
      <c r="F198" s="139" t="s">
        <v>1949</v>
      </c>
      <c r="G198" s="140">
        <v>1.4219999999999999</v>
      </c>
      <c r="H198" s="141" t="s">
        <v>2269</v>
      </c>
      <c r="I198" s="140">
        <v>1.4219999999999999</v>
      </c>
      <c r="J198" s="141" t="s">
        <v>2476</v>
      </c>
      <c r="K198" s="139" t="s">
        <v>1649</v>
      </c>
      <c r="L198" s="139" t="s">
        <v>1952</v>
      </c>
      <c r="M198" s="140">
        <v>0.5857</v>
      </c>
      <c r="N198" s="141" t="s">
        <v>2721</v>
      </c>
      <c r="O198" s="140">
        <v>0.5857</v>
      </c>
      <c r="P198" s="141" t="s">
        <v>2722</v>
      </c>
      <c r="Q198" s="139" t="s">
        <v>1649</v>
      </c>
      <c r="R198" s="139" t="s">
        <v>2723</v>
      </c>
      <c r="S198" s="154" t="s">
        <v>1613</v>
      </c>
      <c r="T198" s="154"/>
      <c r="U198" s="154"/>
      <c r="V198" s="154"/>
      <c r="W198" s="154"/>
      <c r="X198" s="154"/>
    </row>
    <row r="199" spans="1:24" x14ac:dyDescent="0.2">
      <c r="A199" s="139" t="s">
        <v>610</v>
      </c>
      <c r="B199" s="138" t="s">
        <v>609</v>
      </c>
      <c r="C199" s="139" t="s">
        <v>25</v>
      </c>
      <c r="D199" s="139" t="s">
        <v>2122</v>
      </c>
      <c r="E199" s="139" t="s">
        <v>2762</v>
      </c>
      <c r="F199" s="139" t="s">
        <v>1949</v>
      </c>
      <c r="G199" s="140">
        <v>0.75</v>
      </c>
      <c r="H199" s="141" t="s">
        <v>2763</v>
      </c>
      <c r="I199" s="140">
        <v>0.75</v>
      </c>
      <c r="J199" s="141" t="s">
        <v>2279</v>
      </c>
      <c r="K199" s="139" t="s">
        <v>1649</v>
      </c>
      <c r="L199" s="139" t="s">
        <v>1952</v>
      </c>
      <c r="M199" s="140">
        <v>0.35</v>
      </c>
      <c r="N199" s="141" t="s">
        <v>2746</v>
      </c>
      <c r="O199" s="140">
        <v>0.35</v>
      </c>
      <c r="P199" s="141" t="s">
        <v>2205</v>
      </c>
      <c r="Q199" s="139" t="s">
        <v>1649</v>
      </c>
      <c r="R199" s="139" t="s">
        <v>1952</v>
      </c>
      <c r="S199" s="154" t="s">
        <v>1613</v>
      </c>
      <c r="T199" s="154"/>
      <c r="U199" s="154"/>
      <c r="V199" s="154"/>
      <c r="W199" s="154"/>
      <c r="X199" s="154"/>
    </row>
    <row r="200" spans="1:24" x14ac:dyDescent="0.2">
      <c r="A200" s="139" t="s">
        <v>618</v>
      </c>
      <c r="B200" s="138" t="s">
        <v>617</v>
      </c>
      <c r="C200" s="139" t="s">
        <v>25</v>
      </c>
      <c r="D200" s="139" t="s">
        <v>2316</v>
      </c>
      <c r="E200" s="139" t="s">
        <v>2770</v>
      </c>
      <c r="F200" s="139" t="s">
        <v>1949</v>
      </c>
      <c r="G200" s="140">
        <v>0.95</v>
      </c>
      <c r="H200" s="141" t="s">
        <v>2771</v>
      </c>
      <c r="I200" s="140">
        <v>0.95</v>
      </c>
      <c r="J200" s="141" t="s">
        <v>2677</v>
      </c>
      <c r="K200" s="139" t="s">
        <v>1649</v>
      </c>
      <c r="L200" s="139" t="s">
        <v>1952</v>
      </c>
      <c r="M200" s="155"/>
      <c r="N200" s="156"/>
      <c r="O200" s="155"/>
      <c r="P200" s="156"/>
      <c r="Q200" s="154"/>
      <c r="R200" s="154"/>
      <c r="S200" s="155"/>
      <c r="T200" s="156"/>
      <c r="U200" s="155"/>
      <c r="V200" s="156"/>
      <c r="W200" s="154"/>
      <c r="X200" s="154"/>
    </row>
    <row r="201" spans="1:24" x14ac:dyDescent="0.2">
      <c r="A201" s="139" t="s">
        <v>626</v>
      </c>
      <c r="B201" s="138" t="s">
        <v>625</v>
      </c>
      <c r="C201" s="139" t="s">
        <v>25</v>
      </c>
      <c r="D201" s="139" t="s">
        <v>2022</v>
      </c>
      <c r="E201" s="139" t="s">
        <v>2760</v>
      </c>
      <c r="F201" s="139" t="s">
        <v>1949</v>
      </c>
      <c r="G201" s="140">
        <v>1</v>
      </c>
      <c r="H201" s="141" t="s">
        <v>2776</v>
      </c>
      <c r="I201" s="140">
        <v>0.8</v>
      </c>
      <c r="J201" s="141" t="s">
        <v>1612</v>
      </c>
      <c r="K201" s="139" t="s">
        <v>1648</v>
      </c>
      <c r="L201" s="139" t="s">
        <v>1952</v>
      </c>
      <c r="M201" s="140">
        <v>0.81720000000000004</v>
      </c>
      <c r="N201" s="141" t="s">
        <v>2777</v>
      </c>
      <c r="O201" s="140">
        <v>0.17</v>
      </c>
      <c r="P201" s="141" t="s">
        <v>2778</v>
      </c>
      <c r="Q201" s="139" t="s">
        <v>1649</v>
      </c>
      <c r="R201" s="139" t="s">
        <v>2054</v>
      </c>
      <c r="S201" s="140">
        <v>0.13</v>
      </c>
      <c r="T201" s="141" t="s">
        <v>1615</v>
      </c>
      <c r="U201" s="140">
        <v>0</v>
      </c>
      <c r="V201" s="141" t="s">
        <v>1615</v>
      </c>
      <c r="W201" s="139" t="s">
        <v>1649</v>
      </c>
      <c r="X201" s="139" t="s">
        <v>1612</v>
      </c>
    </row>
    <row r="202" spans="1:24" x14ac:dyDescent="0.2">
      <c r="A202" s="139" t="s">
        <v>634</v>
      </c>
      <c r="B202" s="138" t="s">
        <v>633</v>
      </c>
      <c r="C202" s="139" t="s">
        <v>25</v>
      </c>
      <c r="D202" s="139" t="s">
        <v>1979</v>
      </c>
      <c r="E202" s="154" t="s">
        <v>1613</v>
      </c>
      <c r="F202" s="139" t="s">
        <v>890</v>
      </c>
      <c r="G202" s="140">
        <v>0.8</v>
      </c>
      <c r="H202" s="141" t="s">
        <v>2785</v>
      </c>
      <c r="I202" s="140">
        <v>0.8</v>
      </c>
      <c r="J202" s="154" t="s">
        <v>1613</v>
      </c>
      <c r="K202" s="139" t="s">
        <v>1648</v>
      </c>
      <c r="L202" s="154" t="s">
        <v>1613</v>
      </c>
      <c r="M202" s="154" t="s">
        <v>1613</v>
      </c>
      <c r="N202" s="154"/>
      <c r="O202" s="154"/>
      <c r="P202" s="154"/>
      <c r="Q202" s="154"/>
      <c r="R202" s="154"/>
      <c r="S202" s="154"/>
      <c r="T202" s="154"/>
      <c r="U202" s="154"/>
      <c r="V202" s="154"/>
      <c r="W202" s="154"/>
      <c r="X202" s="154"/>
    </row>
    <row r="203" spans="1:24" x14ac:dyDescent="0.2">
      <c r="A203" s="139" t="s">
        <v>650</v>
      </c>
      <c r="B203" s="138" t="s">
        <v>649</v>
      </c>
      <c r="C203" s="139" t="s">
        <v>25</v>
      </c>
      <c r="D203" s="139" t="s">
        <v>1992</v>
      </c>
      <c r="E203" s="139" t="s">
        <v>2800</v>
      </c>
      <c r="F203" s="139" t="s">
        <v>1949</v>
      </c>
      <c r="G203" s="140">
        <v>1.1000000000000001</v>
      </c>
      <c r="H203" s="141" t="s">
        <v>1966</v>
      </c>
      <c r="I203" s="140">
        <v>1.0838000000000001</v>
      </c>
      <c r="J203" s="141" t="s">
        <v>2372</v>
      </c>
      <c r="K203" s="139" t="s">
        <v>1649</v>
      </c>
      <c r="L203" s="139" t="s">
        <v>1952</v>
      </c>
      <c r="M203" s="155"/>
      <c r="N203" s="156"/>
      <c r="O203" s="155"/>
      <c r="P203" s="156"/>
      <c r="Q203" s="154"/>
      <c r="R203" s="154"/>
      <c r="S203" s="155"/>
      <c r="T203" s="156"/>
      <c r="U203" s="155"/>
      <c r="V203" s="156"/>
      <c r="W203" s="154"/>
      <c r="X203" s="154"/>
    </row>
    <row r="204" spans="1:24" x14ac:dyDescent="0.2">
      <c r="A204" s="139" t="s">
        <v>652</v>
      </c>
      <c r="B204" s="138" t="s">
        <v>651</v>
      </c>
      <c r="C204" s="139" t="s">
        <v>25</v>
      </c>
      <c r="D204" s="139" t="s">
        <v>2101</v>
      </c>
      <c r="E204" s="139" t="s">
        <v>2801</v>
      </c>
      <c r="F204" s="139" t="s">
        <v>1949</v>
      </c>
      <c r="G204" s="140">
        <v>0.8</v>
      </c>
      <c r="H204" s="141" t="s">
        <v>2802</v>
      </c>
      <c r="I204" s="140">
        <v>0.72330000000000005</v>
      </c>
      <c r="J204" s="141" t="s">
        <v>2803</v>
      </c>
      <c r="K204" s="139" t="s">
        <v>1648</v>
      </c>
      <c r="L204" s="139" t="s">
        <v>1952</v>
      </c>
      <c r="M204" s="140">
        <v>7.5600000000000001E-2</v>
      </c>
      <c r="N204" s="141" t="s">
        <v>2287</v>
      </c>
      <c r="O204" s="140">
        <v>7.5700000000000003E-2</v>
      </c>
      <c r="P204" s="141" t="s">
        <v>2804</v>
      </c>
      <c r="Q204" s="139" t="s">
        <v>1648</v>
      </c>
      <c r="R204" s="139" t="s">
        <v>1952</v>
      </c>
      <c r="S204" s="154" t="s">
        <v>1613</v>
      </c>
      <c r="T204" s="154"/>
      <c r="U204" s="154"/>
      <c r="V204" s="154"/>
      <c r="W204" s="154"/>
      <c r="X204" s="154"/>
    </row>
    <row r="205" spans="1:24" x14ac:dyDescent="0.2">
      <c r="A205" s="139" t="s">
        <v>660</v>
      </c>
      <c r="B205" s="138" t="s">
        <v>659</v>
      </c>
      <c r="C205" s="139" t="s">
        <v>25</v>
      </c>
      <c r="D205" s="139" t="s">
        <v>1973</v>
      </c>
      <c r="E205" s="139" t="s">
        <v>2813</v>
      </c>
      <c r="F205" s="139" t="s">
        <v>1919</v>
      </c>
      <c r="G205" s="140">
        <v>0.4</v>
      </c>
      <c r="H205" s="141" t="s">
        <v>2100</v>
      </c>
      <c r="I205" s="140">
        <v>0.4</v>
      </c>
      <c r="J205" s="154" t="s">
        <v>1613</v>
      </c>
      <c r="K205" s="139" t="s">
        <v>1648</v>
      </c>
      <c r="L205" s="139" t="s">
        <v>1944</v>
      </c>
      <c r="M205" s="155"/>
      <c r="N205" s="154"/>
      <c r="O205" s="155"/>
      <c r="P205" s="154"/>
      <c r="Q205" s="154"/>
      <c r="R205" s="154"/>
      <c r="S205" s="155"/>
      <c r="T205" s="154"/>
      <c r="U205" s="155"/>
      <c r="V205" s="154"/>
      <c r="W205" s="154"/>
      <c r="X205" s="154"/>
    </row>
    <row r="206" spans="1:24" x14ac:dyDescent="0.2">
      <c r="A206" s="139" t="s">
        <v>666</v>
      </c>
      <c r="B206" s="138" t="s">
        <v>665</v>
      </c>
      <c r="C206" s="139" t="s">
        <v>25</v>
      </c>
      <c r="D206" s="139" t="s">
        <v>1953</v>
      </c>
      <c r="E206" s="139" t="s">
        <v>2821</v>
      </c>
      <c r="F206" s="139" t="s">
        <v>1949</v>
      </c>
      <c r="G206" s="140">
        <v>1</v>
      </c>
      <c r="H206" s="141" t="s">
        <v>2822</v>
      </c>
      <c r="I206" s="140">
        <v>0.97009999999999996</v>
      </c>
      <c r="J206" s="154" t="s">
        <v>1613</v>
      </c>
      <c r="K206" s="139" t="s">
        <v>1648</v>
      </c>
      <c r="L206" s="139" t="s">
        <v>1952</v>
      </c>
      <c r="M206" s="140">
        <v>0.2</v>
      </c>
      <c r="N206" s="141" t="s">
        <v>2823</v>
      </c>
      <c r="O206" s="140">
        <v>0.2</v>
      </c>
      <c r="P206" s="141" t="s">
        <v>2824</v>
      </c>
      <c r="Q206" s="139" t="s">
        <v>1649</v>
      </c>
      <c r="R206" s="139" t="s">
        <v>1952</v>
      </c>
      <c r="S206" s="154" t="s">
        <v>1613</v>
      </c>
      <c r="T206" s="154"/>
      <c r="U206" s="154"/>
      <c r="V206" s="154"/>
      <c r="W206" s="154"/>
      <c r="X206" s="154"/>
    </row>
    <row r="207" spans="1:24" x14ac:dyDescent="0.2">
      <c r="A207" s="139" t="s">
        <v>670</v>
      </c>
      <c r="B207" s="138" t="s">
        <v>669</v>
      </c>
      <c r="C207" s="139" t="s">
        <v>25</v>
      </c>
      <c r="D207" s="139" t="s">
        <v>2002</v>
      </c>
      <c r="E207" s="139" t="s">
        <v>2827</v>
      </c>
      <c r="F207" s="139" t="s">
        <v>1949</v>
      </c>
      <c r="G207" s="140">
        <v>1.0058</v>
      </c>
      <c r="H207" s="141" t="s">
        <v>2828</v>
      </c>
      <c r="I207" s="140">
        <v>1.0058</v>
      </c>
      <c r="J207" s="141" t="s">
        <v>2829</v>
      </c>
      <c r="K207" s="139" t="s">
        <v>1649</v>
      </c>
      <c r="L207" s="139" t="s">
        <v>1968</v>
      </c>
      <c r="M207" s="140">
        <v>1.0058</v>
      </c>
      <c r="N207" s="141" t="s">
        <v>2067</v>
      </c>
      <c r="O207" s="140">
        <v>1.0058</v>
      </c>
      <c r="P207" s="141" t="s">
        <v>2830</v>
      </c>
      <c r="Q207" s="139" t="s">
        <v>1649</v>
      </c>
      <c r="R207" s="139" t="s">
        <v>1952</v>
      </c>
      <c r="S207" s="155"/>
      <c r="T207" s="156"/>
      <c r="U207" s="155"/>
      <c r="V207" s="154"/>
      <c r="W207" s="154"/>
      <c r="X207" s="154"/>
    </row>
    <row r="208" spans="1:24" x14ac:dyDescent="0.2">
      <c r="A208" s="139" t="s">
        <v>676</v>
      </c>
      <c r="B208" s="138" t="s">
        <v>675</v>
      </c>
      <c r="C208" s="139" t="s">
        <v>25</v>
      </c>
      <c r="D208" s="139" t="s">
        <v>1947</v>
      </c>
      <c r="E208" s="139" t="s">
        <v>2837</v>
      </c>
      <c r="F208" s="139" t="s">
        <v>2066</v>
      </c>
      <c r="G208" s="155"/>
      <c r="H208" s="154"/>
      <c r="I208" s="155"/>
      <c r="J208" s="154"/>
      <c r="K208" s="154"/>
      <c r="L208" s="154"/>
      <c r="M208" s="155"/>
      <c r="N208" s="154"/>
      <c r="O208" s="155"/>
      <c r="P208" s="154"/>
      <c r="Q208" s="154"/>
      <c r="R208" s="154"/>
      <c r="S208" s="155"/>
      <c r="T208" s="154"/>
      <c r="U208" s="155"/>
      <c r="V208" s="154"/>
      <c r="W208" s="154"/>
      <c r="X208" s="154"/>
    </row>
    <row r="209" spans="1:24" x14ac:dyDescent="0.2">
      <c r="A209" s="139" t="s">
        <v>682</v>
      </c>
      <c r="B209" s="138" t="s">
        <v>681</v>
      </c>
      <c r="C209" s="139" t="s">
        <v>25</v>
      </c>
      <c r="D209" s="139" t="s">
        <v>2442</v>
      </c>
      <c r="E209" s="139" t="s">
        <v>2844</v>
      </c>
      <c r="F209" s="139" t="s">
        <v>1949</v>
      </c>
      <c r="G209" s="140">
        <v>1.5</v>
      </c>
      <c r="H209" s="141" t="s">
        <v>2845</v>
      </c>
      <c r="I209" s="140">
        <v>1.4419999999999999</v>
      </c>
      <c r="J209" s="154" t="s">
        <v>1613</v>
      </c>
      <c r="K209" s="139" t="s">
        <v>1648</v>
      </c>
      <c r="L209" s="139" t="s">
        <v>1952</v>
      </c>
      <c r="M209" s="154" t="s">
        <v>1613</v>
      </c>
      <c r="N209" s="154"/>
      <c r="O209" s="154"/>
      <c r="P209" s="154"/>
      <c r="Q209" s="154"/>
      <c r="R209" s="154"/>
      <c r="S209" s="154"/>
      <c r="T209" s="154"/>
      <c r="U209" s="154"/>
      <c r="V209" s="154"/>
      <c r="W209" s="154"/>
      <c r="X209" s="154"/>
    </row>
    <row r="210" spans="1:24" x14ac:dyDescent="0.2">
      <c r="A210" s="139" t="s">
        <v>694</v>
      </c>
      <c r="B210" s="138" t="s">
        <v>693</v>
      </c>
      <c r="C210" s="139" t="s">
        <v>25</v>
      </c>
      <c r="D210" s="139" t="s">
        <v>2446</v>
      </c>
      <c r="E210" s="139" t="s">
        <v>2856</v>
      </c>
      <c r="F210" s="139" t="s">
        <v>890</v>
      </c>
      <c r="G210" s="140">
        <v>0.99</v>
      </c>
      <c r="H210" s="141" t="s">
        <v>2857</v>
      </c>
      <c r="I210" s="140">
        <v>0.59</v>
      </c>
      <c r="J210" s="154" t="s">
        <v>1613</v>
      </c>
      <c r="K210" s="139" t="s">
        <v>1648</v>
      </c>
      <c r="L210" s="139" t="s">
        <v>1952</v>
      </c>
      <c r="M210" s="140">
        <v>0.25</v>
      </c>
      <c r="N210" s="141" t="s">
        <v>2858</v>
      </c>
      <c r="O210" s="140">
        <v>0.25</v>
      </c>
      <c r="P210" s="141" t="s">
        <v>2859</v>
      </c>
      <c r="Q210" s="139" t="s">
        <v>1649</v>
      </c>
      <c r="R210" s="139" t="s">
        <v>2860</v>
      </c>
      <c r="S210" s="154" t="s">
        <v>1613</v>
      </c>
      <c r="T210" s="154"/>
      <c r="U210" s="154"/>
      <c r="V210" s="154"/>
      <c r="W210" s="154"/>
      <c r="X210" s="154"/>
    </row>
    <row r="211" spans="1:24" x14ac:dyDescent="0.2">
      <c r="A211" s="139" t="s">
        <v>700</v>
      </c>
      <c r="B211" s="138" t="s">
        <v>699</v>
      </c>
      <c r="C211" s="139" t="s">
        <v>25</v>
      </c>
      <c r="D211" s="139" t="s">
        <v>2155</v>
      </c>
      <c r="E211" s="139" t="s">
        <v>2866</v>
      </c>
      <c r="F211" s="139" t="s">
        <v>1919</v>
      </c>
      <c r="G211" s="140">
        <v>0.25</v>
      </c>
      <c r="H211" s="141" t="s">
        <v>1962</v>
      </c>
      <c r="I211" s="140">
        <v>0.25</v>
      </c>
      <c r="J211" s="141" t="s">
        <v>2867</v>
      </c>
      <c r="K211" s="139" t="s">
        <v>1649</v>
      </c>
      <c r="L211" s="139" t="s">
        <v>1952</v>
      </c>
      <c r="M211" s="155"/>
      <c r="N211" s="154"/>
      <c r="O211" s="155"/>
      <c r="P211" s="154"/>
      <c r="Q211" s="154"/>
      <c r="R211" s="154"/>
      <c r="S211" s="155"/>
      <c r="T211" s="154"/>
      <c r="U211" s="155"/>
      <c r="V211" s="154"/>
      <c r="W211" s="154"/>
      <c r="X211" s="154"/>
    </row>
    <row r="212" spans="1:24" x14ac:dyDescent="0.2">
      <c r="A212" s="139" t="s">
        <v>702</v>
      </c>
      <c r="B212" s="138" t="s">
        <v>701</v>
      </c>
      <c r="C212" s="139" t="s">
        <v>25</v>
      </c>
      <c r="D212" s="139" t="s">
        <v>2606</v>
      </c>
      <c r="E212" s="139" t="s">
        <v>2606</v>
      </c>
      <c r="F212" s="139" t="s">
        <v>890</v>
      </c>
      <c r="G212" s="140">
        <v>0.98919999999999997</v>
      </c>
      <c r="H212" s="141" t="s">
        <v>2868</v>
      </c>
      <c r="I212" s="140">
        <v>0.98919999999999997</v>
      </c>
      <c r="J212" s="141" t="s">
        <v>2417</v>
      </c>
      <c r="K212" s="139" t="s">
        <v>1649</v>
      </c>
      <c r="L212" s="139" t="s">
        <v>1952</v>
      </c>
      <c r="M212" s="155"/>
      <c r="N212" s="154"/>
      <c r="O212" s="155"/>
      <c r="P212" s="154"/>
      <c r="Q212" s="154"/>
      <c r="R212" s="154"/>
      <c r="S212" s="155"/>
      <c r="T212" s="154"/>
      <c r="U212" s="155"/>
      <c r="V212" s="154"/>
      <c r="W212" s="154"/>
      <c r="X212" s="154"/>
    </row>
    <row r="213" spans="1:24" x14ac:dyDescent="0.2">
      <c r="A213" s="139" t="s">
        <v>718</v>
      </c>
      <c r="B213" s="138" t="s">
        <v>717</v>
      </c>
      <c r="C213" s="139" t="s">
        <v>25</v>
      </c>
      <c r="D213" s="139" t="s">
        <v>2435</v>
      </c>
      <c r="E213" s="139" t="s">
        <v>2886</v>
      </c>
      <c r="F213" s="139" t="s">
        <v>1919</v>
      </c>
      <c r="G213" s="140">
        <v>1.7</v>
      </c>
      <c r="H213" s="141" t="s">
        <v>2887</v>
      </c>
      <c r="I213" s="140">
        <v>1.6398999999999999</v>
      </c>
      <c r="J213" s="154" t="s">
        <v>1613</v>
      </c>
      <c r="K213" s="139" t="s">
        <v>1648</v>
      </c>
      <c r="L213" s="139" t="s">
        <v>1952</v>
      </c>
      <c r="M213" s="154" t="s">
        <v>1613</v>
      </c>
      <c r="N213" s="154"/>
      <c r="O213" s="154"/>
      <c r="P213" s="154"/>
      <c r="Q213" s="154"/>
      <c r="R213" s="154"/>
      <c r="S213" s="154"/>
      <c r="T213" s="154"/>
      <c r="U213" s="154"/>
      <c r="V213" s="154"/>
      <c r="W213" s="154"/>
      <c r="X213" s="154"/>
    </row>
    <row r="214" spans="1:24" x14ac:dyDescent="0.2">
      <c r="A214" s="139" t="s">
        <v>722</v>
      </c>
      <c r="B214" s="138" t="s">
        <v>721</v>
      </c>
      <c r="C214" s="139" t="s">
        <v>25</v>
      </c>
      <c r="D214" s="139" t="s">
        <v>2890</v>
      </c>
      <c r="E214" s="139" t="s">
        <v>2604</v>
      </c>
      <c r="F214" s="139" t="s">
        <v>2133</v>
      </c>
      <c r="G214" s="140">
        <v>0.49730000000000002</v>
      </c>
      <c r="H214" s="141" t="s">
        <v>2891</v>
      </c>
      <c r="I214" s="140">
        <v>0.49730000000000002</v>
      </c>
      <c r="J214" s="141" t="s">
        <v>2147</v>
      </c>
      <c r="K214" s="139" t="s">
        <v>1649</v>
      </c>
      <c r="L214" s="139" t="s">
        <v>1952</v>
      </c>
      <c r="M214" s="154" t="s">
        <v>1613</v>
      </c>
      <c r="N214" s="154"/>
      <c r="O214" s="154"/>
      <c r="P214" s="154"/>
      <c r="Q214" s="154"/>
      <c r="R214" s="154"/>
      <c r="S214" s="154"/>
      <c r="T214" s="154"/>
      <c r="U214" s="154"/>
      <c r="V214" s="154"/>
      <c r="W214" s="154"/>
      <c r="X214" s="154"/>
    </row>
    <row r="215" spans="1:24" x14ac:dyDescent="0.2">
      <c r="A215" s="139" t="s">
        <v>724</v>
      </c>
      <c r="B215" s="138" t="s">
        <v>723</v>
      </c>
      <c r="C215" s="139" t="s">
        <v>25</v>
      </c>
      <c r="D215" s="139" t="s">
        <v>2148</v>
      </c>
      <c r="E215" s="139" t="s">
        <v>2892</v>
      </c>
      <c r="F215" s="139" t="s">
        <v>1949</v>
      </c>
      <c r="G215" s="140">
        <v>0.9</v>
      </c>
      <c r="H215" s="141" t="s">
        <v>2399</v>
      </c>
      <c r="I215" s="140">
        <v>0.9</v>
      </c>
      <c r="J215" s="141" t="s">
        <v>2399</v>
      </c>
      <c r="K215" s="139" t="s">
        <v>1648</v>
      </c>
      <c r="L215" s="139" t="s">
        <v>1952</v>
      </c>
      <c r="M215" s="140">
        <v>0.4</v>
      </c>
      <c r="N215" s="141" t="s">
        <v>2893</v>
      </c>
      <c r="O215" s="140">
        <v>0.38740000000000002</v>
      </c>
      <c r="P215" s="141" t="s">
        <v>1991</v>
      </c>
      <c r="Q215" s="139" t="s">
        <v>1648</v>
      </c>
      <c r="R215" s="139" t="s">
        <v>1990</v>
      </c>
      <c r="S215" s="140">
        <v>0.42</v>
      </c>
      <c r="T215" s="141" t="s">
        <v>2893</v>
      </c>
      <c r="U215" s="140">
        <v>0.42</v>
      </c>
      <c r="V215" s="141" t="s">
        <v>2894</v>
      </c>
      <c r="W215" s="139" t="s">
        <v>1649</v>
      </c>
      <c r="X215" s="139" t="s">
        <v>2054</v>
      </c>
    </row>
    <row r="216" spans="1:24" x14ac:dyDescent="0.2">
      <c r="A216" s="139" t="s">
        <v>734</v>
      </c>
      <c r="B216" s="138" t="s">
        <v>733</v>
      </c>
      <c r="C216" s="139" t="s">
        <v>25</v>
      </c>
      <c r="D216" s="139" t="s">
        <v>1984</v>
      </c>
      <c r="E216" s="139" t="s">
        <v>2903</v>
      </c>
      <c r="F216" s="139" t="s">
        <v>890</v>
      </c>
      <c r="G216" s="140">
        <v>0.5</v>
      </c>
      <c r="H216" s="141" t="s">
        <v>2272</v>
      </c>
      <c r="I216" s="140">
        <v>0.49940000000000001</v>
      </c>
      <c r="J216" s="141" t="s">
        <v>2904</v>
      </c>
      <c r="K216" s="139" t="s">
        <v>1649</v>
      </c>
      <c r="L216" s="139" t="s">
        <v>1952</v>
      </c>
      <c r="M216" s="154" t="s">
        <v>1613</v>
      </c>
      <c r="N216" s="154"/>
      <c r="O216" s="154"/>
      <c r="P216" s="154"/>
      <c r="Q216" s="154"/>
      <c r="R216" s="154"/>
      <c r="S216" s="154"/>
      <c r="T216" s="154"/>
      <c r="U216" s="154"/>
      <c r="V216" s="154"/>
      <c r="W216" s="154"/>
      <c r="X216" s="154"/>
    </row>
    <row r="217" spans="1:24" x14ac:dyDescent="0.2">
      <c r="A217" s="139" t="s">
        <v>738</v>
      </c>
      <c r="B217" s="138" t="s">
        <v>737</v>
      </c>
      <c r="C217" s="139" t="s">
        <v>25</v>
      </c>
      <c r="D217" s="139" t="s">
        <v>2101</v>
      </c>
      <c r="E217" s="139" t="s">
        <v>2906</v>
      </c>
      <c r="F217" s="139" t="s">
        <v>1919</v>
      </c>
      <c r="G217" s="140">
        <v>0.4</v>
      </c>
      <c r="H217" s="141" t="s">
        <v>2907</v>
      </c>
      <c r="I217" s="140">
        <v>0.04</v>
      </c>
      <c r="J217" s="141" t="s">
        <v>2908</v>
      </c>
      <c r="K217" s="139" t="s">
        <v>1649</v>
      </c>
      <c r="L217" s="139" t="s">
        <v>1990</v>
      </c>
      <c r="M217" s="140">
        <v>0.4</v>
      </c>
      <c r="N217" s="141" t="s">
        <v>2909</v>
      </c>
      <c r="O217" s="140">
        <v>0.4</v>
      </c>
      <c r="P217" s="141" t="s">
        <v>2910</v>
      </c>
      <c r="Q217" s="139" t="s">
        <v>1649</v>
      </c>
      <c r="R217" s="139" t="s">
        <v>1990</v>
      </c>
      <c r="S217" s="154" t="s">
        <v>1613</v>
      </c>
      <c r="T217" s="154"/>
      <c r="U217" s="154"/>
      <c r="V217" s="154"/>
      <c r="W217" s="154"/>
      <c r="X217" s="154"/>
    </row>
    <row r="218" spans="1:24" x14ac:dyDescent="0.2">
      <c r="A218" s="139" t="s">
        <v>740</v>
      </c>
      <c r="B218" s="138" t="s">
        <v>739</v>
      </c>
      <c r="C218" s="139" t="s">
        <v>25</v>
      </c>
      <c r="D218" s="139" t="s">
        <v>1984</v>
      </c>
      <c r="E218" s="139" t="s">
        <v>2911</v>
      </c>
      <c r="F218" s="139" t="s">
        <v>890</v>
      </c>
      <c r="G218" s="140">
        <v>0.5</v>
      </c>
      <c r="H218" s="141" t="s">
        <v>2269</v>
      </c>
      <c r="I218" s="140">
        <v>0.5</v>
      </c>
      <c r="J218" s="141" t="s">
        <v>2539</v>
      </c>
      <c r="K218" s="139" t="s">
        <v>1649</v>
      </c>
      <c r="L218" s="139" t="s">
        <v>1952</v>
      </c>
      <c r="M218" s="154" t="s">
        <v>1613</v>
      </c>
      <c r="N218" s="154"/>
      <c r="O218" s="154"/>
      <c r="P218" s="154"/>
      <c r="Q218" s="154"/>
      <c r="R218" s="154"/>
      <c r="S218" s="154"/>
      <c r="T218" s="154"/>
      <c r="U218" s="154"/>
      <c r="V218" s="154"/>
      <c r="W218" s="154"/>
      <c r="X218" s="154"/>
    </row>
    <row r="219" spans="1:24" x14ac:dyDescent="0.2">
      <c r="A219" s="139" t="s">
        <v>748</v>
      </c>
      <c r="B219" s="138" t="s">
        <v>747</v>
      </c>
      <c r="C219" s="139" t="s">
        <v>25</v>
      </c>
      <c r="D219" s="139" t="s">
        <v>2148</v>
      </c>
      <c r="E219" s="139" t="s">
        <v>2918</v>
      </c>
      <c r="F219" s="139" t="s">
        <v>1919</v>
      </c>
      <c r="G219" s="140">
        <v>1</v>
      </c>
      <c r="H219" s="141" t="s">
        <v>2919</v>
      </c>
      <c r="I219" s="140">
        <v>0.83509999999999995</v>
      </c>
      <c r="J219" s="141" t="s">
        <v>2920</v>
      </c>
      <c r="K219" s="139" t="s">
        <v>1648</v>
      </c>
      <c r="L219" s="139" t="s">
        <v>1990</v>
      </c>
      <c r="M219" s="140">
        <v>0.9</v>
      </c>
      <c r="N219" s="141" t="s">
        <v>2921</v>
      </c>
      <c r="O219" s="140">
        <v>0.83509999999999995</v>
      </c>
      <c r="P219" s="141" t="s">
        <v>2922</v>
      </c>
      <c r="Q219" s="139" t="s">
        <v>1649</v>
      </c>
      <c r="R219" s="139" t="s">
        <v>1990</v>
      </c>
      <c r="S219" s="154" t="s">
        <v>1613</v>
      </c>
      <c r="T219" s="154"/>
      <c r="U219" s="154"/>
      <c r="V219" s="154"/>
      <c r="W219" s="154"/>
      <c r="X219" s="154"/>
    </row>
    <row r="220" spans="1:24" x14ac:dyDescent="0.2">
      <c r="A220" s="139" t="s">
        <v>776</v>
      </c>
      <c r="B220" s="138" t="s">
        <v>775</v>
      </c>
      <c r="C220" s="139" t="s">
        <v>25</v>
      </c>
      <c r="D220" s="139" t="s">
        <v>2034</v>
      </c>
      <c r="E220" s="139" t="s">
        <v>2950</v>
      </c>
      <c r="F220" s="139" t="s">
        <v>2133</v>
      </c>
      <c r="G220" s="155"/>
      <c r="H220" s="156"/>
      <c r="I220" s="155"/>
      <c r="J220" s="156"/>
      <c r="K220" s="154"/>
      <c r="L220" s="154"/>
      <c r="M220" s="154"/>
      <c r="N220" s="154"/>
      <c r="O220" s="154"/>
      <c r="P220" s="154"/>
      <c r="Q220" s="154"/>
      <c r="R220" s="154"/>
      <c r="S220" s="154"/>
      <c r="T220" s="154"/>
      <c r="U220" s="154"/>
      <c r="V220" s="154"/>
      <c r="W220" s="154"/>
      <c r="X220" s="154"/>
    </row>
    <row r="221" spans="1:24" x14ac:dyDescent="0.2">
      <c r="A221" s="139" t="s">
        <v>790</v>
      </c>
      <c r="B221" s="138" t="s">
        <v>789</v>
      </c>
      <c r="C221" s="139" t="s">
        <v>25</v>
      </c>
      <c r="D221" s="139" t="s">
        <v>2674</v>
      </c>
      <c r="E221" s="139" t="s">
        <v>2964</v>
      </c>
      <c r="F221" s="139" t="s">
        <v>1949</v>
      </c>
      <c r="G221" s="140">
        <v>0.4</v>
      </c>
      <c r="H221" s="141" t="s">
        <v>1966</v>
      </c>
      <c r="I221" s="140">
        <v>0.4</v>
      </c>
      <c r="J221" s="141" t="s">
        <v>2628</v>
      </c>
      <c r="K221" s="139" t="s">
        <v>1649</v>
      </c>
      <c r="L221" s="139" t="s">
        <v>1952</v>
      </c>
      <c r="M221" s="155"/>
      <c r="N221" s="154"/>
      <c r="O221" s="155"/>
      <c r="P221" s="154"/>
      <c r="Q221" s="154"/>
      <c r="R221" s="154"/>
      <c r="S221" s="155"/>
      <c r="T221" s="154"/>
      <c r="U221" s="155"/>
      <c r="V221" s="154"/>
      <c r="W221" s="154"/>
      <c r="X221" s="154"/>
    </row>
    <row r="222" spans="1:24" x14ac:dyDescent="0.2">
      <c r="A222" s="139" t="s">
        <v>792</v>
      </c>
      <c r="B222" s="138" t="s">
        <v>791</v>
      </c>
      <c r="C222" s="139" t="s">
        <v>25</v>
      </c>
      <c r="D222" s="139" t="s">
        <v>2241</v>
      </c>
      <c r="E222" s="139" t="s">
        <v>2965</v>
      </c>
      <c r="F222" s="139" t="s">
        <v>1949</v>
      </c>
      <c r="G222" s="140">
        <v>1.75</v>
      </c>
      <c r="H222" s="141" t="s">
        <v>2966</v>
      </c>
      <c r="I222" s="140">
        <v>1.75</v>
      </c>
      <c r="J222" s="141" t="s">
        <v>2967</v>
      </c>
      <c r="K222" s="139" t="s">
        <v>1649</v>
      </c>
      <c r="L222" s="139" t="s">
        <v>1990</v>
      </c>
      <c r="M222" s="155"/>
      <c r="N222" s="154"/>
      <c r="O222" s="155"/>
      <c r="P222" s="154"/>
      <c r="Q222" s="154"/>
      <c r="R222" s="154"/>
      <c r="S222" s="155"/>
      <c r="T222" s="154"/>
      <c r="U222" s="155"/>
      <c r="V222" s="154"/>
      <c r="W222" s="154"/>
      <c r="X222" s="154"/>
    </row>
    <row r="223" spans="1:24" x14ac:dyDescent="0.2">
      <c r="A223" s="139" t="s">
        <v>796</v>
      </c>
      <c r="B223" s="138" t="s">
        <v>795</v>
      </c>
      <c r="C223" s="139" t="s">
        <v>25</v>
      </c>
      <c r="D223" s="139" t="s">
        <v>2237</v>
      </c>
      <c r="E223" s="154" t="s">
        <v>1613</v>
      </c>
      <c r="F223" s="139" t="s">
        <v>1949</v>
      </c>
      <c r="G223" s="140">
        <v>1.2634000000000001</v>
      </c>
      <c r="H223" s="141" t="s">
        <v>2973</v>
      </c>
      <c r="I223" s="140">
        <v>1.2768999999999999</v>
      </c>
      <c r="J223" s="154" t="s">
        <v>1613</v>
      </c>
      <c r="K223" s="139" t="s">
        <v>1648</v>
      </c>
      <c r="L223" s="139" t="s">
        <v>1990</v>
      </c>
      <c r="M223" s="155"/>
      <c r="N223" s="156"/>
      <c r="O223" s="155"/>
      <c r="P223" s="156"/>
      <c r="Q223" s="154"/>
      <c r="R223" s="154"/>
      <c r="S223" s="155"/>
      <c r="T223" s="156"/>
      <c r="U223" s="155"/>
      <c r="V223" s="156"/>
      <c r="W223" s="154"/>
      <c r="X223" s="154"/>
    </row>
    <row r="224" spans="1:24" x14ac:dyDescent="0.2">
      <c r="A224" s="139" t="s">
        <v>798</v>
      </c>
      <c r="B224" s="138" t="s">
        <v>797</v>
      </c>
      <c r="C224" s="139" t="s">
        <v>25</v>
      </c>
      <c r="D224" s="139" t="s">
        <v>2367</v>
      </c>
      <c r="E224" s="139" t="s">
        <v>2974</v>
      </c>
      <c r="F224" s="139" t="s">
        <v>1949</v>
      </c>
      <c r="G224" s="140">
        <v>0.7</v>
      </c>
      <c r="H224" s="141" t="s">
        <v>2975</v>
      </c>
      <c r="I224" s="140">
        <v>0.67969999999999997</v>
      </c>
      <c r="J224" s="141" t="s">
        <v>2009</v>
      </c>
      <c r="K224" s="139" t="s">
        <v>1648</v>
      </c>
      <c r="L224" s="139" t="s">
        <v>1952</v>
      </c>
      <c r="M224" s="140">
        <v>0.25</v>
      </c>
      <c r="N224" s="141" t="s">
        <v>2437</v>
      </c>
      <c r="O224" s="140">
        <v>0.25</v>
      </c>
      <c r="P224" s="141" t="s">
        <v>2976</v>
      </c>
      <c r="Q224" s="139" t="s">
        <v>1649</v>
      </c>
      <c r="R224" s="139" t="s">
        <v>1952</v>
      </c>
      <c r="S224" s="154" t="s">
        <v>1613</v>
      </c>
      <c r="T224" s="154"/>
      <c r="U224" s="154"/>
      <c r="V224" s="154"/>
      <c r="W224" s="154"/>
      <c r="X224" s="154"/>
    </row>
    <row r="225" spans="1:24" x14ac:dyDescent="0.2">
      <c r="A225" s="139" t="s">
        <v>804</v>
      </c>
      <c r="B225" s="138" t="s">
        <v>803</v>
      </c>
      <c r="C225" s="139" t="s">
        <v>25</v>
      </c>
      <c r="D225" s="139" t="s">
        <v>2148</v>
      </c>
      <c r="E225" s="139" t="s">
        <v>2983</v>
      </c>
      <c r="F225" s="139" t="s">
        <v>1949</v>
      </c>
      <c r="G225" s="140">
        <v>0.9</v>
      </c>
      <c r="H225" s="141" t="s">
        <v>2984</v>
      </c>
      <c r="I225" s="140">
        <v>0.9</v>
      </c>
      <c r="J225" s="141" t="s">
        <v>2985</v>
      </c>
      <c r="K225" s="139" t="s">
        <v>1649</v>
      </c>
      <c r="L225" s="139" t="s">
        <v>1952</v>
      </c>
      <c r="M225" s="155"/>
      <c r="N225" s="154"/>
      <c r="O225" s="155"/>
      <c r="P225" s="154"/>
      <c r="Q225" s="154"/>
      <c r="R225" s="154"/>
      <c r="S225" s="155"/>
      <c r="T225" s="154"/>
      <c r="U225" s="154"/>
      <c r="V225" s="154"/>
      <c r="W225" s="154"/>
      <c r="X225" s="154"/>
    </row>
    <row r="226" spans="1:24" x14ac:dyDescent="0.2">
      <c r="A226" s="143" t="s">
        <v>19</v>
      </c>
      <c r="B226" s="142" t="s">
        <v>18</v>
      </c>
      <c r="C226" s="143" t="s">
        <v>22</v>
      </c>
      <c r="D226" s="143" t="s">
        <v>1947</v>
      </c>
      <c r="E226" s="143" t="s">
        <v>1948</v>
      </c>
      <c r="F226" s="143" t="s">
        <v>1949</v>
      </c>
      <c r="G226" s="144">
        <v>2.5</v>
      </c>
      <c r="H226" s="145" t="s">
        <v>1950</v>
      </c>
      <c r="I226" s="144">
        <v>2.5</v>
      </c>
      <c r="J226" s="145" t="s">
        <v>1951</v>
      </c>
      <c r="K226" s="143" t="s">
        <v>1649</v>
      </c>
      <c r="L226" s="143" t="s">
        <v>1952</v>
      </c>
      <c r="M226" s="154" t="s">
        <v>1613</v>
      </c>
      <c r="N226" s="154"/>
      <c r="O226" s="154"/>
      <c r="P226" s="154"/>
      <c r="Q226" s="154"/>
      <c r="R226" s="154"/>
      <c r="S226" s="154"/>
      <c r="T226" s="154"/>
      <c r="U226" s="154"/>
      <c r="V226" s="154"/>
      <c r="W226" s="154"/>
      <c r="X226" s="154"/>
    </row>
    <row r="227" spans="1:24" x14ac:dyDescent="0.2">
      <c r="A227" s="143" t="s">
        <v>36</v>
      </c>
      <c r="B227" s="142" t="s">
        <v>35</v>
      </c>
      <c r="C227" s="143" t="s">
        <v>22</v>
      </c>
      <c r="D227" s="143" t="s">
        <v>1973</v>
      </c>
      <c r="E227" s="143" t="s">
        <v>1974</v>
      </c>
      <c r="F227" s="143" t="s">
        <v>1949</v>
      </c>
      <c r="G227" s="144">
        <v>0.8488</v>
      </c>
      <c r="H227" s="145" t="s">
        <v>1975</v>
      </c>
      <c r="I227" s="144">
        <v>0.8488</v>
      </c>
      <c r="J227" s="145" t="s">
        <v>1976</v>
      </c>
      <c r="K227" s="143" t="s">
        <v>1649</v>
      </c>
      <c r="L227" s="143" t="s">
        <v>1952</v>
      </c>
      <c r="M227" s="144">
        <v>0.94869999999999999</v>
      </c>
      <c r="N227" s="145" t="s">
        <v>1977</v>
      </c>
      <c r="O227" s="144">
        <v>0.94869999999999999</v>
      </c>
      <c r="P227" s="145" t="s">
        <v>1978</v>
      </c>
      <c r="Q227" s="143" t="s">
        <v>1649</v>
      </c>
      <c r="R227" s="143" t="s">
        <v>1944</v>
      </c>
      <c r="S227" s="154" t="s">
        <v>1613</v>
      </c>
      <c r="T227" s="154"/>
      <c r="U227" s="154"/>
      <c r="V227" s="154"/>
      <c r="W227" s="154"/>
      <c r="X227" s="154"/>
    </row>
    <row r="228" spans="1:24" x14ac:dyDescent="0.2">
      <c r="A228" s="143" t="s">
        <v>64</v>
      </c>
      <c r="B228" s="142" t="s">
        <v>63</v>
      </c>
      <c r="C228" s="143" t="s">
        <v>22</v>
      </c>
      <c r="D228" s="143" t="s">
        <v>1940</v>
      </c>
      <c r="E228" s="143" t="s">
        <v>2020</v>
      </c>
      <c r="F228" s="143" t="s">
        <v>890</v>
      </c>
      <c r="G228" s="144">
        <v>1</v>
      </c>
      <c r="H228" s="145" t="s">
        <v>2021</v>
      </c>
      <c r="I228" s="144">
        <v>0.70409999999999995</v>
      </c>
      <c r="J228" s="154" t="s">
        <v>1613</v>
      </c>
      <c r="K228" s="143" t="s">
        <v>1648</v>
      </c>
      <c r="L228" s="143" t="s">
        <v>1990</v>
      </c>
      <c r="M228" s="154" t="s">
        <v>1613</v>
      </c>
      <c r="N228" s="154"/>
      <c r="O228" s="154"/>
      <c r="P228" s="154"/>
      <c r="Q228" s="154"/>
      <c r="R228" s="154"/>
      <c r="S228" s="154"/>
      <c r="T228" s="154"/>
      <c r="U228" s="154"/>
      <c r="V228" s="154"/>
      <c r="W228" s="154"/>
      <c r="X228" s="154"/>
    </row>
    <row r="229" spans="1:24" x14ac:dyDescent="0.2">
      <c r="A229" s="143" t="s">
        <v>68</v>
      </c>
      <c r="B229" s="142" t="s">
        <v>67</v>
      </c>
      <c r="C229" s="143" t="s">
        <v>22</v>
      </c>
      <c r="D229" s="143" t="s">
        <v>1979</v>
      </c>
      <c r="E229" s="143" t="s">
        <v>2026</v>
      </c>
      <c r="F229" s="143" t="s">
        <v>1949</v>
      </c>
      <c r="G229" s="144">
        <v>1.6</v>
      </c>
      <c r="H229" s="145" t="s">
        <v>2027</v>
      </c>
      <c r="I229" s="144">
        <v>1.5362</v>
      </c>
      <c r="J229" s="154" t="s">
        <v>1613</v>
      </c>
      <c r="K229" s="143" t="s">
        <v>1648</v>
      </c>
      <c r="L229" s="143" t="s">
        <v>1952</v>
      </c>
      <c r="M229" s="154" t="s">
        <v>1613</v>
      </c>
      <c r="N229" s="154"/>
      <c r="O229" s="154"/>
      <c r="P229" s="154"/>
      <c r="Q229" s="154"/>
      <c r="R229" s="154"/>
      <c r="S229" s="154"/>
      <c r="T229" s="154"/>
      <c r="U229" s="154"/>
      <c r="V229" s="154"/>
      <c r="W229" s="154"/>
      <c r="X229" s="154"/>
    </row>
    <row r="230" spans="1:24" x14ac:dyDescent="0.2">
      <c r="A230" s="143" t="s">
        <v>88</v>
      </c>
      <c r="B230" s="142" t="s">
        <v>87</v>
      </c>
      <c r="C230" s="143" t="s">
        <v>22</v>
      </c>
      <c r="D230" s="143" t="s">
        <v>2057</v>
      </c>
      <c r="E230" s="143" t="s">
        <v>2058</v>
      </c>
      <c r="F230" s="143" t="s">
        <v>890</v>
      </c>
      <c r="G230" s="144">
        <v>2</v>
      </c>
      <c r="H230" s="145" t="s">
        <v>2059</v>
      </c>
      <c r="I230" s="144">
        <v>2</v>
      </c>
      <c r="J230" s="145" t="s">
        <v>2060</v>
      </c>
      <c r="K230" s="143" t="s">
        <v>1649</v>
      </c>
      <c r="L230" s="143" t="s">
        <v>1952</v>
      </c>
      <c r="M230" s="144">
        <v>1</v>
      </c>
      <c r="N230" s="145" t="s">
        <v>2061</v>
      </c>
      <c r="O230" s="144">
        <v>0</v>
      </c>
      <c r="P230" s="154" t="s">
        <v>1613</v>
      </c>
      <c r="Q230" s="143" t="s">
        <v>1648</v>
      </c>
      <c r="R230" s="143" t="s">
        <v>1952</v>
      </c>
      <c r="S230" s="155"/>
      <c r="T230" s="154"/>
      <c r="U230" s="155"/>
      <c r="V230" s="154"/>
      <c r="W230" s="154"/>
      <c r="X230" s="154"/>
    </row>
    <row r="231" spans="1:24" x14ac:dyDescent="0.2">
      <c r="A231" s="143" t="s">
        <v>94</v>
      </c>
      <c r="B231" s="142" t="s">
        <v>93</v>
      </c>
      <c r="C231" s="143" t="s">
        <v>22</v>
      </c>
      <c r="D231" s="143" t="s">
        <v>1940</v>
      </c>
      <c r="E231" s="143" t="s">
        <v>2069</v>
      </c>
      <c r="F231" s="143" t="s">
        <v>890</v>
      </c>
      <c r="G231" s="155"/>
      <c r="H231" s="154"/>
      <c r="I231" s="155"/>
      <c r="J231" s="154"/>
      <c r="K231" s="154"/>
      <c r="L231" s="154"/>
      <c r="M231" s="155"/>
      <c r="N231" s="154"/>
      <c r="O231" s="155"/>
      <c r="P231" s="154"/>
      <c r="Q231" s="154"/>
      <c r="R231" s="154"/>
      <c r="S231" s="155"/>
      <c r="T231" s="154"/>
      <c r="U231" s="155"/>
      <c r="V231" s="154"/>
      <c r="W231" s="154"/>
      <c r="X231" s="154"/>
    </row>
    <row r="232" spans="1:24" x14ac:dyDescent="0.2">
      <c r="A232" s="143" t="s">
        <v>104</v>
      </c>
      <c r="B232" s="142" t="s">
        <v>103</v>
      </c>
      <c r="C232" s="143" t="s">
        <v>22</v>
      </c>
      <c r="D232" s="143" t="s">
        <v>2034</v>
      </c>
      <c r="E232" s="154" t="s">
        <v>1613</v>
      </c>
      <c r="F232" s="143" t="s">
        <v>890</v>
      </c>
      <c r="G232" s="155"/>
      <c r="H232" s="156"/>
      <c r="I232" s="155"/>
      <c r="J232" s="156"/>
      <c r="K232" s="154"/>
      <c r="L232" s="154"/>
      <c r="M232" s="155"/>
      <c r="N232" s="156"/>
      <c r="O232" s="155"/>
      <c r="P232" s="156"/>
      <c r="Q232" s="154"/>
      <c r="R232" s="154"/>
      <c r="S232" s="155"/>
      <c r="T232" s="156"/>
      <c r="U232" s="155"/>
      <c r="V232" s="156"/>
      <c r="W232" s="154"/>
      <c r="X232" s="154"/>
    </row>
    <row r="233" spans="1:24" x14ac:dyDescent="0.2">
      <c r="A233" s="143" t="s">
        <v>116</v>
      </c>
      <c r="B233" s="142" t="s">
        <v>115</v>
      </c>
      <c r="C233" s="143" t="s">
        <v>22</v>
      </c>
      <c r="D233" s="143" t="s">
        <v>1940</v>
      </c>
      <c r="E233" s="143" t="s">
        <v>2096</v>
      </c>
      <c r="F233" s="143" t="s">
        <v>1919</v>
      </c>
      <c r="G233" s="144">
        <v>1</v>
      </c>
      <c r="H233" s="145" t="s">
        <v>2097</v>
      </c>
      <c r="I233" s="144">
        <v>0.70779999999999998</v>
      </c>
      <c r="J233" s="154" t="s">
        <v>1613</v>
      </c>
      <c r="K233" s="143" t="s">
        <v>1648</v>
      </c>
      <c r="L233" s="143" t="s">
        <v>1952</v>
      </c>
      <c r="M233" s="144">
        <v>1</v>
      </c>
      <c r="N233" s="145" t="s">
        <v>2098</v>
      </c>
      <c r="O233" s="144">
        <v>0.15040000000000001</v>
      </c>
      <c r="P233" s="145" t="s">
        <v>2099</v>
      </c>
      <c r="Q233" s="143" t="s">
        <v>1648</v>
      </c>
      <c r="R233" s="143" t="s">
        <v>1952</v>
      </c>
      <c r="S233" s="144">
        <v>1</v>
      </c>
      <c r="T233" s="145" t="s">
        <v>2100</v>
      </c>
      <c r="U233" s="144">
        <v>0.88719999999999999</v>
      </c>
      <c r="V233" s="154" t="s">
        <v>1613</v>
      </c>
      <c r="W233" s="143" t="s">
        <v>1648</v>
      </c>
      <c r="X233" s="143" t="s">
        <v>1952</v>
      </c>
    </row>
    <row r="234" spans="1:24" x14ac:dyDescent="0.2">
      <c r="A234" s="143" t="s">
        <v>118</v>
      </c>
      <c r="B234" s="142" t="s">
        <v>117</v>
      </c>
      <c r="C234" s="143" t="s">
        <v>22</v>
      </c>
      <c r="D234" s="143" t="s">
        <v>2101</v>
      </c>
      <c r="E234" s="143" t="s">
        <v>2102</v>
      </c>
      <c r="F234" s="143" t="s">
        <v>1919</v>
      </c>
      <c r="G234" s="144">
        <v>1.5</v>
      </c>
      <c r="H234" s="145" t="s">
        <v>2103</v>
      </c>
      <c r="I234" s="144">
        <v>1.5</v>
      </c>
      <c r="J234" s="145" t="s">
        <v>2104</v>
      </c>
      <c r="K234" s="143" t="s">
        <v>1649</v>
      </c>
      <c r="L234" s="143" t="s">
        <v>1952</v>
      </c>
      <c r="M234" s="154" t="s">
        <v>1613</v>
      </c>
      <c r="N234" s="154"/>
      <c r="O234" s="154"/>
      <c r="P234" s="154"/>
      <c r="Q234" s="154"/>
      <c r="R234" s="154"/>
      <c r="S234" s="154"/>
      <c r="T234" s="154"/>
      <c r="U234" s="154"/>
      <c r="V234" s="154"/>
      <c r="W234" s="154"/>
      <c r="X234" s="154"/>
    </row>
    <row r="235" spans="1:24" x14ac:dyDescent="0.2">
      <c r="A235" s="143" t="s">
        <v>122</v>
      </c>
      <c r="B235" s="142" t="s">
        <v>121</v>
      </c>
      <c r="C235" s="143" t="s">
        <v>22</v>
      </c>
      <c r="D235" s="143" t="s">
        <v>2037</v>
      </c>
      <c r="E235" s="143" t="s">
        <v>2107</v>
      </c>
      <c r="F235" s="143" t="s">
        <v>1949</v>
      </c>
      <c r="G235" s="144">
        <v>0.74760000000000004</v>
      </c>
      <c r="H235" s="145" t="s">
        <v>2108</v>
      </c>
      <c r="I235" s="144">
        <v>0.74760000000000004</v>
      </c>
      <c r="J235" s="145" t="s">
        <v>2109</v>
      </c>
      <c r="K235" s="143" t="s">
        <v>1649</v>
      </c>
      <c r="L235" s="143" t="s">
        <v>1952</v>
      </c>
      <c r="M235" s="154" t="s">
        <v>1613</v>
      </c>
      <c r="N235" s="154"/>
      <c r="O235" s="154"/>
      <c r="P235" s="154"/>
      <c r="Q235" s="154"/>
      <c r="R235" s="154"/>
      <c r="S235" s="154"/>
      <c r="T235" s="154"/>
      <c r="U235" s="154"/>
      <c r="V235" s="154"/>
      <c r="W235" s="154"/>
      <c r="X235" s="154"/>
    </row>
    <row r="236" spans="1:24" x14ac:dyDescent="0.2">
      <c r="A236" s="143" t="s">
        <v>158</v>
      </c>
      <c r="B236" s="142" t="s">
        <v>157</v>
      </c>
      <c r="C236" s="143" t="s">
        <v>22</v>
      </c>
      <c r="D236" s="143" t="s">
        <v>1973</v>
      </c>
      <c r="E236" s="143" t="s">
        <v>2162</v>
      </c>
      <c r="F236" s="143" t="s">
        <v>1949</v>
      </c>
      <c r="G236" s="144">
        <v>1</v>
      </c>
      <c r="H236" s="145" t="s">
        <v>2163</v>
      </c>
      <c r="I236" s="144">
        <v>0.91590000000000005</v>
      </c>
      <c r="J236" s="145" t="s">
        <v>2163</v>
      </c>
      <c r="K236" s="143" t="s">
        <v>1648</v>
      </c>
      <c r="L236" s="143" t="s">
        <v>1952</v>
      </c>
      <c r="M236" s="144">
        <v>0.6</v>
      </c>
      <c r="N236" s="145" t="s">
        <v>2094</v>
      </c>
      <c r="O236" s="144">
        <v>0.59889999999999999</v>
      </c>
      <c r="P236" s="145" t="s">
        <v>2164</v>
      </c>
      <c r="Q236" s="143" t="s">
        <v>1649</v>
      </c>
      <c r="R236" s="143" t="s">
        <v>1952</v>
      </c>
      <c r="S236" s="144">
        <v>0.85</v>
      </c>
      <c r="T236" s="145" t="s">
        <v>2165</v>
      </c>
      <c r="U236" s="144">
        <v>0.85</v>
      </c>
      <c r="V236" s="145" t="s">
        <v>2166</v>
      </c>
      <c r="W236" s="143" t="s">
        <v>1649</v>
      </c>
      <c r="X236" s="143" t="s">
        <v>2054</v>
      </c>
    </row>
    <row r="237" spans="1:24" x14ac:dyDescent="0.2">
      <c r="A237" s="143" t="s">
        <v>162</v>
      </c>
      <c r="B237" s="142" t="s">
        <v>161</v>
      </c>
      <c r="C237" s="143" t="s">
        <v>22</v>
      </c>
      <c r="D237" s="143" t="s">
        <v>2055</v>
      </c>
      <c r="E237" s="143" t="s">
        <v>2172</v>
      </c>
      <c r="F237" s="143" t="s">
        <v>1949</v>
      </c>
      <c r="G237" s="144">
        <v>1.4</v>
      </c>
      <c r="H237" s="145" t="s">
        <v>2173</v>
      </c>
      <c r="I237" s="144">
        <v>1.4</v>
      </c>
      <c r="J237" s="145" t="s">
        <v>2174</v>
      </c>
      <c r="K237" s="143" t="s">
        <v>1649</v>
      </c>
      <c r="L237" s="143" t="s">
        <v>1952</v>
      </c>
      <c r="M237" s="154" t="s">
        <v>1613</v>
      </c>
      <c r="N237" s="156"/>
      <c r="O237" s="154"/>
      <c r="P237" s="156"/>
      <c r="Q237" s="154"/>
      <c r="R237" s="154"/>
      <c r="S237" s="154"/>
      <c r="T237" s="154"/>
      <c r="U237" s="154"/>
      <c r="V237" s="154"/>
      <c r="W237" s="154"/>
      <c r="X237" s="154"/>
    </row>
    <row r="238" spans="1:24" x14ac:dyDescent="0.2">
      <c r="A238" s="143" t="s">
        <v>166</v>
      </c>
      <c r="B238" s="142" t="s">
        <v>165</v>
      </c>
      <c r="C238" s="143" t="s">
        <v>22</v>
      </c>
      <c r="D238" s="143" t="s">
        <v>2178</v>
      </c>
      <c r="E238" s="143" t="s">
        <v>2179</v>
      </c>
      <c r="F238" s="143" t="s">
        <v>1949</v>
      </c>
      <c r="G238" s="144">
        <v>0.75</v>
      </c>
      <c r="H238" s="145" t="s">
        <v>2180</v>
      </c>
      <c r="I238" s="144">
        <v>0.64400000000000002</v>
      </c>
      <c r="J238" s="154" t="s">
        <v>1613</v>
      </c>
      <c r="K238" s="143" t="s">
        <v>1648</v>
      </c>
      <c r="L238" s="143" t="s">
        <v>1952</v>
      </c>
      <c r="M238" s="144">
        <v>0.377</v>
      </c>
      <c r="N238" s="145" t="s">
        <v>2181</v>
      </c>
      <c r="O238" s="144">
        <v>0.377</v>
      </c>
      <c r="P238" s="145" t="s">
        <v>2182</v>
      </c>
      <c r="Q238" s="143" t="s">
        <v>1649</v>
      </c>
      <c r="R238" s="143" t="s">
        <v>2054</v>
      </c>
      <c r="S238" s="144">
        <v>0.10249999999999999</v>
      </c>
      <c r="T238" s="145" t="s">
        <v>2183</v>
      </c>
      <c r="U238" s="144">
        <v>0.1019</v>
      </c>
      <c r="V238" s="154" t="s">
        <v>1613</v>
      </c>
      <c r="W238" s="143" t="s">
        <v>1648</v>
      </c>
      <c r="X238" s="143" t="s">
        <v>1952</v>
      </c>
    </row>
    <row r="239" spans="1:24" x14ac:dyDescent="0.2">
      <c r="A239" s="143" t="s">
        <v>168</v>
      </c>
      <c r="B239" s="142" t="s">
        <v>167</v>
      </c>
      <c r="C239" s="143" t="s">
        <v>22</v>
      </c>
      <c r="D239" s="143" t="s">
        <v>2006</v>
      </c>
      <c r="E239" s="154" t="s">
        <v>1613</v>
      </c>
      <c r="F239" s="143" t="s">
        <v>1949</v>
      </c>
      <c r="G239" s="144">
        <v>1.9231</v>
      </c>
      <c r="H239" s="145" t="s">
        <v>2184</v>
      </c>
      <c r="I239" s="144">
        <v>1.9144000000000001</v>
      </c>
      <c r="J239" s="145" t="s">
        <v>2185</v>
      </c>
      <c r="K239" s="143" t="s">
        <v>1649</v>
      </c>
      <c r="L239" s="143" t="s">
        <v>1952</v>
      </c>
      <c r="M239" s="144">
        <v>0.6</v>
      </c>
      <c r="N239" s="145" t="s">
        <v>2186</v>
      </c>
      <c r="O239" s="144">
        <v>0.6</v>
      </c>
      <c r="P239" s="145" t="s">
        <v>2187</v>
      </c>
      <c r="Q239" s="143" t="s">
        <v>1649</v>
      </c>
      <c r="R239" s="143" t="s">
        <v>2054</v>
      </c>
      <c r="S239" s="154" t="s">
        <v>1613</v>
      </c>
      <c r="T239" s="154"/>
      <c r="U239" s="154"/>
      <c r="V239" s="154"/>
      <c r="W239" s="154"/>
      <c r="X239" s="154"/>
    </row>
    <row r="240" spans="1:24" x14ac:dyDescent="0.2">
      <c r="A240" s="143" t="s">
        <v>182</v>
      </c>
      <c r="B240" s="142" t="s">
        <v>181</v>
      </c>
      <c r="C240" s="143" t="s">
        <v>22</v>
      </c>
      <c r="D240" s="143" t="s">
        <v>2057</v>
      </c>
      <c r="E240" s="143" t="s">
        <v>2200</v>
      </c>
      <c r="F240" s="143" t="s">
        <v>1949</v>
      </c>
      <c r="G240" s="144">
        <v>1.45</v>
      </c>
      <c r="H240" s="145" t="s">
        <v>2201</v>
      </c>
      <c r="I240" s="144">
        <v>0.92</v>
      </c>
      <c r="J240" s="145" t="s">
        <v>2202</v>
      </c>
      <c r="K240" s="143" t="s">
        <v>1649</v>
      </c>
      <c r="L240" s="143" t="s">
        <v>2054</v>
      </c>
      <c r="M240" s="144">
        <v>1</v>
      </c>
      <c r="N240" s="145" t="s">
        <v>2201</v>
      </c>
      <c r="O240" s="144">
        <v>0.89659999999999995</v>
      </c>
      <c r="P240" s="145" t="s">
        <v>2202</v>
      </c>
      <c r="Q240" s="143" t="s">
        <v>1649</v>
      </c>
      <c r="R240" s="143" t="s">
        <v>1952</v>
      </c>
      <c r="S240" s="154" t="s">
        <v>1613</v>
      </c>
      <c r="T240" s="154"/>
      <c r="U240" s="154"/>
      <c r="V240" s="154"/>
      <c r="W240" s="154"/>
      <c r="X240" s="154"/>
    </row>
    <row r="241" spans="1:24" x14ac:dyDescent="0.2">
      <c r="A241" s="143" t="s">
        <v>192</v>
      </c>
      <c r="B241" s="142" t="s">
        <v>191</v>
      </c>
      <c r="C241" s="143" t="s">
        <v>22</v>
      </c>
      <c r="D241" s="143" t="s">
        <v>2022</v>
      </c>
      <c r="E241" s="143" t="s">
        <v>2218</v>
      </c>
      <c r="F241" s="143" t="s">
        <v>1919</v>
      </c>
      <c r="G241" s="144">
        <v>1.4854000000000001</v>
      </c>
      <c r="H241" s="145" t="s">
        <v>2219</v>
      </c>
      <c r="I241" s="144">
        <v>1.4854000000000001</v>
      </c>
      <c r="J241" s="154" t="s">
        <v>1613</v>
      </c>
      <c r="K241" s="143" t="s">
        <v>1648</v>
      </c>
      <c r="L241" s="143" t="s">
        <v>1952</v>
      </c>
      <c r="M241" s="155"/>
      <c r="N241" s="154"/>
      <c r="O241" s="155"/>
      <c r="P241" s="154"/>
      <c r="Q241" s="154"/>
      <c r="R241" s="154"/>
      <c r="S241" s="155"/>
      <c r="T241" s="154"/>
      <c r="U241" s="155"/>
      <c r="V241" s="154"/>
      <c r="W241" s="154"/>
      <c r="X241" s="154"/>
    </row>
    <row r="242" spans="1:24" x14ac:dyDescent="0.2">
      <c r="A242" s="143" t="s">
        <v>198</v>
      </c>
      <c r="B242" s="142" t="s">
        <v>197</v>
      </c>
      <c r="C242" s="143" t="s">
        <v>22</v>
      </c>
      <c r="D242" s="143" t="s">
        <v>2229</v>
      </c>
      <c r="E242" s="143" t="s">
        <v>2230</v>
      </c>
      <c r="F242" s="143" t="s">
        <v>894</v>
      </c>
      <c r="G242" s="144">
        <v>0.44579999999999997</v>
      </c>
      <c r="H242" s="145" t="s">
        <v>2103</v>
      </c>
      <c r="I242" s="144">
        <v>0.44579999999999997</v>
      </c>
      <c r="J242" s="145" t="s">
        <v>2231</v>
      </c>
      <c r="K242" s="143" t="s">
        <v>1649</v>
      </c>
      <c r="L242" s="143" t="s">
        <v>1952</v>
      </c>
      <c r="M242" s="144">
        <v>0.48380000000000001</v>
      </c>
      <c r="N242" s="145" t="s">
        <v>2140</v>
      </c>
      <c r="O242" s="144">
        <v>0.35</v>
      </c>
      <c r="P242" s="145" t="s">
        <v>2232</v>
      </c>
      <c r="Q242" s="143" t="s">
        <v>1649</v>
      </c>
      <c r="R242" s="143" t="s">
        <v>2054</v>
      </c>
      <c r="S242" s="155"/>
      <c r="T242" s="154"/>
      <c r="U242" s="155"/>
      <c r="V242" s="154"/>
      <c r="W242" s="154"/>
      <c r="X242" s="154"/>
    </row>
    <row r="243" spans="1:24" x14ac:dyDescent="0.2">
      <c r="A243" s="143" t="s">
        <v>224</v>
      </c>
      <c r="B243" s="142" t="s">
        <v>223</v>
      </c>
      <c r="C243" s="143" t="s">
        <v>22</v>
      </c>
      <c r="D243" s="143" t="s">
        <v>2037</v>
      </c>
      <c r="E243" s="143" t="s">
        <v>2271</v>
      </c>
      <c r="F243" s="143" t="s">
        <v>1949</v>
      </c>
      <c r="G243" s="144">
        <v>0.99980000000000002</v>
      </c>
      <c r="H243" s="145" t="s">
        <v>2272</v>
      </c>
      <c r="I243" s="144">
        <v>0.98180000000000001</v>
      </c>
      <c r="J243" s="145" t="s">
        <v>2273</v>
      </c>
      <c r="K243" s="143" t="s">
        <v>1649</v>
      </c>
      <c r="L243" s="143" t="s">
        <v>1952</v>
      </c>
      <c r="M243" s="155"/>
      <c r="N243" s="154"/>
      <c r="O243" s="155"/>
      <c r="P243" s="154"/>
      <c r="Q243" s="154"/>
      <c r="R243" s="154"/>
      <c r="S243" s="154"/>
      <c r="T243" s="154"/>
      <c r="U243" s="155"/>
      <c r="V243" s="154"/>
      <c r="W243" s="154"/>
      <c r="X243" s="154"/>
    </row>
    <row r="244" spans="1:24" x14ac:dyDescent="0.2">
      <c r="A244" s="143" t="s">
        <v>226</v>
      </c>
      <c r="B244" s="142" t="s">
        <v>225</v>
      </c>
      <c r="C244" s="143" t="s">
        <v>22</v>
      </c>
      <c r="D244" s="143" t="s">
        <v>2006</v>
      </c>
      <c r="E244" s="143" t="s">
        <v>2274</v>
      </c>
      <c r="F244" s="143" t="s">
        <v>1949</v>
      </c>
      <c r="G244" s="144">
        <v>0.5</v>
      </c>
      <c r="H244" s="145" t="s">
        <v>2275</v>
      </c>
      <c r="I244" s="144">
        <v>0.42349999999999999</v>
      </c>
      <c r="J244" s="145" t="s">
        <v>2009</v>
      </c>
      <c r="K244" s="143" t="s">
        <v>1648</v>
      </c>
      <c r="L244" s="143" t="s">
        <v>1952</v>
      </c>
      <c r="M244" s="144">
        <v>0.7</v>
      </c>
      <c r="N244" s="145" t="s">
        <v>2276</v>
      </c>
      <c r="O244" s="144">
        <v>0.67259999999999998</v>
      </c>
      <c r="P244" s="145" t="s">
        <v>2277</v>
      </c>
      <c r="Q244" s="143" t="s">
        <v>1649</v>
      </c>
      <c r="R244" s="143" t="s">
        <v>1952</v>
      </c>
      <c r="S244" s="144">
        <v>0.41</v>
      </c>
      <c r="T244" s="145" t="s">
        <v>2278</v>
      </c>
      <c r="U244" s="144">
        <v>0.41</v>
      </c>
      <c r="V244" s="145" t="s">
        <v>2279</v>
      </c>
      <c r="W244" s="143" t="s">
        <v>1649</v>
      </c>
      <c r="X244" s="143" t="s">
        <v>2054</v>
      </c>
    </row>
    <row r="245" spans="1:24" x14ac:dyDescent="0.2">
      <c r="A245" s="143" t="s">
        <v>234</v>
      </c>
      <c r="B245" s="142" t="s">
        <v>233</v>
      </c>
      <c r="C245" s="143" t="s">
        <v>22</v>
      </c>
      <c r="D245" s="143" t="s">
        <v>2152</v>
      </c>
      <c r="E245" s="143" t="s">
        <v>2285</v>
      </c>
      <c r="F245" s="143" t="s">
        <v>1949</v>
      </c>
      <c r="G245" s="144">
        <v>0.75</v>
      </c>
      <c r="H245" s="145" t="s">
        <v>2286</v>
      </c>
      <c r="I245" s="144">
        <v>0.70689999999999997</v>
      </c>
      <c r="J245" s="154" t="s">
        <v>1613</v>
      </c>
      <c r="K245" s="143" t="s">
        <v>1648</v>
      </c>
      <c r="L245" s="143" t="s">
        <v>1990</v>
      </c>
      <c r="M245" s="144">
        <v>1</v>
      </c>
      <c r="N245" s="145" t="s">
        <v>2287</v>
      </c>
      <c r="O245" s="144">
        <v>1</v>
      </c>
      <c r="P245" s="145" t="s">
        <v>2288</v>
      </c>
      <c r="Q245" s="143" t="s">
        <v>1649</v>
      </c>
      <c r="R245" s="143" t="s">
        <v>1968</v>
      </c>
      <c r="S245" s="155"/>
      <c r="T245" s="154"/>
      <c r="U245" s="155"/>
      <c r="V245" s="154"/>
      <c r="W245" s="154"/>
      <c r="X245" s="154"/>
    </row>
    <row r="246" spans="1:24" x14ac:dyDescent="0.2">
      <c r="A246" s="143" t="s">
        <v>244</v>
      </c>
      <c r="B246" s="142" t="s">
        <v>243</v>
      </c>
      <c r="C246" s="143" t="s">
        <v>22</v>
      </c>
      <c r="D246" s="143" t="s">
        <v>2055</v>
      </c>
      <c r="E246" s="143" t="s">
        <v>2302</v>
      </c>
      <c r="F246" s="143" t="s">
        <v>1949</v>
      </c>
      <c r="G246" s="144">
        <v>1</v>
      </c>
      <c r="H246" s="145" t="s">
        <v>2303</v>
      </c>
      <c r="I246" s="144">
        <v>0.99829999999999997</v>
      </c>
      <c r="J246" s="145" t="s">
        <v>2304</v>
      </c>
      <c r="K246" s="143" t="s">
        <v>1649</v>
      </c>
      <c r="L246" s="143" t="s">
        <v>1952</v>
      </c>
      <c r="M246" s="155"/>
      <c r="N246" s="156"/>
      <c r="O246" s="155"/>
      <c r="P246" s="156"/>
      <c r="Q246" s="154"/>
      <c r="R246" s="154"/>
      <c r="S246" s="155"/>
      <c r="T246" s="156"/>
      <c r="U246" s="155"/>
      <c r="V246" s="156"/>
      <c r="W246" s="154"/>
      <c r="X246" s="154"/>
    </row>
    <row r="247" spans="1:24" x14ac:dyDescent="0.2">
      <c r="A247" s="143" t="s">
        <v>260</v>
      </c>
      <c r="B247" s="142" t="s">
        <v>259</v>
      </c>
      <c r="C247" s="143" t="s">
        <v>22</v>
      </c>
      <c r="D247" s="143" t="s">
        <v>2262</v>
      </c>
      <c r="E247" s="143" t="s">
        <v>2315</v>
      </c>
      <c r="F247" s="143" t="s">
        <v>890</v>
      </c>
      <c r="G247" s="155"/>
      <c r="H247" s="154"/>
      <c r="I247" s="155"/>
      <c r="J247" s="154"/>
      <c r="K247" s="154"/>
      <c r="L247" s="154"/>
      <c r="M247" s="155"/>
      <c r="N247" s="154"/>
      <c r="O247" s="155"/>
      <c r="P247" s="154"/>
      <c r="Q247" s="154"/>
      <c r="R247" s="154"/>
      <c r="S247" s="155"/>
      <c r="T247" s="154"/>
      <c r="U247" s="155"/>
      <c r="V247" s="154"/>
      <c r="W247" s="154"/>
      <c r="X247" s="154"/>
    </row>
    <row r="248" spans="1:24" x14ac:dyDescent="0.2">
      <c r="A248" s="143" t="s">
        <v>268</v>
      </c>
      <c r="B248" s="142" t="s">
        <v>267</v>
      </c>
      <c r="C248" s="143" t="s">
        <v>22</v>
      </c>
      <c r="D248" s="143" t="s">
        <v>1973</v>
      </c>
      <c r="E248" s="143" t="s">
        <v>2329</v>
      </c>
      <c r="F248" s="143" t="s">
        <v>1949</v>
      </c>
      <c r="G248" s="144">
        <v>0.6</v>
      </c>
      <c r="H248" s="145" t="s">
        <v>2330</v>
      </c>
      <c r="I248" s="144">
        <v>0.6</v>
      </c>
      <c r="J248" s="145" t="s">
        <v>2331</v>
      </c>
      <c r="K248" s="143" t="s">
        <v>1649</v>
      </c>
      <c r="L248" s="143" t="s">
        <v>1952</v>
      </c>
      <c r="M248" s="154"/>
      <c r="N248" s="154"/>
      <c r="O248" s="154"/>
      <c r="P248" s="154"/>
      <c r="Q248" s="154"/>
      <c r="R248" s="154"/>
      <c r="S248" s="154"/>
      <c r="T248" s="154"/>
      <c r="U248" s="154"/>
      <c r="V248" s="154"/>
      <c r="W248" s="154"/>
      <c r="X248" s="154"/>
    </row>
    <row r="249" spans="1:24" x14ac:dyDescent="0.2">
      <c r="A249" s="143" t="s">
        <v>270</v>
      </c>
      <c r="B249" s="142" t="s">
        <v>269</v>
      </c>
      <c r="C249" s="143" t="s">
        <v>22</v>
      </c>
      <c r="D249" s="143" t="s">
        <v>1940</v>
      </c>
      <c r="E249" s="143" t="s">
        <v>2332</v>
      </c>
      <c r="F249" s="143" t="s">
        <v>1949</v>
      </c>
      <c r="G249" s="144">
        <v>3.5</v>
      </c>
      <c r="H249" s="145" t="s">
        <v>2004</v>
      </c>
      <c r="I249" s="144">
        <v>3.1</v>
      </c>
      <c r="J249" s="145" t="s">
        <v>2333</v>
      </c>
      <c r="K249" s="143" t="s">
        <v>1649</v>
      </c>
      <c r="L249" s="143" t="s">
        <v>1952</v>
      </c>
      <c r="M249" s="154"/>
      <c r="N249" s="156"/>
      <c r="O249" s="154"/>
      <c r="P249" s="156"/>
      <c r="Q249" s="154"/>
      <c r="R249" s="154"/>
      <c r="S249" s="154"/>
      <c r="T249" s="154"/>
      <c r="U249" s="154"/>
      <c r="V249" s="154"/>
      <c r="W249" s="154"/>
      <c r="X249" s="154"/>
    </row>
    <row r="250" spans="1:24" x14ac:dyDescent="0.2">
      <c r="A250" s="143" t="s">
        <v>274</v>
      </c>
      <c r="B250" s="142" t="s">
        <v>273</v>
      </c>
      <c r="C250" s="143" t="s">
        <v>22</v>
      </c>
      <c r="D250" s="143" t="s">
        <v>2148</v>
      </c>
      <c r="E250" s="154" t="s">
        <v>1613</v>
      </c>
      <c r="F250" s="143" t="s">
        <v>1949</v>
      </c>
      <c r="G250" s="144">
        <v>0.75</v>
      </c>
      <c r="H250" s="145" t="s">
        <v>2336</v>
      </c>
      <c r="I250" s="144">
        <v>0.72540000000000004</v>
      </c>
      <c r="J250" s="145" t="s">
        <v>2337</v>
      </c>
      <c r="K250" s="143" t="s">
        <v>1648</v>
      </c>
      <c r="L250" s="143" t="s">
        <v>1952</v>
      </c>
      <c r="M250" s="144">
        <v>0.5</v>
      </c>
      <c r="N250" s="145" t="s">
        <v>2338</v>
      </c>
      <c r="O250" s="144">
        <v>0.5</v>
      </c>
      <c r="P250" s="145" t="s">
        <v>2177</v>
      </c>
      <c r="Q250" s="143" t="s">
        <v>1649</v>
      </c>
      <c r="R250" s="143" t="s">
        <v>1952</v>
      </c>
      <c r="S250" s="154" t="s">
        <v>1613</v>
      </c>
      <c r="T250" s="156"/>
      <c r="U250" s="154"/>
      <c r="V250" s="156"/>
      <c r="W250" s="154"/>
      <c r="X250" s="154"/>
    </row>
    <row r="251" spans="1:24" x14ac:dyDescent="0.2">
      <c r="A251" s="143" t="s">
        <v>276</v>
      </c>
      <c r="B251" s="142" t="s">
        <v>275</v>
      </c>
      <c r="C251" s="143" t="s">
        <v>22</v>
      </c>
      <c r="D251" s="143" t="s">
        <v>1979</v>
      </c>
      <c r="E251" s="143" t="s">
        <v>2339</v>
      </c>
      <c r="F251" s="143" t="s">
        <v>890</v>
      </c>
      <c r="G251" s="144">
        <v>1</v>
      </c>
      <c r="H251" s="145" t="s">
        <v>2340</v>
      </c>
      <c r="I251" s="144">
        <v>1</v>
      </c>
      <c r="J251" s="154" t="s">
        <v>1613</v>
      </c>
      <c r="K251" s="143" t="s">
        <v>1648</v>
      </c>
      <c r="L251" s="143" t="s">
        <v>1952</v>
      </c>
      <c r="M251" s="144">
        <v>0.5</v>
      </c>
      <c r="N251" s="145" t="s">
        <v>2341</v>
      </c>
      <c r="O251" s="144">
        <v>0</v>
      </c>
      <c r="P251" s="145" t="s">
        <v>2342</v>
      </c>
      <c r="Q251" s="143" t="s">
        <v>1649</v>
      </c>
      <c r="R251" s="143" t="s">
        <v>1952</v>
      </c>
      <c r="S251" s="155"/>
      <c r="T251" s="154"/>
      <c r="U251" s="155"/>
      <c r="V251" s="154"/>
      <c r="W251" s="154"/>
      <c r="X251" s="154"/>
    </row>
    <row r="252" spans="1:24" x14ac:dyDescent="0.2">
      <c r="A252" s="143" t="s">
        <v>282</v>
      </c>
      <c r="B252" s="142" t="s">
        <v>281</v>
      </c>
      <c r="C252" s="143" t="s">
        <v>22</v>
      </c>
      <c r="D252" s="143" t="s">
        <v>2110</v>
      </c>
      <c r="E252" s="143" t="s">
        <v>2352</v>
      </c>
      <c r="F252" s="143" t="s">
        <v>1949</v>
      </c>
      <c r="G252" s="144">
        <v>1</v>
      </c>
      <c r="H252" s="145" t="s">
        <v>2353</v>
      </c>
      <c r="I252" s="144">
        <v>1</v>
      </c>
      <c r="J252" s="145" t="s">
        <v>2354</v>
      </c>
      <c r="K252" s="143" t="s">
        <v>1649</v>
      </c>
      <c r="L252" s="143" t="s">
        <v>1944</v>
      </c>
      <c r="M252" s="144">
        <v>0.5</v>
      </c>
      <c r="N252" s="145" t="s">
        <v>2355</v>
      </c>
      <c r="O252" s="144">
        <v>0</v>
      </c>
      <c r="P252" s="145" t="s">
        <v>1615</v>
      </c>
      <c r="Q252" s="143" t="s">
        <v>1648</v>
      </c>
      <c r="R252" s="143" t="s">
        <v>1944</v>
      </c>
      <c r="S252" s="154" t="s">
        <v>1613</v>
      </c>
      <c r="T252" s="154"/>
      <c r="U252" s="154"/>
      <c r="V252" s="154"/>
      <c r="W252" s="154"/>
      <c r="X252" s="154"/>
    </row>
    <row r="253" spans="1:24" x14ac:dyDescent="0.2">
      <c r="A253" s="143" t="s">
        <v>288</v>
      </c>
      <c r="B253" s="142" t="s">
        <v>287</v>
      </c>
      <c r="C253" s="143" t="s">
        <v>22</v>
      </c>
      <c r="D253" s="143" t="s">
        <v>2010</v>
      </c>
      <c r="E253" s="143" t="s">
        <v>2360</v>
      </c>
      <c r="F253" s="143" t="s">
        <v>890</v>
      </c>
      <c r="G253" s="144">
        <v>1</v>
      </c>
      <c r="H253" s="145" t="s">
        <v>2361</v>
      </c>
      <c r="I253" s="144">
        <v>0.99239999999999995</v>
      </c>
      <c r="J253" s="154" t="s">
        <v>1613</v>
      </c>
      <c r="K253" s="143" t="s">
        <v>1648</v>
      </c>
      <c r="L253" s="143" t="s">
        <v>1952</v>
      </c>
      <c r="M253" s="155"/>
      <c r="N253" s="154"/>
      <c r="O253" s="155"/>
      <c r="P253" s="154"/>
      <c r="Q253" s="154"/>
      <c r="R253" s="154"/>
      <c r="S253" s="155"/>
      <c r="T253" s="154"/>
      <c r="U253" s="155"/>
      <c r="V253" s="154"/>
      <c r="W253" s="154"/>
      <c r="X253" s="154"/>
    </row>
    <row r="254" spans="1:24" x14ac:dyDescent="0.2">
      <c r="A254" s="143" t="s">
        <v>292</v>
      </c>
      <c r="B254" s="142" t="s">
        <v>291</v>
      </c>
      <c r="C254" s="143" t="s">
        <v>22</v>
      </c>
      <c r="D254" s="143" t="s">
        <v>2237</v>
      </c>
      <c r="E254" s="143" t="s">
        <v>2363</v>
      </c>
      <c r="F254" s="143" t="s">
        <v>1949</v>
      </c>
      <c r="G254" s="144">
        <v>1.5</v>
      </c>
      <c r="H254" s="145" t="s">
        <v>2364</v>
      </c>
      <c r="I254" s="144">
        <v>1.4497</v>
      </c>
      <c r="J254" s="154" t="s">
        <v>1613</v>
      </c>
      <c r="K254" s="143" t="s">
        <v>1648</v>
      </c>
      <c r="L254" s="143" t="s">
        <v>1952</v>
      </c>
      <c r="M254" s="144">
        <v>1.25</v>
      </c>
      <c r="N254" s="145" t="s">
        <v>2365</v>
      </c>
      <c r="O254" s="144">
        <v>1.25</v>
      </c>
      <c r="P254" s="145" t="s">
        <v>2366</v>
      </c>
      <c r="Q254" s="143" t="s">
        <v>1649</v>
      </c>
      <c r="R254" s="143" t="s">
        <v>1952</v>
      </c>
      <c r="S254" s="154" t="s">
        <v>1613</v>
      </c>
      <c r="T254" s="154"/>
      <c r="U254" s="154"/>
      <c r="V254" s="154"/>
      <c r="W254" s="154"/>
      <c r="X254" s="154"/>
    </row>
    <row r="255" spans="1:24" x14ac:dyDescent="0.2">
      <c r="A255" s="143" t="s">
        <v>294</v>
      </c>
      <c r="B255" s="142" t="s">
        <v>293</v>
      </c>
      <c r="C255" s="143" t="s">
        <v>22</v>
      </c>
      <c r="D255" s="143" t="s">
        <v>2367</v>
      </c>
      <c r="E255" s="143" t="s">
        <v>2368</v>
      </c>
      <c r="F255" s="143" t="s">
        <v>1949</v>
      </c>
      <c r="G255" s="144">
        <v>0.75</v>
      </c>
      <c r="H255" s="145" t="s">
        <v>2303</v>
      </c>
      <c r="I255" s="144">
        <v>0.75</v>
      </c>
      <c r="J255" s="145" t="s">
        <v>2369</v>
      </c>
      <c r="K255" s="143" t="s">
        <v>1649</v>
      </c>
      <c r="L255" s="143" t="s">
        <v>1952</v>
      </c>
      <c r="M255" s="155"/>
      <c r="N255" s="154"/>
      <c r="O255" s="155"/>
      <c r="P255" s="154"/>
      <c r="Q255" s="154"/>
      <c r="R255" s="154"/>
      <c r="S255" s="155"/>
      <c r="T255" s="154"/>
      <c r="U255" s="155"/>
      <c r="V255" s="154"/>
      <c r="W255" s="154"/>
      <c r="X255" s="154"/>
    </row>
    <row r="256" spans="1:24" x14ac:dyDescent="0.2">
      <c r="A256" s="143" t="s">
        <v>312</v>
      </c>
      <c r="B256" s="142" t="s">
        <v>311</v>
      </c>
      <c r="C256" s="143" t="s">
        <v>22</v>
      </c>
      <c r="D256" s="143" t="s">
        <v>2391</v>
      </c>
      <c r="E256" s="143" t="s">
        <v>2391</v>
      </c>
      <c r="F256" s="143" t="s">
        <v>1949</v>
      </c>
      <c r="G256" s="144">
        <v>0.5</v>
      </c>
      <c r="H256" s="145" t="s">
        <v>2392</v>
      </c>
      <c r="I256" s="144">
        <v>0.4965</v>
      </c>
      <c r="J256" s="145" t="s">
        <v>1951</v>
      </c>
      <c r="K256" s="143" t="s">
        <v>1649</v>
      </c>
      <c r="L256" s="143" t="s">
        <v>1952</v>
      </c>
      <c r="M256" s="154"/>
      <c r="N256" s="156"/>
      <c r="O256" s="154"/>
      <c r="P256" s="156"/>
      <c r="Q256" s="154"/>
      <c r="R256" s="154"/>
      <c r="S256" s="154"/>
      <c r="T256" s="154"/>
      <c r="U256" s="154"/>
      <c r="V256" s="154"/>
      <c r="W256" s="154"/>
      <c r="X256" s="154"/>
    </row>
    <row r="257" spans="1:24" x14ac:dyDescent="0.2">
      <c r="A257" s="143" t="s">
        <v>320</v>
      </c>
      <c r="B257" s="142" t="s">
        <v>319</v>
      </c>
      <c r="C257" s="143" t="s">
        <v>22</v>
      </c>
      <c r="D257" s="143" t="s">
        <v>2055</v>
      </c>
      <c r="E257" s="143" t="s">
        <v>2400</v>
      </c>
      <c r="F257" s="143" t="s">
        <v>1949</v>
      </c>
      <c r="G257" s="144">
        <v>1.2</v>
      </c>
      <c r="H257" s="145" t="s">
        <v>2401</v>
      </c>
      <c r="I257" s="144">
        <v>1.1505000000000001</v>
      </c>
      <c r="J257" s="145" t="s">
        <v>2141</v>
      </c>
      <c r="K257" s="143" t="s">
        <v>1649</v>
      </c>
      <c r="L257" s="143" t="s">
        <v>1952</v>
      </c>
      <c r="M257" s="154"/>
      <c r="N257" s="156"/>
      <c r="O257" s="154"/>
      <c r="P257" s="156"/>
      <c r="Q257" s="154"/>
      <c r="R257" s="154"/>
      <c r="S257" s="154"/>
      <c r="T257" s="154"/>
      <c r="U257" s="154"/>
      <c r="V257" s="154"/>
      <c r="W257" s="154"/>
      <c r="X257" s="154"/>
    </row>
    <row r="258" spans="1:24" x14ac:dyDescent="0.2">
      <c r="A258" s="143" t="s">
        <v>330</v>
      </c>
      <c r="B258" s="142" t="s">
        <v>329</v>
      </c>
      <c r="C258" s="143" t="s">
        <v>22</v>
      </c>
      <c r="D258" s="143" t="s">
        <v>2110</v>
      </c>
      <c r="E258" s="143" t="s">
        <v>2420</v>
      </c>
      <c r="F258" s="143" t="s">
        <v>1919</v>
      </c>
      <c r="G258" s="144">
        <v>0.8</v>
      </c>
      <c r="H258" s="145" t="s">
        <v>2269</v>
      </c>
      <c r="I258" s="144">
        <v>0.77869999999999995</v>
      </c>
      <c r="J258" s="145" t="s">
        <v>2421</v>
      </c>
      <c r="K258" s="143" t="s">
        <v>1649</v>
      </c>
      <c r="L258" s="143" t="s">
        <v>1952</v>
      </c>
      <c r="M258" s="154"/>
      <c r="N258" s="156"/>
      <c r="O258" s="154"/>
      <c r="P258" s="156"/>
      <c r="Q258" s="154"/>
      <c r="R258" s="154"/>
      <c r="S258" s="154"/>
      <c r="T258" s="154"/>
      <c r="U258" s="154"/>
      <c r="V258" s="154"/>
      <c r="W258" s="154"/>
      <c r="X258" s="154"/>
    </row>
    <row r="259" spans="1:24" x14ac:dyDescent="0.2">
      <c r="A259" s="143" t="s">
        <v>332</v>
      </c>
      <c r="B259" s="142" t="s">
        <v>331</v>
      </c>
      <c r="C259" s="143" t="s">
        <v>22</v>
      </c>
      <c r="D259" s="143" t="s">
        <v>1979</v>
      </c>
      <c r="E259" s="143" t="s">
        <v>2423</v>
      </c>
      <c r="F259" s="143" t="s">
        <v>890</v>
      </c>
      <c r="G259" s="144">
        <v>0.8</v>
      </c>
      <c r="H259" s="145" t="s">
        <v>2424</v>
      </c>
      <c r="I259" s="144">
        <v>1</v>
      </c>
      <c r="J259" s="145" t="s">
        <v>2425</v>
      </c>
      <c r="K259" s="143" t="s">
        <v>1648</v>
      </c>
      <c r="L259" s="143" t="s">
        <v>1968</v>
      </c>
      <c r="M259" s="144">
        <v>1</v>
      </c>
      <c r="N259" s="145" t="s">
        <v>2426</v>
      </c>
      <c r="O259" s="144">
        <v>1</v>
      </c>
      <c r="P259" s="145" t="s">
        <v>2425</v>
      </c>
      <c r="Q259" s="143" t="s">
        <v>1648</v>
      </c>
      <c r="R259" s="143" t="s">
        <v>1968</v>
      </c>
      <c r="S259" s="154" t="s">
        <v>1613</v>
      </c>
      <c r="T259" s="154"/>
      <c r="U259" s="154"/>
      <c r="V259" s="154"/>
      <c r="W259" s="154"/>
      <c r="X259" s="154"/>
    </row>
    <row r="260" spans="1:24" x14ac:dyDescent="0.2">
      <c r="A260" s="143" t="s">
        <v>336</v>
      </c>
      <c r="B260" s="142" t="s">
        <v>335</v>
      </c>
      <c r="C260" s="143" t="s">
        <v>22</v>
      </c>
      <c r="D260" s="143" t="s">
        <v>1979</v>
      </c>
      <c r="E260" s="143" t="s">
        <v>2429</v>
      </c>
      <c r="F260" s="143" t="s">
        <v>890</v>
      </c>
      <c r="G260" s="144">
        <v>1</v>
      </c>
      <c r="H260" s="145" t="s">
        <v>2430</v>
      </c>
      <c r="I260" s="144">
        <v>0.90390000000000004</v>
      </c>
      <c r="J260" s="145" t="s">
        <v>2009</v>
      </c>
      <c r="K260" s="143" t="s">
        <v>1648</v>
      </c>
      <c r="L260" s="143" t="s">
        <v>1952</v>
      </c>
      <c r="M260" s="144">
        <v>0.5</v>
      </c>
      <c r="N260" s="145" t="s">
        <v>2431</v>
      </c>
      <c r="O260" s="144">
        <v>0.5</v>
      </c>
      <c r="P260" s="145" t="s">
        <v>2432</v>
      </c>
      <c r="Q260" s="143" t="s">
        <v>1649</v>
      </c>
      <c r="R260" s="143" t="s">
        <v>2054</v>
      </c>
      <c r="S260" s="144">
        <v>1</v>
      </c>
      <c r="T260" s="145" t="s">
        <v>2433</v>
      </c>
      <c r="U260" s="144">
        <v>1</v>
      </c>
      <c r="V260" s="145" t="s">
        <v>2434</v>
      </c>
      <c r="W260" s="143" t="s">
        <v>1649</v>
      </c>
      <c r="X260" s="143" t="s">
        <v>1952</v>
      </c>
    </row>
    <row r="261" spans="1:24" x14ac:dyDescent="0.2">
      <c r="A261" s="143" t="s">
        <v>338</v>
      </c>
      <c r="B261" s="142" t="s">
        <v>337</v>
      </c>
      <c r="C261" s="143" t="s">
        <v>22</v>
      </c>
      <c r="D261" s="143" t="s">
        <v>2435</v>
      </c>
      <c r="E261" s="143" t="s">
        <v>2436</v>
      </c>
      <c r="F261" s="143" t="s">
        <v>1949</v>
      </c>
      <c r="G261" s="144">
        <v>0.95</v>
      </c>
      <c r="H261" s="145" t="s">
        <v>2437</v>
      </c>
      <c r="I261" s="144">
        <v>0.94799999999999995</v>
      </c>
      <c r="J261" s="145" t="s">
        <v>2438</v>
      </c>
      <c r="K261" s="143" t="s">
        <v>1649</v>
      </c>
      <c r="L261" s="154" t="s">
        <v>1613</v>
      </c>
      <c r="M261" s="154"/>
      <c r="N261" s="154"/>
      <c r="O261" s="154"/>
      <c r="P261" s="154"/>
      <c r="Q261" s="154"/>
      <c r="R261" s="154"/>
      <c r="S261" s="154"/>
      <c r="T261" s="154"/>
      <c r="U261" s="154"/>
      <c r="V261" s="154"/>
      <c r="W261" s="154"/>
      <c r="X261" s="154"/>
    </row>
    <row r="262" spans="1:24" x14ac:dyDescent="0.2">
      <c r="A262" s="143" t="s">
        <v>340</v>
      </c>
      <c r="B262" s="142" t="s">
        <v>339</v>
      </c>
      <c r="C262" s="143" t="s">
        <v>22</v>
      </c>
      <c r="D262" s="143" t="s">
        <v>2010</v>
      </c>
      <c r="E262" s="143" t="s">
        <v>2439</v>
      </c>
      <c r="F262" s="143" t="s">
        <v>1919</v>
      </c>
      <c r="G262" s="144">
        <v>0.5</v>
      </c>
      <c r="H262" s="145" t="s">
        <v>2440</v>
      </c>
      <c r="I262" s="144">
        <v>0.48580000000000001</v>
      </c>
      <c r="J262" s="145" t="s">
        <v>2441</v>
      </c>
      <c r="K262" s="143" t="s">
        <v>1649</v>
      </c>
      <c r="L262" s="143" t="s">
        <v>1952</v>
      </c>
      <c r="M262" s="154"/>
      <c r="N262" s="154"/>
      <c r="O262" s="154"/>
      <c r="P262" s="154"/>
      <c r="Q262" s="154"/>
      <c r="R262" s="154"/>
      <c r="S262" s="154"/>
      <c r="T262" s="154"/>
      <c r="U262" s="154"/>
      <c r="V262" s="154"/>
      <c r="W262" s="154"/>
      <c r="X262" s="154"/>
    </row>
    <row r="263" spans="1:24" x14ac:dyDescent="0.2">
      <c r="A263" s="143" t="s">
        <v>346</v>
      </c>
      <c r="B263" s="142" t="s">
        <v>345</v>
      </c>
      <c r="C263" s="143" t="s">
        <v>22</v>
      </c>
      <c r="D263" s="143" t="s">
        <v>2264</v>
      </c>
      <c r="E263" s="143" t="s">
        <v>2450</v>
      </c>
      <c r="F263" s="143" t="s">
        <v>890</v>
      </c>
      <c r="G263" s="144">
        <v>1.6</v>
      </c>
      <c r="H263" s="145" t="s">
        <v>2024</v>
      </c>
      <c r="I263" s="144">
        <v>1.6</v>
      </c>
      <c r="J263" s="145" t="s">
        <v>2451</v>
      </c>
      <c r="K263" s="143" t="s">
        <v>1649</v>
      </c>
      <c r="L263" s="143" t="s">
        <v>1952</v>
      </c>
      <c r="M263" s="144">
        <v>1.6</v>
      </c>
      <c r="N263" s="145" t="s">
        <v>2452</v>
      </c>
      <c r="O263" s="144">
        <v>1.6</v>
      </c>
      <c r="P263" s="145" t="s">
        <v>2451</v>
      </c>
      <c r="Q263" s="143" t="s">
        <v>1649</v>
      </c>
      <c r="R263" s="143" t="s">
        <v>1952</v>
      </c>
      <c r="S263" s="154" t="s">
        <v>1613</v>
      </c>
      <c r="T263" s="154"/>
      <c r="U263" s="154"/>
      <c r="V263" s="154"/>
      <c r="W263" s="154"/>
      <c r="X263" s="154"/>
    </row>
    <row r="264" spans="1:24" x14ac:dyDescent="0.2">
      <c r="A264" s="143" t="s">
        <v>348</v>
      </c>
      <c r="B264" s="142" t="s">
        <v>347</v>
      </c>
      <c r="C264" s="143" t="s">
        <v>22</v>
      </c>
      <c r="D264" s="143" t="s">
        <v>1940</v>
      </c>
      <c r="E264" s="143" t="s">
        <v>2453</v>
      </c>
      <c r="F264" s="143" t="s">
        <v>1949</v>
      </c>
      <c r="G264" s="144">
        <v>1.8</v>
      </c>
      <c r="H264" s="145" t="s">
        <v>2454</v>
      </c>
      <c r="I264" s="144">
        <v>1.51</v>
      </c>
      <c r="J264" s="154" t="s">
        <v>1613</v>
      </c>
      <c r="K264" s="143" t="s">
        <v>1648</v>
      </c>
      <c r="L264" s="143" t="s">
        <v>1952</v>
      </c>
      <c r="M264" s="144">
        <v>0.48</v>
      </c>
      <c r="N264" s="145" t="s">
        <v>2059</v>
      </c>
      <c r="O264" s="144">
        <v>0.48</v>
      </c>
      <c r="P264" s="154" t="s">
        <v>1613</v>
      </c>
      <c r="Q264" s="143" t="s">
        <v>1648</v>
      </c>
      <c r="R264" s="143" t="s">
        <v>1952</v>
      </c>
      <c r="S264" s="144">
        <v>0.5</v>
      </c>
      <c r="T264" s="145" t="s">
        <v>1956</v>
      </c>
      <c r="U264" s="144">
        <v>0.5</v>
      </c>
      <c r="V264" s="145" t="s">
        <v>1994</v>
      </c>
      <c r="W264" s="143" t="s">
        <v>1649</v>
      </c>
      <c r="X264" s="143" t="s">
        <v>1952</v>
      </c>
    </row>
    <row r="265" spans="1:24" x14ac:dyDescent="0.2">
      <c r="A265" s="143" t="s">
        <v>356</v>
      </c>
      <c r="B265" s="142" t="s">
        <v>355</v>
      </c>
      <c r="C265" s="143" t="s">
        <v>22</v>
      </c>
      <c r="D265" s="143" t="s">
        <v>1940</v>
      </c>
      <c r="E265" s="143" t="s">
        <v>2463</v>
      </c>
      <c r="F265" s="143" t="s">
        <v>1919</v>
      </c>
      <c r="G265" s="144">
        <v>1</v>
      </c>
      <c r="H265" s="145" t="s">
        <v>2464</v>
      </c>
      <c r="I265" s="144">
        <v>0.67459999999999998</v>
      </c>
      <c r="J265" s="154" t="s">
        <v>1613</v>
      </c>
      <c r="K265" s="143" t="s">
        <v>1648</v>
      </c>
      <c r="L265" s="143" t="s">
        <v>1990</v>
      </c>
      <c r="M265" s="144">
        <v>0.25</v>
      </c>
      <c r="N265" s="145" t="s">
        <v>2465</v>
      </c>
      <c r="O265" s="144">
        <v>0.21540000000000001</v>
      </c>
      <c r="P265" s="145" t="s">
        <v>2466</v>
      </c>
      <c r="Q265" s="143" t="s">
        <v>1648</v>
      </c>
      <c r="R265" s="143" t="s">
        <v>1990</v>
      </c>
      <c r="S265" s="144">
        <v>0.7127</v>
      </c>
      <c r="T265" s="145" t="s">
        <v>1966</v>
      </c>
      <c r="U265" s="144">
        <v>0.70550000000000002</v>
      </c>
      <c r="V265" s="145" t="s">
        <v>2467</v>
      </c>
      <c r="W265" s="143" t="s">
        <v>1649</v>
      </c>
      <c r="X265" s="143" t="s">
        <v>1990</v>
      </c>
    </row>
    <row r="266" spans="1:24" x14ac:dyDescent="0.2">
      <c r="A266" s="143" t="s">
        <v>360</v>
      </c>
      <c r="B266" s="142" t="s">
        <v>359</v>
      </c>
      <c r="C266" s="143" t="s">
        <v>22</v>
      </c>
      <c r="D266" s="143" t="s">
        <v>1940</v>
      </c>
      <c r="E266" s="143" t="s">
        <v>2470</v>
      </c>
      <c r="F266" s="143" t="s">
        <v>1919</v>
      </c>
      <c r="G266" s="144">
        <v>1</v>
      </c>
      <c r="H266" s="145" t="s">
        <v>2471</v>
      </c>
      <c r="I266" s="144">
        <v>0.9829</v>
      </c>
      <c r="J266" s="145" t="s">
        <v>2472</v>
      </c>
      <c r="K266" s="143" t="s">
        <v>1649</v>
      </c>
      <c r="L266" s="143" t="s">
        <v>1952</v>
      </c>
      <c r="M266" s="155"/>
      <c r="N266" s="156"/>
      <c r="O266" s="155"/>
      <c r="P266" s="156"/>
      <c r="Q266" s="154"/>
      <c r="R266" s="154"/>
      <c r="S266" s="155"/>
      <c r="T266" s="156"/>
      <c r="U266" s="155"/>
      <c r="V266" s="156"/>
      <c r="W266" s="154"/>
      <c r="X266" s="154"/>
    </row>
    <row r="267" spans="1:24" x14ac:dyDescent="0.2">
      <c r="A267" s="143" t="s">
        <v>368</v>
      </c>
      <c r="B267" s="142" t="s">
        <v>367</v>
      </c>
      <c r="C267" s="143" t="s">
        <v>22</v>
      </c>
      <c r="D267" s="143" t="s">
        <v>2478</v>
      </c>
      <c r="E267" s="143" t="s">
        <v>2479</v>
      </c>
      <c r="F267" s="143" t="s">
        <v>1949</v>
      </c>
      <c r="G267" s="144">
        <v>1</v>
      </c>
      <c r="H267" s="145" t="s">
        <v>2100</v>
      </c>
      <c r="I267" s="144">
        <v>0.7</v>
      </c>
      <c r="J267" s="154" t="s">
        <v>1613</v>
      </c>
      <c r="K267" s="143" t="s">
        <v>1648</v>
      </c>
      <c r="L267" s="154" t="s">
        <v>1613</v>
      </c>
      <c r="M267" s="154"/>
      <c r="N267" s="154"/>
      <c r="O267" s="154"/>
      <c r="P267" s="154"/>
      <c r="Q267" s="154"/>
      <c r="R267" s="154"/>
      <c r="S267" s="154"/>
      <c r="T267" s="154"/>
      <c r="U267" s="154"/>
      <c r="V267" s="154"/>
      <c r="W267" s="154"/>
      <c r="X267" s="154"/>
    </row>
    <row r="268" spans="1:24" x14ac:dyDescent="0.2">
      <c r="A268" s="143" t="s">
        <v>370</v>
      </c>
      <c r="B268" s="142" t="s">
        <v>369</v>
      </c>
      <c r="C268" s="143" t="s">
        <v>22</v>
      </c>
      <c r="D268" s="143" t="s">
        <v>1980</v>
      </c>
      <c r="E268" s="143" t="s">
        <v>2480</v>
      </c>
      <c r="F268" s="143" t="s">
        <v>890</v>
      </c>
      <c r="G268" s="155"/>
      <c r="H268" s="156"/>
      <c r="I268" s="155"/>
      <c r="J268" s="156"/>
      <c r="K268" s="154"/>
      <c r="L268" s="154"/>
      <c r="M268" s="154"/>
      <c r="N268" s="154"/>
      <c r="O268" s="154"/>
      <c r="P268" s="154"/>
      <c r="Q268" s="154"/>
      <c r="R268" s="154"/>
      <c r="S268" s="154"/>
      <c r="T268" s="154"/>
      <c r="U268" s="154"/>
      <c r="V268" s="154"/>
      <c r="W268" s="154"/>
      <c r="X268" s="154"/>
    </row>
    <row r="269" spans="1:24" x14ac:dyDescent="0.2">
      <c r="A269" s="143" t="s">
        <v>384</v>
      </c>
      <c r="B269" s="142" t="s">
        <v>383</v>
      </c>
      <c r="C269" s="143" t="s">
        <v>22</v>
      </c>
      <c r="D269" s="143" t="s">
        <v>2002</v>
      </c>
      <c r="E269" s="143" t="s">
        <v>2492</v>
      </c>
      <c r="F269" s="143" t="s">
        <v>1949</v>
      </c>
      <c r="G269" s="144">
        <v>1.2339</v>
      </c>
      <c r="H269" s="145" t="s">
        <v>1956</v>
      </c>
      <c r="I269" s="144">
        <v>1.2307999999999999</v>
      </c>
      <c r="J269" s="145" t="s">
        <v>2493</v>
      </c>
      <c r="K269" s="143" t="s">
        <v>1649</v>
      </c>
      <c r="L269" s="143" t="s">
        <v>1952</v>
      </c>
      <c r="M269" s="154"/>
      <c r="N269" s="154"/>
      <c r="O269" s="154"/>
      <c r="P269" s="154"/>
      <c r="Q269" s="154"/>
      <c r="R269" s="154"/>
      <c r="S269" s="154"/>
      <c r="T269" s="154"/>
      <c r="U269" s="154"/>
      <c r="V269" s="154"/>
      <c r="W269" s="154"/>
      <c r="X269" s="154"/>
    </row>
    <row r="270" spans="1:24" x14ac:dyDescent="0.2">
      <c r="A270" s="143" t="s">
        <v>390</v>
      </c>
      <c r="B270" s="142" t="s">
        <v>389</v>
      </c>
      <c r="C270" s="143" t="s">
        <v>22</v>
      </c>
      <c r="D270" s="143" t="s">
        <v>2349</v>
      </c>
      <c r="E270" s="143" t="s">
        <v>2499</v>
      </c>
      <c r="F270" s="143" t="s">
        <v>890</v>
      </c>
      <c r="G270" s="154"/>
      <c r="H270" s="154"/>
      <c r="I270" s="154"/>
      <c r="J270" s="154"/>
      <c r="K270" s="154"/>
      <c r="L270" s="154"/>
      <c r="M270" s="154"/>
      <c r="N270" s="154"/>
      <c r="O270" s="154"/>
      <c r="P270" s="154"/>
      <c r="Q270" s="154"/>
      <c r="R270" s="154"/>
      <c r="S270" s="154"/>
      <c r="T270" s="154"/>
      <c r="U270" s="154"/>
      <c r="V270" s="154"/>
      <c r="W270" s="154"/>
      <c r="X270" s="154"/>
    </row>
    <row r="271" spans="1:24" x14ac:dyDescent="0.2">
      <c r="A271" s="143" t="s">
        <v>404</v>
      </c>
      <c r="B271" s="142" t="s">
        <v>403</v>
      </c>
      <c r="C271" s="143" t="s">
        <v>22</v>
      </c>
      <c r="D271" s="143" t="s">
        <v>2513</v>
      </c>
      <c r="E271" s="143" t="s">
        <v>2513</v>
      </c>
      <c r="F271" s="143" t="s">
        <v>894</v>
      </c>
      <c r="G271" s="144">
        <v>0.25</v>
      </c>
      <c r="H271" s="145" t="s">
        <v>2000</v>
      </c>
      <c r="I271" s="144">
        <v>0.25</v>
      </c>
      <c r="J271" s="145" t="s">
        <v>1946</v>
      </c>
      <c r="K271" s="143" t="s">
        <v>1649</v>
      </c>
      <c r="L271" s="143" t="s">
        <v>1952</v>
      </c>
      <c r="M271" s="155"/>
      <c r="N271" s="156"/>
      <c r="O271" s="155"/>
      <c r="P271" s="156"/>
      <c r="Q271" s="154"/>
      <c r="R271" s="154"/>
      <c r="S271" s="155"/>
      <c r="T271" s="156"/>
      <c r="U271" s="155"/>
      <c r="V271" s="156"/>
      <c r="W271" s="154"/>
      <c r="X271" s="154"/>
    </row>
    <row r="272" spans="1:24" x14ac:dyDescent="0.2">
      <c r="A272" s="143" t="s">
        <v>423</v>
      </c>
      <c r="B272" s="142" t="s">
        <v>422</v>
      </c>
      <c r="C272" s="143" t="s">
        <v>22</v>
      </c>
      <c r="D272" s="143" t="s">
        <v>1979</v>
      </c>
      <c r="E272" s="143" t="s">
        <v>2531</v>
      </c>
      <c r="F272" s="143" t="s">
        <v>890</v>
      </c>
      <c r="G272" s="144">
        <v>2</v>
      </c>
      <c r="H272" s="145" t="s">
        <v>2532</v>
      </c>
      <c r="I272" s="144">
        <v>1.9796</v>
      </c>
      <c r="J272" s="145" t="s">
        <v>2474</v>
      </c>
      <c r="K272" s="143" t="s">
        <v>1649</v>
      </c>
      <c r="L272" s="143" t="s">
        <v>1952</v>
      </c>
      <c r="M272" s="154"/>
      <c r="N272" s="154"/>
      <c r="O272" s="155"/>
      <c r="P272" s="154"/>
      <c r="Q272" s="154"/>
      <c r="R272" s="154"/>
      <c r="S272" s="155"/>
      <c r="T272" s="154"/>
      <c r="U272" s="155"/>
      <c r="V272" s="154"/>
      <c r="W272" s="154"/>
      <c r="X272" s="154"/>
    </row>
    <row r="273" spans="1:24" x14ac:dyDescent="0.2">
      <c r="A273" s="143" t="s">
        <v>439</v>
      </c>
      <c r="B273" s="142" t="s">
        <v>438</v>
      </c>
      <c r="C273" s="143" t="s">
        <v>22</v>
      </c>
      <c r="D273" s="143" t="s">
        <v>2057</v>
      </c>
      <c r="E273" s="143" t="s">
        <v>2546</v>
      </c>
      <c r="F273" s="143" t="s">
        <v>1919</v>
      </c>
      <c r="G273" s="144">
        <v>0.5</v>
      </c>
      <c r="H273" s="145" t="s">
        <v>2547</v>
      </c>
      <c r="I273" s="144">
        <v>0.39229999999999998</v>
      </c>
      <c r="J273" s="154" t="s">
        <v>1613</v>
      </c>
      <c r="K273" s="143" t="s">
        <v>1648</v>
      </c>
      <c r="L273" s="143" t="s">
        <v>1990</v>
      </c>
      <c r="M273" s="144">
        <v>0.5</v>
      </c>
      <c r="N273" s="145" t="s">
        <v>2548</v>
      </c>
      <c r="O273" s="144">
        <v>0.43480000000000002</v>
      </c>
      <c r="P273" s="154" t="s">
        <v>1613</v>
      </c>
      <c r="Q273" s="143" t="s">
        <v>1648</v>
      </c>
      <c r="R273" s="143" t="s">
        <v>1990</v>
      </c>
      <c r="S273" s="144">
        <v>0.3</v>
      </c>
      <c r="T273" s="145" t="s">
        <v>2549</v>
      </c>
      <c r="U273" s="144">
        <v>0.29949999999999999</v>
      </c>
      <c r="V273" s="145" t="s">
        <v>2304</v>
      </c>
      <c r="W273" s="143" t="s">
        <v>1649</v>
      </c>
      <c r="X273" s="143" t="s">
        <v>1990</v>
      </c>
    </row>
    <row r="274" spans="1:24" x14ac:dyDescent="0.2">
      <c r="A274" s="143" t="s">
        <v>452</v>
      </c>
      <c r="B274" s="142" t="s">
        <v>451</v>
      </c>
      <c r="C274" s="143" t="s">
        <v>22</v>
      </c>
      <c r="D274" s="143" t="s">
        <v>1940</v>
      </c>
      <c r="E274" s="143" t="s">
        <v>2562</v>
      </c>
      <c r="F274" s="143" t="s">
        <v>1919</v>
      </c>
      <c r="G274" s="144">
        <v>0.87450000000000006</v>
      </c>
      <c r="H274" s="145" t="s">
        <v>2563</v>
      </c>
      <c r="I274" s="144">
        <v>0.87450000000000006</v>
      </c>
      <c r="J274" s="145" t="s">
        <v>2564</v>
      </c>
      <c r="K274" s="143" t="s">
        <v>1649</v>
      </c>
      <c r="L274" s="143" t="s">
        <v>1952</v>
      </c>
      <c r="M274" s="155"/>
      <c r="N274" s="154"/>
      <c r="O274" s="155"/>
      <c r="P274" s="154"/>
      <c r="Q274" s="154"/>
      <c r="R274" s="154"/>
      <c r="S274" s="155"/>
      <c r="T274" s="154"/>
      <c r="U274" s="155"/>
      <c r="V274" s="154"/>
      <c r="W274" s="154"/>
      <c r="X274" s="154"/>
    </row>
    <row r="275" spans="1:24" x14ac:dyDescent="0.2">
      <c r="A275" s="143" t="s">
        <v>458</v>
      </c>
      <c r="B275" s="142" t="s">
        <v>457</v>
      </c>
      <c r="C275" s="143" t="s">
        <v>22</v>
      </c>
      <c r="D275" s="143" t="s">
        <v>2010</v>
      </c>
      <c r="E275" s="143" t="s">
        <v>2568</v>
      </c>
      <c r="F275" s="143" t="s">
        <v>890</v>
      </c>
      <c r="G275" s="144">
        <v>1.2958000000000001</v>
      </c>
      <c r="H275" s="145" t="s">
        <v>2569</v>
      </c>
      <c r="I275" s="144">
        <v>2</v>
      </c>
      <c r="J275" s="145" t="s">
        <v>1615</v>
      </c>
      <c r="K275" s="143" t="s">
        <v>1648</v>
      </c>
      <c r="L275" s="143" t="s">
        <v>2570</v>
      </c>
      <c r="M275" s="155"/>
      <c r="N275" s="156"/>
      <c r="O275" s="155"/>
      <c r="P275" s="156"/>
      <c r="Q275" s="154"/>
      <c r="R275" s="154"/>
      <c r="S275" s="155"/>
      <c r="T275" s="156"/>
      <c r="U275" s="155"/>
      <c r="V275" s="156"/>
      <c r="W275" s="154"/>
      <c r="X275" s="154"/>
    </row>
    <row r="276" spans="1:24" x14ac:dyDescent="0.2">
      <c r="A276" s="143" t="s">
        <v>472</v>
      </c>
      <c r="B276" s="142" t="s">
        <v>471</v>
      </c>
      <c r="C276" s="143" t="s">
        <v>22</v>
      </c>
      <c r="D276" s="143" t="s">
        <v>2581</v>
      </c>
      <c r="E276" s="143" t="s">
        <v>2582</v>
      </c>
      <c r="F276" s="143" t="s">
        <v>894</v>
      </c>
      <c r="G276" s="144">
        <v>1</v>
      </c>
      <c r="H276" s="145" t="s">
        <v>2024</v>
      </c>
      <c r="I276" s="144">
        <v>1</v>
      </c>
      <c r="J276" s="145" t="s">
        <v>2187</v>
      </c>
      <c r="K276" s="143" t="s">
        <v>1649</v>
      </c>
      <c r="L276" s="143" t="s">
        <v>1952</v>
      </c>
      <c r="M276" s="154"/>
      <c r="N276" s="156"/>
      <c r="O276" s="155"/>
      <c r="P276" s="156"/>
      <c r="Q276" s="154"/>
      <c r="R276" s="154"/>
      <c r="S276" s="154"/>
      <c r="T276" s="154"/>
      <c r="U276" s="154"/>
      <c r="V276" s="154"/>
      <c r="W276" s="154"/>
      <c r="X276" s="154"/>
    </row>
    <row r="277" spans="1:24" x14ac:dyDescent="0.2">
      <c r="A277" s="143" t="s">
        <v>482</v>
      </c>
      <c r="B277" s="142" t="s">
        <v>481</v>
      </c>
      <c r="C277" s="143" t="s">
        <v>22</v>
      </c>
      <c r="D277" s="143" t="s">
        <v>1960</v>
      </c>
      <c r="E277" s="143" t="s">
        <v>2593</v>
      </c>
      <c r="F277" s="143" t="s">
        <v>1949</v>
      </c>
      <c r="G277" s="144">
        <v>1</v>
      </c>
      <c r="H277" s="145" t="s">
        <v>2594</v>
      </c>
      <c r="I277" s="144">
        <v>0.97670000000000001</v>
      </c>
      <c r="J277" s="154" t="s">
        <v>1613</v>
      </c>
      <c r="K277" s="143" t="s">
        <v>1648</v>
      </c>
      <c r="L277" s="143" t="s">
        <v>1952</v>
      </c>
      <c r="M277" s="144">
        <v>0.69199999999999995</v>
      </c>
      <c r="N277" s="145" t="s">
        <v>2078</v>
      </c>
      <c r="O277" s="144">
        <v>0.69199999999999995</v>
      </c>
      <c r="P277" s="145" t="s">
        <v>2043</v>
      </c>
      <c r="Q277" s="143" t="s">
        <v>1649</v>
      </c>
      <c r="R277" s="143" t="s">
        <v>1952</v>
      </c>
      <c r="S277" s="154" t="s">
        <v>1613</v>
      </c>
      <c r="T277" s="154"/>
      <c r="U277" s="154"/>
      <c r="V277" s="154"/>
      <c r="W277" s="154"/>
      <c r="X277" s="154"/>
    </row>
    <row r="278" spans="1:24" x14ac:dyDescent="0.2">
      <c r="A278" s="143" t="s">
        <v>486</v>
      </c>
      <c r="B278" s="142" t="s">
        <v>485</v>
      </c>
      <c r="C278" s="143" t="s">
        <v>22</v>
      </c>
      <c r="D278" s="143" t="s">
        <v>2057</v>
      </c>
      <c r="E278" s="143" t="s">
        <v>2598</v>
      </c>
      <c r="F278" s="143" t="s">
        <v>890</v>
      </c>
      <c r="G278" s="144">
        <v>1</v>
      </c>
      <c r="H278" s="145" t="s">
        <v>2599</v>
      </c>
      <c r="I278" s="144">
        <v>0.72</v>
      </c>
      <c r="J278" s="154" t="s">
        <v>1613</v>
      </c>
      <c r="K278" s="143" t="s">
        <v>1649</v>
      </c>
      <c r="L278" s="143" t="s">
        <v>1944</v>
      </c>
      <c r="M278" s="154"/>
      <c r="N278" s="154"/>
      <c r="O278" s="154"/>
      <c r="P278" s="154"/>
      <c r="Q278" s="154"/>
      <c r="R278" s="154"/>
      <c r="S278" s="154"/>
      <c r="T278" s="154"/>
      <c r="U278" s="154"/>
      <c r="V278" s="154"/>
      <c r="W278" s="154"/>
      <c r="X278" s="154"/>
    </row>
    <row r="279" spans="1:24" x14ac:dyDescent="0.2">
      <c r="A279" s="143" t="s">
        <v>496</v>
      </c>
      <c r="B279" s="142" t="s">
        <v>495</v>
      </c>
      <c r="C279" s="143" t="s">
        <v>22</v>
      </c>
      <c r="D279" s="143" t="s">
        <v>2606</v>
      </c>
      <c r="E279" s="154" t="s">
        <v>1613</v>
      </c>
      <c r="F279" s="143" t="s">
        <v>894</v>
      </c>
      <c r="G279" s="144">
        <v>0.375</v>
      </c>
      <c r="H279" s="145" t="s">
        <v>2607</v>
      </c>
      <c r="I279" s="144">
        <v>0.375</v>
      </c>
      <c r="J279" s="145" t="s">
        <v>2608</v>
      </c>
      <c r="K279" s="143" t="s">
        <v>1649</v>
      </c>
      <c r="L279" s="143" t="s">
        <v>1990</v>
      </c>
      <c r="M279" s="155"/>
      <c r="N279" s="154"/>
      <c r="O279" s="155"/>
      <c r="P279" s="154"/>
      <c r="Q279" s="154"/>
      <c r="R279" s="154"/>
      <c r="S279" s="155"/>
      <c r="T279" s="154"/>
      <c r="U279" s="155"/>
      <c r="V279" s="154"/>
      <c r="W279" s="154"/>
      <c r="X279" s="154"/>
    </row>
    <row r="280" spans="1:24" x14ac:dyDescent="0.2">
      <c r="A280" s="143" t="s">
        <v>500</v>
      </c>
      <c r="B280" s="142" t="s">
        <v>499</v>
      </c>
      <c r="C280" s="143" t="s">
        <v>22</v>
      </c>
      <c r="D280" s="143" t="s">
        <v>2612</v>
      </c>
      <c r="E280" s="143" t="s">
        <v>2613</v>
      </c>
      <c r="F280" s="143" t="s">
        <v>890</v>
      </c>
      <c r="G280" s="144">
        <v>1.4112</v>
      </c>
      <c r="H280" s="145" t="s">
        <v>2614</v>
      </c>
      <c r="I280" s="144">
        <v>0.91559999999999997</v>
      </c>
      <c r="J280" s="154" t="s">
        <v>1613</v>
      </c>
      <c r="K280" s="143" t="s">
        <v>1648</v>
      </c>
      <c r="L280" s="143" t="s">
        <v>1952</v>
      </c>
      <c r="M280" s="144">
        <v>0.25</v>
      </c>
      <c r="N280" s="145" t="s">
        <v>2124</v>
      </c>
      <c r="O280" s="144">
        <v>0.25</v>
      </c>
      <c r="P280" s="145" t="s">
        <v>2615</v>
      </c>
      <c r="Q280" s="143" t="s">
        <v>1649</v>
      </c>
      <c r="R280" s="143" t="s">
        <v>1952</v>
      </c>
      <c r="S280" s="144">
        <v>0.25</v>
      </c>
      <c r="T280" s="145" t="s">
        <v>2616</v>
      </c>
      <c r="U280" s="144">
        <v>0.25</v>
      </c>
      <c r="V280" s="145" t="s">
        <v>2617</v>
      </c>
      <c r="W280" s="143" t="s">
        <v>1649</v>
      </c>
      <c r="X280" s="143" t="s">
        <v>1952</v>
      </c>
    </row>
    <row r="281" spans="1:24" x14ac:dyDescent="0.2">
      <c r="A281" s="143" t="s">
        <v>502</v>
      </c>
      <c r="B281" s="142" t="s">
        <v>501</v>
      </c>
      <c r="C281" s="143" t="s">
        <v>22</v>
      </c>
      <c r="D281" s="143" t="s">
        <v>1940</v>
      </c>
      <c r="E281" s="143" t="s">
        <v>2618</v>
      </c>
      <c r="F281" s="143" t="s">
        <v>1919</v>
      </c>
      <c r="G281" s="144">
        <v>1</v>
      </c>
      <c r="H281" s="145" t="s">
        <v>2619</v>
      </c>
      <c r="I281" s="144">
        <v>0.73619999999999997</v>
      </c>
      <c r="J281" s="154" t="s">
        <v>1613</v>
      </c>
      <c r="K281" s="143" t="s">
        <v>1648</v>
      </c>
      <c r="L281" s="143" t="s">
        <v>1952</v>
      </c>
      <c r="M281" s="144">
        <v>0.38</v>
      </c>
      <c r="N281" s="145" t="s">
        <v>2401</v>
      </c>
      <c r="O281" s="144">
        <v>0.36749999999999999</v>
      </c>
      <c r="P281" s="145" t="s">
        <v>2177</v>
      </c>
      <c r="Q281" s="143" t="s">
        <v>1649</v>
      </c>
      <c r="R281" s="143" t="s">
        <v>1952</v>
      </c>
      <c r="S281" s="155"/>
      <c r="T281" s="156"/>
      <c r="U281" s="155"/>
      <c r="V281" s="156"/>
      <c r="W281" s="154"/>
      <c r="X281" s="154"/>
    </row>
    <row r="282" spans="1:24" x14ac:dyDescent="0.2">
      <c r="A282" s="143" t="s">
        <v>506</v>
      </c>
      <c r="B282" s="142" t="s">
        <v>505</v>
      </c>
      <c r="C282" s="143" t="s">
        <v>22</v>
      </c>
      <c r="D282" s="143" t="s">
        <v>2324</v>
      </c>
      <c r="E282" s="143" t="s">
        <v>2623</v>
      </c>
      <c r="F282" s="143" t="s">
        <v>1949</v>
      </c>
      <c r="G282" s="144">
        <v>0.25</v>
      </c>
      <c r="H282" s="145" t="s">
        <v>2624</v>
      </c>
      <c r="I282" s="144">
        <v>0.22939999999999999</v>
      </c>
      <c r="J282" s="154" t="s">
        <v>1613</v>
      </c>
      <c r="K282" s="143" t="s">
        <v>1648</v>
      </c>
      <c r="L282" s="143" t="s">
        <v>1952</v>
      </c>
      <c r="M282" s="154"/>
      <c r="N282" s="154"/>
      <c r="O282" s="154"/>
      <c r="P282" s="154"/>
      <c r="Q282" s="154"/>
      <c r="R282" s="154"/>
      <c r="S282" s="154"/>
      <c r="T282" s="154"/>
      <c r="U282" s="154"/>
      <c r="V282" s="154"/>
      <c r="W282" s="154"/>
      <c r="X282" s="154"/>
    </row>
    <row r="283" spans="1:24" x14ac:dyDescent="0.2">
      <c r="A283" s="143" t="s">
        <v>516</v>
      </c>
      <c r="B283" s="142" t="s">
        <v>515</v>
      </c>
      <c r="C283" s="143" t="s">
        <v>22</v>
      </c>
      <c r="D283" s="143" t="s">
        <v>2010</v>
      </c>
      <c r="E283" s="143" t="s">
        <v>2636</v>
      </c>
      <c r="F283" s="143" t="s">
        <v>1949</v>
      </c>
      <c r="G283" s="144">
        <v>2.75</v>
      </c>
      <c r="H283" s="145" t="s">
        <v>2268</v>
      </c>
      <c r="I283" s="144">
        <v>2.5324</v>
      </c>
      <c r="J283" s="154" t="s">
        <v>1613</v>
      </c>
      <c r="K283" s="143" t="s">
        <v>1648</v>
      </c>
      <c r="L283" s="143" t="s">
        <v>1952</v>
      </c>
      <c r="M283" s="144">
        <v>0.1056</v>
      </c>
      <c r="N283" s="145" t="s">
        <v>2637</v>
      </c>
      <c r="O283" s="144">
        <v>0.1022</v>
      </c>
      <c r="P283" s="154" t="s">
        <v>1613</v>
      </c>
      <c r="Q283" s="143" t="s">
        <v>1648</v>
      </c>
      <c r="R283" s="143" t="s">
        <v>1952</v>
      </c>
      <c r="S283" s="155"/>
      <c r="T283" s="156"/>
      <c r="U283" s="155"/>
      <c r="V283" s="156"/>
      <c r="W283" s="154"/>
      <c r="X283" s="154"/>
    </row>
    <row r="284" spans="1:24" x14ac:dyDescent="0.2">
      <c r="A284" s="143" t="s">
        <v>530</v>
      </c>
      <c r="B284" s="142" t="s">
        <v>529</v>
      </c>
      <c r="C284" s="143" t="s">
        <v>22</v>
      </c>
      <c r="D284" s="143" t="s">
        <v>2057</v>
      </c>
      <c r="E284" s="143" t="s">
        <v>2653</v>
      </c>
      <c r="F284" s="143" t="s">
        <v>1949</v>
      </c>
      <c r="G284" s="144">
        <v>1.5</v>
      </c>
      <c r="H284" s="145" t="s">
        <v>2654</v>
      </c>
      <c r="I284" s="144">
        <v>1.4842</v>
      </c>
      <c r="J284" s="145" t="s">
        <v>1615</v>
      </c>
      <c r="K284" s="143" t="s">
        <v>1648</v>
      </c>
      <c r="L284" s="143" t="s">
        <v>1952</v>
      </c>
      <c r="M284" s="144">
        <v>0.25</v>
      </c>
      <c r="N284" s="145" t="s">
        <v>1966</v>
      </c>
      <c r="O284" s="144">
        <v>0.25</v>
      </c>
      <c r="P284" s="145" t="s">
        <v>2622</v>
      </c>
      <c r="Q284" s="143" t="s">
        <v>1649</v>
      </c>
      <c r="R284" s="143" t="s">
        <v>2655</v>
      </c>
      <c r="S284" s="155"/>
      <c r="T284" s="156"/>
      <c r="U284" s="155"/>
      <c r="V284" s="156"/>
      <c r="W284" s="154"/>
      <c r="X284" s="154"/>
    </row>
    <row r="285" spans="1:24" x14ac:dyDescent="0.2">
      <c r="A285" s="143" t="s">
        <v>546</v>
      </c>
      <c r="B285" s="142" t="s">
        <v>545</v>
      </c>
      <c r="C285" s="143" t="s">
        <v>22</v>
      </c>
      <c r="D285" s="143" t="s">
        <v>2674</v>
      </c>
      <c r="E285" s="143" t="s">
        <v>2675</v>
      </c>
      <c r="F285" s="143" t="s">
        <v>1949</v>
      </c>
      <c r="G285" s="144">
        <v>0.03</v>
      </c>
      <c r="H285" s="145" t="s">
        <v>2085</v>
      </c>
      <c r="I285" s="144">
        <v>0.03</v>
      </c>
      <c r="J285" s="145" t="s">
        <v>2036</v>
      </c>
      <c r="K285" s="143" t="s">
        <v>1649</v>
      </c>
      <c r="L285" s="143" t="s">
        <v>1990</v>
      </c>
      <c r="M285" s="144">
        <v>0.02</v>
      </c>
      <c r="N285" s="145" t="s">
        <v>2085</v>
      </c>
      <c r="O285" s="144">
        <v>0.02</v>
      </c>
      <c r="P285" s="145" t="s">
        <v>2036</v>
      </c>
      <c r="Q285" s="143" t="s">
        <v>1649</v>
      </c>
      <c r="R285" s="143" t="s">
        <v>1990</v>
      </c>
      <c r="S285" s="154" t="s">
        <v>1613</v>
      </c>
      <c r="T285" s="154"/>
      <c r="U285" s="154"/>
      <c r="V285" s="154"/>
      <c r="W285" s="154"/>
      <c r="X285" s="154"/>
    </row>
    <row r="286" spans="1:24" x14ac:dyDescent="0.2">
      <c r="A286" s="143" t="s">
        <v>556</v>
      </c>
      <c r="B286" s="142" t="s">
        <v>555</v>
      </c>
      <c r="C286" s="143" t="s">
        <v>22</v>
      </c>
      <c r="D286" s="143" t="s">
        <v>2682</v>
      </c>
      <c r="E286" s="143" t="s">
        <v>2683</v>
      </c>
      <c r="F286" s="143" t="s">
        <v>894</v>
      </c>
      <c r="G286" s="144">
        <v>0.4</v>
      </c>
      <c r="H286" s="145" t="s">
        <v>2195</v>
      </c>
      <c r="I286" s="144">
        <v>0.4</v>
      </c>
      <c r="J286" s="145" t="s">
        <v>2399</v>
      </c>
      <c r="K286" s="143" t="s">
        <v>1649</v>
      </c>
      <c r="L286" s="143" t="s">
        <v>1952</v>
      </c>
      <c r="M286" s="144">
        <v>0.375</v>
      </c>
      <c r="N286" s="145" t="s">
        <v>1996</v>
      </c>
      <c r="O286" s="144">
        <v>0.375</v>
      </c>
      <c r="P286" s="145" t="s">
        <v>2202</v>
      </c>
      <c r="Q286" s="143" t="s">
        <v>1649</v>
      </c>
      <c r="R286" s="143" t="s">
        <v>2054</v>
      </c>
      <c r="S286" s="154" t="s">
        <v>1613</v>
      </c>
      <c r="T286" s="154"/>
      <c r="U286" s="154"/>
      <c r="V286" s="154"/>
      <c r="W286" s="154"/>
      <c r="X286" s="154"/>
    </row>
    <row r="287" spans="1:24" x14ac:dyDescent="0.2">
      <c r="A287" s="143" t="s">
        <v>558</v>
      </c>
      <c r="B287" s="142" t="s">
        <v>557</v>
      </c>
      <c r="C287" s="143" t="s">
        <v>22</v>
      </c>
      <c r="D287" s="143" t="s">
        <v>1973</v>
      </c>
      <c r="E287" s="143" t="s">
        <v>2684</v>
      </c>
      <c r="F287" s="143" t="s">
        <v>1949</v>
      </c>
      <c r="G287" s="144">
        <v>1</v>
      </c>
      <c r="H287" s="145" t="s">
        <v>2685</v>
      </c>
      <c r="I287" s="144">
        <v>0.98880000000000001</v>
      </c>
      <c r="J287" s="154" t="s">
        <v>1613</v>
      </c>
      <c r="K287" s="143" t="s">
        <v>1648</v>
      </c>
      <c r="L287" s="143" t="s">
        <v>1952</v>
      </c>
      <c r="M287" s="144">
        <v>0.65</v>
      </c>
      <c r="N287" s="145" t="s">
        <v>2686</v>
      </c>
      <c r="O287" s="144">
        <v>0.65</v>
      </c>
      <c r="P287" s="145" t="s">
        <v>2687</v>
      </c>
      <c r="Q287" s="143" t="s">
        <v>1649</v>
      </c>
      <c r="R287" s="143" t="s">
        <v>2054</v>
      </c>
      <c r="S287" s="154" t="s">
        <v>1613</v>
      </c>
      <c r="T287" s="154"/>
      <c r="U287" s="154"/>
      <c r="V287" s="154"/>
      <c r="W287" s="154"/>
      <c r="X287" s="154"/>
    </row>
    <row r="288" spans="1:24" x14ac:dyDescent="0.2">
      <c r="A288" s="143" t="s">
        <v>562</v>
      </c>
      <c r="B288" s="142" t="s">
        <v>561</v>
      </c>
      <c r="C288" s="143" t="s">
        <v>22</v>
      </c>
      <c r="D288" s="143" t="s">
        <v>1940</v>
      </c>
      <c r="E288" s="143" t="s">
        <v>2690</v>
      </c>
      <c r="F288" s="143" t="s">
        <v>1919</v>
      </c>
      <c r="G288" s="144">
        <v>1</v>
      </c>
      <c r="H288" s="145" t="s">
        <v>2691</v>
      </c>
      <c r="I288" s="144">
        <v>0.64149999999999996</v>
      </c>
      <c r="J288" s="154" t="s">
        <v>1613</v>
      </c>
      <c r="K288" s="143" t="s">
        <v>1648</v>
      </c>
      <c r="L288" s="143" t="s">
        <v>1952</v>
      </c>
      <c r="M288" s="144">
        <v>0.85</v>
      </c>
      <c r="N288" s="145" t="s">
        <v>2551</v>
      </c>
      <c r="O288" s="144">
        <v>0.68440000000000001</v>
      </c>
      <c r="P288" s="154" t="s">
        <v>1613</v>
      </c>
      <c r="Q288" s="143" t="s">
        <v>1648</v>
      </c>
      <c r="R288" s="143" t="s">
        <v>1952</v>
      </c>
      <c r="S288" s="154" t="s">
        <v>1613</v>
      </c>
      <c r="T288" s="154"/>
      <c r="U288" s="154"/>
      <c r="V288" s="154"/>
      <c r="W288" s="154"/>
      <c r="X288" s="154"/>
    </row>
    <row r="289" spans="1:24" x14ac:dyDescent="0.2">
      <c r="A289" s="143" t="s">
        <v>570</v>
      </c>
      <c r="B289" s="142" t="s">
        <v>569</v>
      </c>
      <c r="C289" s="143" t="s">
        <v>22</v>
      </c>
      <c r="D289" s="143" t="s">
        <v>2446</v>
      </c>
      <c r="E289" s="143" t="s">
        <v>2699</v>
      </c>
      <c r="F289" s="143" t="s">
        <v>1949</v>
      </c>
      <c r="G289" s="144">
        <v>0.9919</v>
      </c>
      <c r="H289" s="145" t="s">
        <v>2700</v>
      </c>
      <c r="I289" s="144">
        <v>0.9919</v>
      </c>
      <c r="J289" s="145" t="s">
        <v>2701</v>
      </c>
      <c r="K289" s="143" t="s">
        <v>1649</v>
      </c>
      <c r="L289" s="143" t="s">
        <v>1952</v>
      </c>
      <c r="M289" s="144">
        <v>0.27810000000000001</v>
      </c>
      <c r="N289" s="145" t="s">
        <v>2702</v>
      </c>
      <c r="O289" s="144">
        <v>0.27810000000000001</v>
      </c>
      <c r="P289" s="145" t="s">
        <v>1615</v>
      </c>
      <c r="Q289" s="143" t="s">
        <v>1648</v>
      </c>
      <c r="R289" s="143" t="s">
        <v>1952</v>
      </c>
      <c r="S289" s="144">
        <v>0.46639999999999998</v>
      </c>
      <c r="T289" s="145" t="s">
        <v>2703</v>
      </c>
      <c r="U289" s="144">
        <v>0.46639999999999998</v>
      </c>
      <c r="V289" s="145" t="s">
        <v>1615</v>
      </c>
      <c r="W289" s="143" t="s">
        <v>1648</v>
      </c>
      <c r="X289" s="143" t="s">
        <v>1952</v>
      </c>
    </row>
    <row r="290" spans="1:24" x14ac:dyDescent="0.2">
      <c r="A290" s="143" t="s">
        <v>580</v>
      </c>
      <c r="B290" s="142" t="s">
        <v>579</v>
      </c>
      <c r="C290" s="143" t="s">
        <v>22</v>
      </c>
      <c r="D290" s="143" t="s">
        <v>1958</v>
      </c>
      <c r="E290" s="143" t="s">
        <v>2713</v>
      </c>
      <c r="F290" s="143" t="s">
        <v>1949</v>
      </c>
      <c r="G290" s="144">
        <v>1</v>
      </c>
      <c r="H290" s="145" t="s">
        <v>2714</v>
      </c>
      <c r="I290" s="144">
        <v>0.83879999999999999</v>
      </c>
      <c r="J290" s="154" t="s">
        <v>1613</v>
      </c>
      <c r="K290" s="143" t="s">
        <v>1648</v>
      </c>
      <c r="L290" s="143" t="s">
        <v>1968</v>
      </c>
      <c r="M290" s="144">
        <v>1</v>
      </c>
      <c r="N290" s="145" t="s">
        <v>2715</v>
      </c>
      <c r="O290" s="144">
        <v>0.93059999999999998</v>
      </c>
      <c r="P290" s="154" t="s">
        <v>1613</v>
      </c>
      <c r="Q290" s="143" t="s">
        <v>1648</v>
      </c>
      <c r="R290" s="143" t="s">
        <v>1968</v>
      </c>
      <c r="S290" s="144">
        <v>0.4</v>
      </c>
      <c r="T290" s="145" t="s">
        <v>2396</v>
      </c>
      <c r="U290" s="144">
        <v>0.4</v>
      </c>
      <c r="V290" s="145" t="s">
        <v>2716</v>
      </c>
      <c r="W290" s="143" t="s">
        <v>1649</v>
      </c>
      <c r="X290" s="143" t="s">
        <v>1990</v>
      </c>
    </row>
    <row r="291" spans="1:24" x14ac:dyDescent="0.2">
      <c r="A291" s="143" t="s">
        <v>596</v>
      </c>
      <c r="B291" s="142" t="s">
        <v>595</v>
      </c>
      <c r="C291" s="143" t="s">
        <v>22</v>
      </c>
      <c r="D291" s="143" t="s">
        <v>2131</v>
      </c>
      <c r="E291" s="143" t="s">
        <v>2742</v>
      </c>
      <c r="F291" s="143" t="s">
        <v>1949</v>
      </c>
      <c r="G291" s="144">
        <v>1.9605999999999999</v>
      </c>
      <c r="H291" s="145" t="s">
        <v>2743</v>
      </c>
      <c r="I291" s="144">
        <v>1.9605999999999999</v>
      </c>
      <c r="J291" s="145" t="s">
        <v>2744</v>
      </c>
      <c r="K291" s="143" t="s">
        <v>1649</v>
      </c>
      <c r="L291" s="143" t="s">
        <v>1944</v>
      </c>
      <c r="M291" s="154"/>
      <c r="N291" s="156"/>
      <c r="O291" s="154"/>
      <c r="P291" s="156"/>
      <c r="Q291" s="154"/>
      <c r="R291" s="154"/>
      <c r="S291" s="154"/>
      <c r="T291" s="156"/>
      <c r="U291" s="154"/>
      <c r="V291" s="156"/>
      <c r="W291" s="154"/>
      <c r="X291" s="154"/>
    </row>
    <row r="292" spans="1:24" x14ac:dyDescent="0.2">
      <c r="A292" s="143" t="s">
        <v>598</v>
      </c>
      <c r="B292" s="142" t="s">
        <v>597</v>
      </c>
      <c r="C292" s="143" t="s">
        <v>22</v>
      </c>
      <c r="D292" s="143" t="s">
        <v>2002</v>
      </c>
      <c r="E292" s="143" t="s">
        <v>2745</v>
      </c>
      <c r="F292" s="143" t="s">
        <v>1949</v>
      </c>
      <c r="G292" s="144">
        <v>1.2339</v>
      </c>
      <c r="H292" s="145" t="s">
        <v>2746</v>
      </c>
      <c r="I292" s="144">
        <v>1.2339</v>
      </c>
      <c r="J292" s="145" t="s">
        <v>2467</v>
      </c>
      <c r="K292" s="143" t="s">
        <v>1649</v>
      </c>
      <c r="L292" s="143" t="s">
        <v>1952</v>
      </c>
      <c r="M292" s="144">
        <v>1</v>
      </c>
      <c r="N292" s="145" t="s">
        <v>2747</v>
      </c>
      <c r="O292" s="144">
        <v>0.68</v>
      </c>
      <c r="P292" s="145" t="s">
        <v>2748</v>
      </c>
      <c r="Q292" s="143" t="s">
        <v>1649</v>
      </c>
      <c r="R292" s="143" t="s">
        <v>2054</v>
      </c>
      <c r="S292" s="155"/>
      <c r="T292" s="154"/>
      <c r="U292" s="154"/>
      <c r="V292" s="154"/>
      <c r="W292" s="154"/>
      <c r="X292" s="154"/>
    </row>
    <row r="293" spans="1:24" x14ac:dyDescent="0.2">
      <c r="A293" s="143" t="s">
        <v>602</v>
      </c>
      <c r="B293" s="142" t="s">
        <v>601</v>
      </c>
      <c r="C293" s="143" t="s">
        <v>22</v>
      </c>
      <c r="D293" s="143" t="s">
        <v>2750</v>
      </c>
      <c r="E293" s="143" t="s">
        <v>2751</v>
      </c>
      <c r="F293" s="143" t="s">
        <v>1949</v>
      </c>
      <c r="G293" s="144">
        <v>1</v>
      </c>
      <c r="H293" s="145" t="s">
        <v>2752</v>
      </c>
      <c r="I293" s="144">
        <v>1</v>
      </c>
      <c r="J293" s="145" t="s">
        <v>2141</v>
      </c>
      <c r="K293" s="143" t="s">
        <v>1649</v>
      </c>
      <c r="L293" s="143" t="s">
        <v>1944</v>
      </c>
      <c r="M293" s="144">
        <v>1</v>
      </c>
      <c r="N293" s="145" t="s">
        <v>2753</v>
      </c>
      <c r="O293" s="144">
        <v>1</v>
      </c>
      <c r="P293" s="145" t="s">
        <v>2754</v>
      </c>
      <c r="Q293" s="143" t="s">
        <v>1649</v>
      </c>
      <c r="R293" s="143" t="s">
        <v>1952</v>
      </c>
      <c r="S293" s="154" t="s">
        <v>1613</v>
      </c>
      <c r="T293" s="154"/>
      <c r="U293" s="154"/>
      <c r="V293" s="154"/>
      <c r="W293" s="154"/>
      <c r="X293" s="154"/>
    </row>
    <row r="294" spans="1:24" x14ac:dyDescent="0.2">
      <c r="A294" s="143" t="s">
        <v>636</v>
      </c>
      <c r="B294" s="142" t="s">
        <v>635</v>
      </c>
      <c r="C294" s="143" t="s">
        <v>22</v>
      </c>
      <c r="D294" s="143" t="s">
        <v>1979</v>
      </c>
      <c r="E294" s="143" t="s">
        <v>2786</v>
      </c>
      <c r="F294" s="143" t="s">
        <v>890</v>
      </c>
      <c r="G294" s="144">
        <v>0.8</v>
      </c>
      <c r="H294" s="145" t="s">
        <v>2787</v>
      </c>
      <c r="I294" s="144">
        <v>0.8</v>
      </c>
      <c r="J294" s="145" t="s">
        <v>2788</v>
      </c>
      <c r="K294" s="143" t="s">
        <v>1648</v>
      </c>
      <c r="L294" s="154" t="s">
        <v>1613</v>
      </c>
      <c r="M294" s="154"/>
      <c r="N294" s="154"/>
      <c r="O294" s="154"/>
      <c r="P294" s="154"/>
      <c r="Q294" s="154"/>
      <c r="R294" s="154"/>
      <c r="S294" s="154"/>
      <c r="T294" s="154"/>
      <c r="U294" s="154"/>
      <c r="V294" s="154"/>
      <c r="W294" s="154"/>
      <c r="X294" s="154"/>
    </row>
    <row r="295" spans="1:24" x14ac:dyDescent="0.2">
      <c r="A295" s="143" t="s">
        <v>662</v>
      </c>
      <c r="B295" s="142" t="s">
        <v>661</v>
      </c>
      <c r="C295" s="143" t="s">
        <v>22</v>
      </c>
      <c r="D295" s="143" t="s">
        <v>2006</v>
      </c>
      <c r="E295" s="143" t="s">
        <v>2813</v>
      </c>
      <c r="F295" s="143" t="s">
        <v>1949</v>
      </c>
      <c r="G295" s="144">
        <v>1.25</v>
      </c>
      <c r="H295" s="145" t="s">
        <v>2814</v>
      </c>
      <c r="I295" s="144">
        <v>1.0703</v>
      </c>
      <c r="J295" s="154" t="s">
        <v>1613</v>
      </c>
      <c r="K295" s="143" t="s">
        <v>1648</v>
      </c>
      <c r="L295" s="143" t="s">
        <v>1952</v>
      </c>
      <c r="M295" s="144">
        <v>0.495</v>
      </c>
      <c r="N295" s="145" t="s">
        <v>2815</v>
      </c>
      <c r="O295" s="144">
        <v>0.47520000000000001</v>
      </c>
      <c r="P295" s="145" t="s">
        <v>2816</v>
      </c>
      <c r="Q295" s="143" t="s">
        <v>1649</v>
      </c>
      <c r="R295" s="143" t="s">
        <v>1952</v>
      </c>
      <c r="S295" s="154" t="s">
        <v>1613</v>
      </c>
      <c r="T295" s="154"/>
      <c r="U295" s="154"/>
      <c r="V295" s="156"/>
      <c r="W295" s="154"/>
      <c r="X295" s="154"/>
    </row>
    <row r="296" spans="1:24" x14ac:dyDescent="0.2">
      <c r="A296" s="143" t="s">
        <v>704</v>
      </c>
      <c r="B296" s="142" t="s">
        <v>703</v>
      </c>
      <c r="C296" s="143" t="s">
        <v>22</v>
      </c>
      <c r="D296" s="143" t="s">
        <v>1980</v>
      </c>
      <c r="E296" s="143" t="s">
        <v>2869</v>
      </c>
      <c r="F296" s="143" t="s">
        <v>1949</v>
      </c>
      <c r="G296" s="144">
        <v>1.2</v>
      </c>
      <c r="H296" s="145" t="s">
        <v>2870</v>
      </c>
      <c r="I296" s="144">
        <v>1.1400999999999999</v>
      </c>
      <c r="J296" s="145" t="s">
        <v>2871</v>
      </c>
      <c r="K296" s="143" t="s">
        <v>1649</v>
      </c>
      <c r="L296" s="143" t="s">
        <v>1952</v>
      </c>
      <c r="M296" s="144">
        <v>0.6</v>
      </c>
      <c r="N296" s="145" t="s">
        <v>2872</v>
      </c>
      <c r="O296" s="144">
        <v>0.55259999999999998</v>
      </c>
      <c r="P296" s="145" t="s">
        <v>1943</v>
      </c>
      <c r="Q296" s="143" t="s">
        <v>1648</v>
      </c>
      <c r="R296" s="143" t="s">
        <v>1952</v>
      </c>
      <c r="S296" s="144">
        <v>0.6</v>
      </c>
      <c r="T296" s="145" t="s">
        <v>2873</v>
      </c>
      <c r="U296" s="144">
        <v>0.43</v>
      </c>
      <c r="V296" s="145" t="s">
        <v>2396</v>
      </c>
      <c r="W296" s="143" t="s">
        <v>1649</v>
      </c>
      <c r="X296" s="143" t="s">
        <v>1988</v>
      </c>
    </row>
    <row r="297" spans="1:24" x14ac:dyDescent="0.2">
      <c r="A297" s="143" t="s">
        <v>706</v>
      </c>
      <c r="B297" s="142" t="s">
        <v>705</v>
      </c>
      <c r="C297" s="143" t="s">
        <v>22</v>
      </c>
      <c r="D297" s="143" t="s">
        <v>1940</v>
      </c>
      <c r="E297" s="143" t="s">
        <v>2874</v>
      </c>
      <c r="F297" s="143" t="s">
        <v>1919</v>
      </c>
      <c r="G297" s="144">
        <v>0.5</v>
      </c>
      <c r="H297" s="145" t="s">
        <v>2875</v>
      </c>
      <c r="I297" s="144">
        <v>0.40400000000000003</v>
      </c>
      <c r="J297" s="154" t="s">
        <v>1613</v>
      </c>
      <c r="K297" s="143" t="s">
        <v>1648</v>
      </c>
      <c r="L297" s="143" t="s">
        <v>1952</v>
      </c>
      <c r="M297" s="144">
        <v>0.5</v>
      </c>
      <c r="N297" s="145" t="s">
        <v>2490</v>
      </c>
      <c r="O297" s="144">
        <v>0.48409999999999997</v>
      </c>
      <c r="P297" s="154" t="s">
        <v>1613</v>
      </c>
      <c r="Q297" s="143" t="s">
        <v>1648</v>
      </c>
      <c r="R297" s="143" t="s">
        <v>1952</v>
      </c>
      <c r="S297" s="154" t="s">
        <v>1613</v>
      </c>
      <c r="T297" s="154"/>
      <c r="U297" s="154"/>
      <c r="V297" s="154"/>
      <c r="W297" s="154"/>
      <c r="X297" s="154"/>
    </row>
    <row r="298" spans="1:24" x14ac:dyDescent="0.2">
      <c r="A298" s="143" t="s">
        <v>712</v>
      </c>
      <c r="B298" s="142" t="s">
        <v>711</v>
      </c>
      <c r="C298" s="143" t="s">
        <v>22</v>
      </c>
      <c r="D298" s="143" t="s">
        <v>2126</v>
      </c>
      <c r="E298" s="143" t="s">
        <v>2880</v>
      </c>
      <c r="F298" s="143" t="s">
        <v>1949</v>
      </c>
      <c r="G298" s="144">
        <v>1.1000000000000001</v>
      </c>
      <c r="H298" s="145" t="s">
        <v>2173</v>
      </c>
      <c r="I298" s="144">
        <v>1.0981000000000001</v>
      </c>
      <c r="J298" s="145" t="s">
        <v>2881</v>
      </c>
      <c r="K298" s="143" t="s">
        <v>1649</v>
      </c>
      <c r="L298" s="143" t="s">
        <v>1952</v>
      </c>
      <c r="M298" s="155"/>
      <c r="N298" s="154"/>
      <c r="O298" s="155"/>
      <c r="P298" s="154"/>
      <c r="Q298" s="154"/>
      <c r="R298" s="154"/>
      <c r="S298" s="154"/>
      <c r="T298" s="154"/>
      <c r="U298" s="154"/>
      <c r="V298" s="154"/>
      <c r="W298" s="154"/>
      <c r="X298" s="154"/>
    </row>
    <row r="299" spans="1:24" x14ac:dyDescent="0.2">
      <c r="A299" s="143" t="s">
        <v>730</v>
      </c>
      <c r="B299" s="142" t="s">
        <v>729</v>
      </c>
      <c r="C299" s="143" t="s">
        <v>22</v>
      </c>
      <c r="D299" s="143" t="s">
        <v>1947</v>
      </c>
      <c r="E299" s="143" t="s">
        <v>2897</v>
      </c>
      <c r="F299" s="143" t="s">
        <v>1949</v>
      </c>
      <c r="G299" s="144">
        <v>1.35</v>
      </c>
      <c r="H299" s="145" t="s">
        <v>2898</v>
      </c>
      <c r="I299" s="144">
        <v>1.3</v>
      </c>
      <c r="J299" s="145" t="s">
        <v>2899</v>
      </c>
      <c r="K299" s="143" t="s">
        <v>1649</v>
      </c>
      <c r="L299" s="143" t="s">
        <v>1952</v>
      </c>
      <c r="M299" s="154"/>
      <c r="N299" s="154"/>
      <c r="O299" s="154"/>
      <c r="P299" s="154"/>
      <c r="Q299" s="154"/>
      <c r="R299" s="154"/>
      <c r="S299" s="154"/>
      <c r="T299" s="154"/>
      <c r="U299" s="154"/>
      <c r="V299" s="154"/>
      <c r="W299" s="154"/>
      <c r="X299" s="154"/>
    </row>
    <row r="300" spans="1:24" x14ac:dyDescent="0.2">
      <c r="A300" s="143" t="s">
        <v>742</v>
      </c>
      <c r="B300" s="142" t="s">
        <v>741</v>
      </c>
      <c r="C300" s="143" t="s">
        <v>22</v>
      </c>
      <c r="D300" s="143" t="s">
        <v>2264</v>
      </c>
      <c r="E300" s="143" t="s">
        <v>2912</v>
      </c>
      <c r="F300" s="143" t="s">
        <v>2133</v>
      </c>
      <c r="G300" s="154"/>
      <c r="H300" s="154"/>
      <c r="I300" s="154"/>
      <c r="J300" s="154"/>
      <c r="K300" s="154"/>
      <c r="L300" s="154"/>
      <c r="M300" s="154"/>
      <c r="N300" s="154"/>
      <c r="O300" s="154"/>
      <c r="P300" s="154"/>
      <c r="Q300" s="154"/>
      <c r="R300" s="154"/>
      <c r="S300" s="154"/>
      <c r="T300" s="154"/>
      <c r="U300" s="154"/>
      <c r="V300" s="154"/>
      <c r="W300" s="154"/>
      <c r="X300" s="154"/>
    </row>
    <row r="301" spans="1:24" x14ac:dyDescent="0.2">
      <c r="A301" s="143" t="s">
        <v>746</v>
      </c>
      <c r="B301" s="142" t="s">
        <v>745</v>
      </c>
      <c r="C301" s="143" t="s">
        <v>22</v>
      </c>
      <c r="D301" s="143" t="s">
        <v>2126</v>
      </c>
      <c r="E301" s="143" t="s">
        <v>2916</v>
      </c>
      <c r="F301" s="143" t="s">
        <v>890</v>
      </c>
      <c r="G301" s="144">
        <v>1.75</v>
      </c>
      <c r="H301" s="145" t="s">
        <v>2917</v>
      </c>
      <c r="I301" s="144">
        <v>1.68</v>
      </c>
      <c r="J301" s="145" t="s">
        <v>1615</v>
      </c>
      <c r="K301" s="143" t="s">
        <v>1648</v>
      </c>
      <c r="L301" s="143" t="s">
        <v>1990</v>
      </c>
      <c r="M301" s="155"/>
      <c r="N301" s="154"/>
      <c r="O301" s="155"/>
      <c r="P301" s="154"/>
      <c r="Q301" s="154"/>
      <c r="R301" s="154"/>
      <c r="S301" s="155"/>
      <c r="T301" s="154"/>
      <c r="U301" s="155"/>
      <c r="V301" s="154"/>
      <c r="W301" s="154"/>
      <c r="X301" s="154"/>
    </row>
    <row r="302" spans="1:24" x14ac:dyDescent="0.2">
      <c r="A302" s="143" t="s">
        <v>766</v>
      </c>
      <c r="B302" s="142" t="s">
        <v>765</v>
      </c>
      <c r="C302" s="143" t="s">
        <v>22</v>
      </c>
      <c r="D302" s="143" t="s">
        <v>2022</v>
      </c>
      <c r="E302" s="143" t="s">
        <v>2583</v>
      </c>
      <c r="F302" s="143" t="s">
        <v>1949</v>
      </c>
      <c r="G302" s="144">
        <v>1</v>
      </c>
      <c r="H302" s="145" t="s">
        <v>2940</v>
      </c>
      <c r="I302" s="144">
        <v>0.82820000000000005</v>
      </c>
      <c r="J302" s="154" t="s">
        <v>1613</v>
      </c>
      <c r="K302" s="143" t="s">
        <v>1648</v>
      </c>
      <c r="L302" s="143" t="s">
        <v>2941</v>
      </c>
      <c r="M302" s="154"/>
      <c r="N302" s="154"/>
      <c r="O302" s="154"/>
      <c r="P302" s="154"/>
      <c r="Q302" s="154"/>
      <c r="R302" s="154"/>
      <c r="S302" s="154"/>
      <c r="T302" s="154"/>
      <c r="U302" s="154"/>
      <c r="V302" s="154"/>
      <c r="W302" s="154"/>
      <c r="X302" s="154"/>
    </row>
    <row r="303" spans="1:24" x14ac:dyDescent="0.2">
      <c r="A303" s="143" t="s">
        <v>786</v>
      </c>
      <c r="B303" s="142" t="s">
        <v>785</v>
      </c>
      <c r="C303" s="143" t="s">
        <v>22</v>
      </c>
      <c r="D303" s="143" t="s">
        <v>1979</v>
      </c>
      <c r="E303" s="143" t="s">
        <v>2959</v>
      </c>
      <c r="F303" s="143" t="s">
        <v>890</v>
      </c>
      <c r="G303" s="144">
        <v>0.99</v>
      </c>
      <c r="H303" s="154" t="s">
        <v>1613</v>
      </c>
      <c r="I303" s="144">
        <v>0.99</v>
      </c>
      <c r="J303" s="154" t="s">
        <v>1613</v>
      </c>
      <c r="K303" s="143" t="s">
        <v>1648</v>
      </c>
      <c r="L303" s="154" t="s">
        <v>1613</v>
      </c>
      <c r="M303" s="144">
        <v>1</v>
      </c>
      <c r="N303" s="145" t="s">
        <v>1966</v>
      </c>
      <c r="O303" s="144">
        <v>1</v>
      </c>
      <c r="P303" s="145" t="s">
        <v>2960</v>
      </c>
      <c r="Q303" s="143" t="s">
        <v>1649</v>
      </c>
      <c r="R303" s="154" t="s">
        <v>1613</v>
      </c>
      <c r="S303" s="155"/>
      <c r="T303" s="154"/>
      <c r="U303" s="155"/>
      <c r="V303" s="154"/>
      <c r="W303" s="154"/>
      <c r="X303" s="154"/>
    </row>
    <row r="304" spans="1:24" x14ac:dyDescent="0.2">
      <c r="A304" s="143" t="s">
        <v>812</v>
      </c>
      <c r="B304" s="142" t="s">
        <v>811</v>
      </c>
      <c r="C304" s="143" t="s">
        <v>22</v>
      </c>
      <c r="D304" s="143" t="s">
        <v>1940</v>
      </c>
      <c r="E304" s="143" t="s">
        <v>2992</v>
      </c>
      <c r="F304" s="143" t="s">
        <v>890</v>
      </c>
      <c r="G304" s="144">
        <v>1.08</v>
      </c>
      <c r="H304" s="145" t="s">
        <v>2004</v>
      </c>
      <c r="I304" s="144">
        <v>1.0743</v>
      </c>
      <c r="J304" s="145" t="s">
        <v>2993</v>
      </c>
      <c r="K304" s="143" t="s">
        <v>1649</v>
      </c>
      <c r="L304" s="143" t="s">
        <v>1952</v>
      </c>
      <c r="M304" s="155"/>
      <c r="N304" s="154"/>
      <c r="O304" s="155"/>
      <c r="P304" s="154"/>
      <c r="Q304" s="154"/>
      <c r="R304" s="154"/>
      <c r="S304" s="155"/>
      <c r="T304" s="154"/>
      <c r="U304" s="155"/>
      <c r="V304" s="154"/>
      <c r="W304" s="154"/>
      <c r="X304" s="154"/>
    </row>
    <row r="305" spans="1:24" x14ac:dyDescent="0.2">
      <c r="A305" s="147" t="s">
        <v>38</v>
      </c>
      <c r="B305" s="146" t="s">
        <v>37</v>
      </c>
      <c r="C305" s="147" t="s">
        <v>39</v>
      </c>
      <c r="D305" s="147" t="s">
        <v>1979</v>
      </c>
      <c r="E305" s="154" t="s">
        <v>1613</v>
      </c>
      <c r="F305" s="147" t="s">
        <v>890</v>
      </c>
      <c r="G305" s="154"/>
      <c r="H305" s="154"/>
      <c r="I305" s="154"/>
      <c r="J305" s="154"/>
      <c r="K305" s="154"/>
      <c r="L305" s="154"/>
      <c r="M305" s="154"/>
      <c r="N305" s="154"/>
      <c r="O305" s="154"/>
      <c r="P305" s="154"/>
      <c r="Q305" s="154"/>
      <c r="R305" s="154"/>
      <c r="S305" s="154"/>
      <c r="T305" s="154"/>
      <c r="U305" s="154"/>
      <c r="V305" s="154"/>
      <c r="W305" s="154"/>
      <c r="X305" s="154"/>
    </row>
    <row r="306" spans="1:24" x14ac:dyDescent="0.2">
      <c r="A306" s="147" t="s">
        <v>41</v>
      </c>
      <c r="B306" s="146" t="s">
        <v>40</v>
      </c>
      <c r="C306" s="147" t="s">
        <v>39</v>
      </c>
      <c r="D306" s="147" t="s">
        <v>1980</v>
      </c>
      <c r="E306" s="147" t="s">
        <v>1981</v>
      </c>
      <c r="F306" s="147" t="s">
        <v>1919</v>
      </c>
      <c r="G306" s="148">
        <v>0.25</v>
      </c>
      <c r="H306" s="149" t="s">
        <v>1982</v>
      </c>
      <c r="I306" s="148">
        <v>0.25</v>
      </c>
      <c r="J306" s="149" t="s">
        <v>1983</v>
      </c>
      <c r="K306" s="147" t="s">
        <v>1649</v>
      </c>
      <c r="L306" s="147" t="s">
        <v>1952</v>
      </c>
      <c r="M306" s="154"/>
      <c r="N306" s="154"/>
      <c r="O306" s="154"/>
      <c r="P306" s="154"/>
      <c r="Q306" s="154"/>
      <c r="R306" s="154"/>
      <c r="S306" s="154"/>
      <c r="T306" s="154"/>
      <c r="U306" s="154"/>
      <c r="V306" s="154"/>
      <c r="W306" s="154"/>
      <c r="X306" s="154"/>
    </row>
    <row r="307" spans="1:24" x14ac:dyDescent="0.2">
      <c r="A307" s="147" t="s">
        <v>49</v>
      </c>
      <c r="B307" s="146" t="s">
        <v>48</v>
      </c>
      <c r="C307" s="147" t="s">
        <v>39</v>
      </c>
      <c r="D307" s="147" t="s">
        <v>1997</v>
      </c>
      <c r="E307" s="147" t="s">
        <v>1997</v>
      </c>
      <c r="F307" s="147" t="s">
        <v>894</v>
      </c>
      <c r="G307" s="148">
        <v>0.75</v>
      </c>
      <c r="H307" s="149" t="s">
        <v>1998</v>
      </c>
      <c r="I307" s="148">
        <v>0.75</v>
      </c>
      <c r="J307" s="149" t="s">
        <v>1999</v>
      </c>
      <c r="K307" s="147" t="s">
        <v>1649</v>
      </c>
      <c r="L307" s="147" t="s">
        <v>1952</v>
      </c>
      <c r="M307" s="148">
        <v>0.25</v>
      </c>
      <c r="N307" s="149" t="s">
        <v>2000</v>
      </c>
      <c r="O307" s="148">
        <v>0.25</v>
      </c>
      <c r="P307" s="149" t="s">
        <v>2001</v>
      </c>
      <c r="Q307" s="147" t="s">
        <v>1649</v>
      </c>
      <c r="R307" s="147" t="s">
        <v>1944</v>
      </c>
      <c r="S307" s="154" t="s">
        <v>1613</v>
      </c>
      <c r="T307" s="154"/>
      <c r="U307" s="154"/>
      <c r="V307" s="154"/>
      <c r="W307" s="154"/>
      <c r="X307" s="154"/>
    </row>
    <row r="308" spans="1:24" x14ac:dyDescent="0.2">
      <c r="A308" s="147" t="s">
        <v>72</v>
      </c>
      <c r="B308" s="146" t="s">
        <v>71</v>
      </c>
      <c r="C308" s="147" t="s">
        <v>39</v>
      </c>
      <c r="D308" s="147" t="s">
        <v>1940</v>
      </c>
      <c r="E308" s="147" t="s">
        <v>2032</v>
      </c>
      <c r="F308" s="147" t="s">
        <v>890</v>
      </c>
      <c r="G308" s="148">
        <v>1.75</v>
      </c>
      <c r="H308" s="149" t="s">
        <v>2033</v>
      </c>
      <c r="I308" s="148">
        <v>1.3567</v>
      </c>
      <c r="J308" s="154" t="s">
        <v>1613</v>
      </c>
      <c r="K308" s="147" t="s">
        <v>1648</v>
      </c>
      <c r="L308" s="147" t="s">
        <v>1952</v>
      </c>
      <c r="M308" s="155"/>
      <c r="N308" s="154"/>
      <c r="O308" s="155"/>
      <c r="P308" s="154"/>
      <c r="Q308" s="154"/>
      <c r="R308" s="154"/>
      <c r="S308" s="155"/>
      <c r="T308" s="154"/>
      <c r="U308" s="155"/>
      <c r="V308" s="154"/>
      <c r="W308" s="154"/>
      <c r="X308" s="154"/>
    </row>
    <row r="309" spans="1:24" x14ac:dyDescent="0.2">
      <c r="A309" s="147" t="s">
        <v>84</v>
      </c>
      <c r="B309" s="146" t="s">
        <v>83</v>
      </c>
      <c r="C309" s="147" t="s">
        <v>39</v>
      </c>
      <c r="D309" s="147" t="s">
        <v>1979</v>
      </c>
      <c r="E309" s="147" t="s">
        <v>2049</v>
      </c>
      <c r="F309" s="147" t="s">
        <v>1949</v>
      </c>
      <c r="G309" s="148">
        <v>0.7</v>
      </c>
      <c r="H309" s="149" t="s">
        <v>2050</v>
      </c>
      <c r="I309" s="148">
        <v>0.69299999999999995</v>
      </c>
      <c r="J309" s="149" t="s">
        <v>2051</v>
      </c>
      <c r="K309" s="147" t="s">
        <v>1649</v>
      </c>
      <c r="L309" s="147" t="s">
        <v>1952</v>
      </c>
      <c r="M309" s="148">
        <v>0.75</v>
      </c>
      <c r="N309" s="149" t="s">
        <v>2052</v>
      </c>
      <c r="O309" s="148">
        <v>0.74250000000000005</v>
      </c>
      <c r="P309" s="149" t="s">
        <v>2053</v>
      </c>
      <c r="Q309" s="147" t="s">
        <v>1649</v>
      </c>
      <c r="R309" s="147" t="s">
        <v>1952</v>
      </c>
      <c r="S309" s="148">
        <v>0.75</v>
      </c>
      <c r="T309" s="149" t="s">
        <v>2052</v>
      </c>
      <c r="U309" s="148">
        <v>0.62</v>
      </c>
      <c r="V309" s="149" t="s">
        <v>2053</v>
      </c>
      <c r="W309" s="147" t="s">
        <v>1649</v>
      </c>
      <c r="X309" s="147" t="s">
        <v>2054</v>
      </c>
    </row>
    <row r="310" spans="1:24" x14ac:dyDescent="0.2">
      <c r="A310" s="147" t="s">
        <v>108</v>
      </c>
      <c r="B310" s="146" t="s">
        <v>107</v>
      </c>
      <c r="C310" s="147" t="s">
        <v>39</v>
      </c>
      <c r="D310" s="147" t="s">
        <v>1940</v>
      </c>
      <c r="E310" s="147" t="s">
        <v>2081</v>
      </c>
      <c r="F310" s="147" t="s">
        <v>1919</v>
      </c>
      <c r="G310" s="148">
        <v>1</v>
      </c>
      <c r="H310" s="149" t="s">
        <v>2082</v>
      </c>
      <c r="I310" s="148">
        <v>0.67889999999999995</v>
      </c>
      <c r="J310" s="154" t="s">
        <v>1613</v>
      </c>
      <c r="K310" s="147" t="s">
        <v>1648</v>
      </c>
      <c r="L310" s="147" t="s">
        <v>1952</v>
      </c>
      <c r="M310" s="148">
        <v>0.78739999999999999</v>
      </c>
      <c r="N310" s="149" t="s">
        <v>2083</v>
      </c>
      <c r="O310" s="148">
        <v>0.72540000000000004</v>
      </c>
      <c r="P310" s="149" t="s">
        <v>2084</v>
      </c>
      <c r="Q310" s="147" t="s">
        <v>1648</v>
      </c>
      <c r="R310" s="147" t="s">
        <v>1952</v>
      </c>
      <c r="S310" s="148">
        <v>0.54100000000000004</v>
      </c>
      <c r="T310" s="149" t="s">
        <v>2085</v>
      </c>
      <c r="U310" s="148">
        <v>0.52110000000000001</v>
      </c>
      <c r="V310" s="149" t="s">
        <v>2086</v>
      </c>
      <c r="W310" s="147" t="s">
        <v>1649</v>
      </c>
      <c r="X310" s="147" t="s">
        <v>1952</v>
      </c>
    </row>
    <row r="311" spans="1:24" x14ac:dyDescent="0.2">
      <c r="A311" s="147" t="s">
        <v>114</v>
      </c>
      <c r="B311" s="146" t="s">
        <v>113</v>
      </c>
      <c r="C311" s="147" t="s">
        <v>39</v>
      </c>
      <c r="D311" s="147" t="s">
        <v>2090</v>
      </c>
      <c r="E311" s="147" t="s">
        <v>2091</v>
      </c>
      <c r="F311" s="147" t="s">
        <v>1949</v>
      </c>
      <c r="G311" s="148">
        <v>0.7</v>
      </c>
      <c r="H311" s="149" t="s">
        <v>2092</v>
      </c>
      <c r="I311" s="148">
        <v>0.6048</v>
      </c>
      <c r="J311" s="149" t="s">
        <v>2093</v>
      </c>
      <c r="K311" s="147" t="s">
        <v>1648</v>
      </c>
      <c r="L311" s="147" t="s">
        <v>1944</v>
      </c>
      <c r="M311" s="148">
        <v>0.5</v>
      </c>
      <c r="N311" s="149" t="s">
        <v>2094</v>
      </c>
      <c r="O311" s="148">
        <v>0.49990000000000001</v>
      </c>
      <c r="P311" s="149" t="s">
        <v>2095</v>
      </c>
      <c r="Q311" s="147" t="s">
        <v>1649</v>
      </c>
      <c r="R311" s="147" t="s">
        <v>1952</v>
      </c>
      <c r="S311" s="154" t="s">
        <v>1613</v>
      </c>
      <c r="T311" s="154"/>
      <c r="U311" s="154"/>
      <c r="V311" s="154"/>
      <c r="W311" s="154"/>
      <c r="X311" s="154"/>
    </row>
    <row r="312" spans="1:24" x14ac:dyDescent="0.2">
      <c r="A312" s="147" t="s">
        <v>124</v>
      </c>
      <c r="B312" s="146" t="s">
        <v>123</v>
      </c>
      <c r="C312" s="147" t="s">
        <v>39</v>
      </c>
      <c r="D312" s="147" t="s">
        <v>2110</v>
      </c>
      <c r="E312" s="147" t="s">
        <v>2111</v>
      </c>
      <c r="F312" s="147" t="s">
        <v>1949</v>
      </c>
      <c r="G312" s="148">
        <v>0.75</v>
      </c>
      <c r="H312" s="149" t="s">
        <v>2112</v>
      </c>
      <c r="I312" s="148">
        <v>0.64880000000000004</v>
      </c>
      <c r="J312" s="149" t="s">
        <v>1615</v>
      </c>
      <c r="K312" s="147" t="s">
        <v>1648</v>
      </c>
      <c r="L312" s="147" t="s">
        <v>1990</v>
      </c>
      <c r="M312" s="148">
        <v>0.22</v>
      </c>
      <c r="N312" s="149" t="s">
        <v>2113</v>
      </c>
      <c r="O312" s="148">
        <v>0.21329999999999999</v>
      </c>
      <c r="P312" s="149" t="s">
        <v>2114</v>
      </c>
      <c r="Q312" s="147" t="s">
        <v>1649</v>
      </c>
      <c r="R312" s="147" t="s">
        <v>1990</v>
      </c>
      <c r="S312" s="154" t="s">
        <v>1613</v>
      </c>
      <c r="T312" s="154"/>
      <c r="U312" s="154"/>
      <c r="V312" s="154"/>
      <c r="W312" s="154"/>
      <c r="X312" s="154"/>
    </row>
    <row r="313" spans="1:24" x14ac:dyDescent="0.2">
      <c r="A313" s="147" t="s">
        <v>134</v>
      </c>
      <c r="B313" s="146" t="s">
        <v>133</v>
      </c>
      <c r="C313" s="147" t="s">
        <v>39</v>
      </c>
      <c r="D313" s="147" t="s">
        <v>2128</v>
      </c>
      <c r="E313" s="147" t="s">
        <v>2129</v>
      </c>
      <c r="F313" s="147" t="s">
        <v>894</v>
      </c>
      <c r="G313" s="148">
        <v>0.75</v>
      </c>
      <c r="H313" s="149" t="s">
        <v>2085</v>
      </c>
      <c r="I313" s="148">
        <v>0.75</v>
      </c>
      <c r="J313" s="149" t="s">
        <v>2130</v>
      </c>
      <c r="K313" s="147" t="s">
        <v>1649</v>
      </c>
      <c r="L313" s="147" t="s">
        <v>1952</v>
      </c>
      <c r="M313" s="154"/>
      <c r="N313" s="156"/>
      <c r="O313" s="154"/>
      <c r="P313" s="156"/>
      <c r="Q313" s="154"/>
      <c r="R313" s="154"/>
      <c r="S313" s="154"/>
      <c r="T313" s="154"/>
      <c r="U313" s="154"/>
      <c r="V313" s="154"/>
      <c r="W313" s="154"/>
      <c r="X313" s="154"/>
    </row>
    <row r="314" spans="1:24" x14ac:dyDescent="0.2">
      <c r="A314" s="147" t="s">
        <v>150</v>
      </c>
      <c r="B314" s="146" t="s">
        <v>149</v>
      </c>
      <c r="C314" s="147" t="s">
        <v>39</v>
      </c>
      <c r="D314" s="147" t="s">
        <v>2152</v>
      </c>
      <c r="E314" s="147" t="s">
        <v>2153</v>
      </c>
      <c r="F314" s="147" t="s">
        <v>1949</v>
      </c>
      <c r="G314" s="148">
        <v>0.75</v>
      </c>
      <c r="H314" s="149" t="s">
        <v>2154</v>
      </c>
      <c r="I314" s="148">
        <v>0.64600000000000002</v>
      </c>
      <c r="J314" s="154" t="s">
        <v>1613</v>
      </c>
      <c r="K314" s="147" t="s">
        <v>1648</v>
      </c>
      <c r="L314" s="147" t="s">
        <v>1968</v>
      </c>
      <c r="M314" s="154"/>
      <c r="N314" s="154"/>
      <c r="O314" s="154"/>
      <c r="P314" s="154"/>
      <c r="Q314" s="154"/>
      <c r="R314" s="154"/>
      <c r="S314" s="154"/>
      <c r="T314" s="154"/>
      <c r="U314" s="154"/>
      <c r="V314" s="154"/>
      <c r="W314" s="154"/>
      <c r="X314" s="154"/>
    </row>
    <row r="315" spans="1:24" x14ac:dyDescent="0.2">
      <c r="A315" s="147" t="s">
        <v>170</v>
      </c>
      <c r="B315" s="146" t="s">
        <v>169</v>
      </c>
      <c r="C315" s="147" t="s">
        <v>39</v>
      </c>
      <c r="D315" s="147" t="s">
        <v>2010</v>
      </c>
      <c r="E315" s="147" t="s">
        <v>2188</v>
      </c>
      <c r="F315" s="147" t="s">
        <v>1919</v>
      </c>
      <c r="G315" s="148">
        <v>0.7</v>
      </c>
      <c r="H315" s="149" t="s">
        <v>2189</v>
      </c>
      <c r="I315" s="148">
        <v>0.61839999999999995</v>
      </c>
      <c r="J315" s="149" t="s">
        <v>1615</v>
      </c>
      <c r="K315" s="147" t="s">
        <v>1648</v>
      </c>
      <c r="L315" s="147" t="s">
        <v>1944</v>
      </c>
      <c r="M315" s="154"/>
      <c r="N315" s="154"/>
      <c r="O315" s="154"/>
      <c r="P315" s="154"/>
      <c r="Q315" s="154"/>
      <c r="R315" s="154"/>
      <c r="S315" s="155"/>
      <c r="T315" s="154"/>
      <c r="U315" s="154"/>
      <c r="V315" s="154"/>
      <c r="W315" s="154"/>
      <c r="X315" s="154"/>
    </row>
    <row r="316" spans="1:24" x14ac:dyDescent="0.2">
      <c r="A316" s="147" t="s">
        <v>174</v>
      </c>
      <c r="B316" s="146" t="s">
        <v>173</v>
      </c>
      <c r="C316" s="147" t="s">
        <v>39</v>
      </c>
      <c r="D316" s="147" t="s">
        <v>1940</v>
      </c>
      <c r="E316" s="147" t="s">
        <v>2194</v>
      </c>
      <c r="F316" s="147" t="s">
        <v>1949</v>
      </c>
      <c r="G316" s="148">
        <v>1.25</v>
      </c>
      <c r="H316" s="149" t="s">
        <v>2195</v>
      </c>
      <c r="I316" s="148">
        <v>1.179</v>
      </c>
      <c r="J316" s="149" t="s">
        <v>2147</v>
      </c>
      <c r="K316" s="147" t="s">
        <v>1649</v>
      </c>
      <c r="L316" s="147" t="s">
        <v>1952</v>
      </c>
      <c r="M316" s="155"/>
      <c r="N316" s="154"/>
      <c r="O316" s="155"/>
      <c r="P316" s="154"/>
      <c r="Q316" s="154"/>
      <c r="R316" s="154"/>
      <c r="S316" s="155"/>
      <c r="T316" s="154"/>
      <c r="U316" s="155"/>
      <c r="V316" s="154"/>
      <c r="W316" s="154"/>
      <c r="X316" s="154"/>
    </row>
    <row r="317" spans="1:24" x14ac:dyDescent="0.2">
      <c r="A317" s="147" t="s">
        <v>188</v>
      </c>
      <c r="B317" s="146" t="s">
        <v>187</v>
      </c>
      <c r="C317" s="147" t="s">
        <v>39</v>
      </c>
      <c r="D317" s="147" t="s">
        <v>1940</v>
      </c>
      <c r="E317" s="147" t="s">
        <v>2211</v>
      </c>
      <c r="F317" s="147" t="s">
        <v>1919</v>
      </c>
      <c r="G317" s="148">
        <v>0.3</v>
      </c>
      <c r="H317" s="149" t="s">
        <v>2212</v>
      </c>
      <c r="I317" s="148">
        <v>0.3</v>
      </c>
      <c r="J317" s="154" t="s">
        <v>1613</v>
      </c>
      <c r="K317" s="147" t="s">
        <v>1648</v>
      </c>
      <c r="L317" s="147" t="s">
        <v>1990</v>
      </c>
      <c r="M317" s="148">
        <v>0.7</v>
      </c>
      <c r="N317" s="149" t="s">
        <v>2213</v>
      </c>
      <c r="O317" s="148">
        <v>0.6895</v>
      </c>
      <c r="P317" s="149" t="s">
        <v>2214</v>
      </c>
      <c r="Q317" s="147" t="s">
        <v>1649</v>
      </c>
      <c r="R317" s="147" t="s">
        <v>1952</v>
      </c>
      <c r="S317" s="154" t="s">
        <v>1613</v>
      </c>
      <c r="T317" s="154"/>
      <c r="U317" s="154"/>
      <c r="V317" s="154"/>
      <c r="W317" s="154"/>
      <c r="X317" s="154"/>
    </row>
    <row r="318" spans="1:24" x14ac:dyDescent="0.2">
      <c r="A318" s="147" t="s">
        <v>190</v>
      </c>
      <c r="B318" s="146" t="s">
        <v>189</v>
      </c>
      <c r="C318" s="147" t="s">
        <v>39</v>
      </c>
      <c r="D318" s="147" t="s">
        <v>2215</v>
      </c>
      <c r="E318" s="147" t="s">
        <v>2216</v>
      </c>
      <c r="F318" s="147" t="s">
        <v>1949</v>
      </c>
      <c r="G318" s="148">
        <v>0.7</v>
      </c>
      <c r="H318" s="149" t="s">
        <v>2217</v>
      </c>
      <c r="I318" s="148">
        <v>0.7</v>
      </c>
      <c r="J318" s="149" t="s">
        <v>2217</v>
      </c>
      <c r="K318" s="147" t="s">
        <v>1649</v>
      </c>
      <c r="L318" s="147" t="s">
        <v>1952</v>
      </c>
      <c r="M318" s="155"/>
      <c r="N318" s="154"/>
      <c r="O318" s="155"/>
      <c r="P318" s="154"/>
      <c r="Q318" s="154"/>
      <c r="R318" s="154"/>
      <c r="S318" s="155"/>
      <c r="T318" s="154"/>
      <c r="U318" s="155"/>
      <c r="V318" s="154"/>
      <c r="W318" s="154"/>
      <c r="X318" s="154"/>
    </row>
    <row r="319" spans="1:24" x14ac:dyDescent="0.2">
      <c r="A319" s="147" t="s">
        <v>200</v>
      </c>
      <c r="B319" s="146" t="s">
        <v>199</v>
      </c>
      <c r="C319" s="147" t="s">
        <v>39</v>
      </c>
      <c r="D319" s="147" t="s">
        <v>2110</v>
      </c>
      <c r="E319" s="147" t="s">
        <v>2233</v>
      </c>
      <c r="F319" s="147" t="s">
        <v>1949</v>
      </c>
      <c r="G319" s="148">
        <v>1.4914000000000001</v>
      </c>
      <c r="H319" s="149" t="s">
        <v>2234</v>
      </c>
      <c r="I319" s="148">
        <v>1.4914000000000001</v>
      </c>
      <c r="J319" s="149" t="s">
        <v>2205</v>
      </c>
      <c r="K319" s="147" t="s">
        <v>1649</v>
      </c>
      <c r="L319" s="147" t="s">
        <v>1952</v>
      </c>
      <c r="M319" s="154"/>
      <c r="N319" s="154"/>
      <c r="O319" s="154"/>
      <c r="P319" s="154"/>
      <c r="Q319" s="154"/>
      <c r="R319" s="154"/>
      <c r="S319" s="154"/>
      <c r="T319" s="154"/>
      <c r="U319" s="154"/>
      <c r="V319" s="154"/>
      <c r="W319" s="154"/>
      <c r="X319" s="154"/>
    </row>
    <row r="320" spans="1:24" x14ac:dyDescent="0.2">
      <c r="A320" s="147" t="s">
        <v>218</v>
      </c>
      <c r="B320" s="146" t="s">
        <v>217</v>
      </c>
      <c r="C320" s="147" t="s">
        <v>39</v>
      </c>
      <c r="D320" s="147" t="s">
        <v>2055</v>
      </c>
      <c r="E320" s="147" t="s">
        <v>2262</v>
      </c>
      <c r="F320" s="147" t="s">
        <v>1949</v>
      </c>
      <c r="G320" s="148">
        <v>1</v>
      </c>
      <c r="H320" s="149" t="s">
        <v>2263</v>
      </c>
      <c r="I320" s="148">
        <v>1</v>
      </c>
      <c r="J320" s="154" t="s">
        <v>1613</v>
      </c>
      <c r="K320" s="147" t="s">
        <v>1648</v>
      </c>
      <c r="L320" s="147" t="s">
        <v>1990</v>
      </c>
      <c r="M320" s="155"/>
      <c r="N320" s="154"/>
      <c r="O320" s="155"/>
      <c r="P320" s="154"/>
      <c r="Q320" s="154"/>
      <c r="R320" s="154"/>
      <c r="S320" s="155"/>
      <c r="T320" s="154"/>
      <c r="U320" s="155"/>
      <c r="V320" s="154"/>
      <c r="W320" s="154"/>
      <c r="X320" s="154"/>
    </row>
    <row r="321" spans="1:24" x14ac:dyDescent="0.2">
      <c r="A321" s="147" t="s">
        <v>228</v>
      </c>
      <c r="B321" s="146" t="s">
        <v>227</v>
      </c>
      <c r="C321" s="147" t="s">
        <v>39</v>
      </c>
      <c r="D321" s="147" t="s">
        <v>2280</v>
      </c>
      <c r="E321" s="147" t="s">
        <v>2281</v>
      </c>
      <c r="F321" s="147" t="s">
        <v>894</v>
      </c>
      <c r="G321" s="148">
        <v>0.9</v>
      </c>
      <c r="H321" s="149" t="s">
        <v>2192</v>
      </c>
      <c r="I321" s="148">
        <v>0.9</v>
      </c>
      <c r="J321" s="149" t="s">
        <v>1999</v>
      </c>
      <c r="K321" s="147" t="s">
        <v>1649</v>
      </c>
      <c r="L321" s="147" t="s">
        <v>1952</v>
      </c>
      <c r="M321" s="154"/>
      <c r="N321" s="154"/>
      <c r="O321" s="154"/>
      <c r="P321" s="154"/>
      <c r="Q321" s="154"/>
      <c r="R321" s="154"/>
      <c r="S321" s="154"/>
      <c r="T321" s="154"/>
      <c r="U321" s="154"/>
      <c r="V321" s="154"/>
      <c r="W321" s="154"/>
      <c r="X321" s="154"/>
    </row>
    <row r="322" spans="1:24" x14ac:dyDescent="0.2">
      <c r="A322" s="147" t="s">
        <v>240</v>
      </c>
      <c r="B322" s="146" t="s">
        <v>239</v>
      </c>
      <c r="C322" s="147" t="s">
        <v>39</v>
      </c>
      <c r="D322" s="147" t="s">
        <v>1939</v>
      </c>
      <c r="E322" s="147" t="s">
        <v>2294</v>
      </c>
      <c r="F322" s="147" t="s">
        <v>890</v>
      </c>
      <c r="G322" s="148">
        <v>1</v>
      </c>
      <c r="H322" s="149" t="s">
        <v>2295</v>
      </c>
      <c r="I322" s="148">
        <v>1</v>
      </c>
      <c r="J322" s="149" t="s">
        <v>2296</v>
      </c>
      <c r="K322" s="147" t="s">
        <v>1649</v>
      </c>
      <c r="L322" s="147" t="s">
        <v>1952</v>
      </c>
      <c r="M322" s="148">
        <v>1</v>
      </c>
      <c r="N322" s="149" t="s">
        <v>2297</v>
      </c>
      <c r="O322" s="148">
        <v>1</v>
      </c>
      <c r="P322" s="149" t="s">
        <v>2296</v>
      </c>
      <c r="Q322" s="147" t="s">
        <v>1649</v>
      </c>
      <c r="R322" s="147" t="s">
        <v>1952</v>
      </c>
      <c r="S322" s="154" t="s">
        <v>1613</v>
      </c>
      <c r="T322" s="154"/>
      <c r="U322" s="154"/>
      <c r="V322" s="154"/>
      <c r="W322" s="154"/>
      <c r="X322" s="154"/>
    </row>
    <row r="323" spans="1:24" x14ac:dyDescent="0.2">
      <c r="A323" s="147" t="s">
        <v>242</v>
      </c>
      <c r="B323" s="146" t="s">
        <v>241</v>
      </c>
      <c r="C323" s="147" t="s">
        <v>39</v>
      </c>
      <c r="D323" s="147" t="s">
        <v>2010</v>
      </c>
      <c r="E323" s="147" t="s">
        <v>2298</v>
      </c>
      <c r="F323" s="147" t="s">
        <v>890</v>
      </c>
      <c r="G323" s="148">
        <v>1</v>
      </c>
      <c r="H323" s="149" t="s">
        <v>2299</v>
      </c>
      <c r="I323" s="148">
        <v>0.86799999999999999</v>
      </c>
      <c r="J323" s="149" t="s">
        <v>2300</v>
      </c>
      <c r="K323" s="147" t="s">
        <v>1649</v>
      </c>
      <c r="L323" s="147" t="s">
        <v>1952</v>
      </c>
      <c r="M323" s="148">
        <v>1</v>
      </c>
      <c r="N323" s="149" t="s">
        <v>1996</v>
      </c>
      <c r="O323" s="148">
        <v>0.98329999999999995</v>
      </c>
      <c r="P323" s="149" t="s">
        <v>2301</v>
      </c>
      <c r="Q323" s="147" t="s">
        <v>1649</v>
      </c>
      <c r="R323" s="147" t="s">
        <v>1952</v>
      </c>
      <c r="S323" s="155"/>
      <c r="T323" s="156"/>
      <c r="U323" s="155"/>
      <c r="V323" s="156"/>
      <c r="W323" s="154"/>
      <c r="X323" s="154"/>
    </row>
    <row r="324" spans="1:24" x14ac:dyDescent="0.2">
      <c r="A324" s="147" t="s">
        <v>300</v>
      </c>
      <c r="B324" s="146" t="s">
        <v>299</v>
      </c>
      <c r="C324" s="147" t="s">
        <v>39</v>
      </c>
      <c r="D324" s="147" t="s">
        <v>1979</v>
      </c>
      <c r="E324" s="147" t="s">
        <v>2377</v>
      </c>
      <c r="F324" s="147" t="s">
        <v>890</v>
      </c>
      <c r="G324" s="148">
        <v>1</v>
      </c>
      <c r="H324" s="149" t="s">
        <v>2378</v>
      </c>
      <c r="I324" s="148">
        <v>0.95279999999999998</v>
      </c>
      <c r="J324" s="149" t="s">
        <v>2379</v>
      </c>
      <c r="K324" s="147" t="s">
        <v>1649</v>
      </c>
      <c r="L324" s="147" t="s">
        <v>1944</v>
      </c>
      <c r="M324" s="148">
        <v>1</v>
      </c>
      <c r="N324" s="149" t="s">
        <v>2380</v>
      </c>
      <c r="O324" s="148">
        <v>0.98260000000000003</v>
      </c>
      <c r="P324" s="149" t="s">
        <v>2381</v>
      </c>
      <c r="Q324" s="147" t="s">
        <v>1649</v>
      </c>
      <c r="R324" s="154" t="s">
        <v>1613</v>
      </c>
      <c r="S324" s="154" t="s">
        <v>1613</v>
      </c>
      <c r="T324" s="154"/>
      <c r="U324" s="154"/>
      <c r="V324" s="154"/>
      <c r="W324" s="154"/>
      <c r="X324" s="154"/>
    </row>
    <row r="325" spans="1:24" x14ac:dyDescent="0.2">
      <c r="A325" s="147" t="s">
        <v>308</v>
      </c>
      <c r="B325" s="146" t="s">
        <v>307</v>
      </c>
      <c r="C325" s="147" t="s">
        <v>39</v>
      </c>
      <c r="D325" s="147" t="s">
        <v>1980</v>
      </c>
      <c r="E325" s="147" t="s">
        <v>2389</v>
      </c>
      <c r="F325" s="147" t="s">
        <v>1919</v>
      </c>
      <c r="G325" s="155"/>
      <c r="H325" s="154"/>
      <c r="I325" s="155"/>
      <c r="J325" s="154"/>
      <c r="K325" s="154"/>
      <c r="L325" s="154"/>
      <c r="M325" s="155"/>
      <c r="N325" s="154"/>
      <c r="O325" s="155"/>
      <c r="P325" s="154"/>
      <c r="Q325" s="154"/>
      <c r="R325" s="154"/>
      <c r="S325" s="155"/>
      <c r="T325" s="154"/>
      <c r="U325" s="155"/>
      <c r="V325" s="154"/>
      <c r="W325" s="154"/>
      <c r="X325" s="154"/>
    </row>
    <row r="326" spans="1:24" x14ac:dyDescent="0.2">
      <c r="A326" s="147" t="s">
        <v>328</v>
      </c>
      <c r="B326" s="146" t="s">
        <v>327</v>
      </c>
      <c r="C326" s="147" t="s">
        <v>39</v>
      </c>
      <c r="D326" s="147" t="s">
        <v>2367</v>
      </c>
      <c r="E326" s="147" t="s">
        <v>2415</v>
      </c>
      <c r="F326" s="147" t="s">
        <v>1949</v>
      </c>
      <c r="G326" s="148">
        <v>2.4</v>
      </c>
      <c r="H326" s="149" t="s">
        <v>2416</v>
      </c>
      <c r="I326" s="148">
        <v>2.4</v>
      </c>
      <c r="J326" s="149" t="s">
        <v>2417</v>
      </c>
      <c r="K326" s="147" t="s">
        <v>1649</v>
      </c>
      <c r="L326" s="147" t="s">
        <v>1952</v>
      </c>
      <c r="M326" s="148">
        <v>0.48659999999999998</v>
      </c>
      <c r="N326" s="149" t="s">
        <v>2418</v>
      </c>
      <c r="O326" s="148">
        <v>0.49619999999999997</v>
      </c>
      <c r="P326" s="149" t="s">
        <v>2419</v>
      </c>
      <c r="Q326" s="147" t="s">
        <v>1649</v>
      </c>
      <c r="R326" s="147" t="s">
        <v>2054</v>
      </c>
      <c r="S326" s="154" t="s">
        <v>1613</v>
      </c>
      <c r="T326" s="154"/>
      <c r="U326" s="154"/>
      <c r="V326" s="154"/>
      <c r="W326" s="154"/>
      <c r="X326" s="154"/>
    </row>
    <row r="327" spans="1:24" x14ac:dyDescent="0.2">
      <c r="A327" s="147" t="s">
        <v>386</v>
      </c>
      <c r="B327" s="146" t="s">
        <v>385</v>
      </c>
      <c r="C327" s="147" t="s">
        <v>39</v>
      </c>
      <c r="D327" s="147" t="s">
        <v>2494</v>
      </c>
      <c r="E327" s="147" t="s">
        <v>2495</v>
      </c>
      <c r="F327" s="147" t="s">
        <v>1949</v>
      </c>
      <c r="G327" s="148">
        <v>0.49120000000000003</v>
      </c>
      <c r="H327" s="149" t="s">
        <v>2290</v>
      </c>
      <c r="I327" s="148">
        <v>0.49120000000000003</v>
      </c>
      <c r="J327" s="149" t="s">
        <v>2187</v>
      </c>
      <c r="K327" s="147" t="s">
        <v>1649</v>
      </c>
      <c r="L327" s="147" t="s">
        <v>1952</v>
      </c>
      <c r="M327" s="154"/>
      <c r="N327" s="154"/>
      <c r="O327" s="154"/>
      <c r="P327" s="154"/>
      <c r="Q327" s="154"/>
      <c r="R327" s="154"/>
      <c r="S327" s="154"/>
      <c r="T327" s="154"/>
      <c r="U327" s="154"/>
      <c r="V327" s="154"/>
      <c r="W327" s="154"/>
      <c r="X327" s="154"/>
    </row>
    <row r="328" spans="1:24" x14ac:dyDescent="0.2">
      <c r="A328" s="147" t="s">
        <v>431</v>
      </c>
      <c r="B328" s="146" t="s">
        <v>430</v>
      </c>
      <c r="C328" s="147" t="s">
        <v>39</v>
      </c>
      <c r="D328" s="147" t="s">
        <v>1947</v>
      </c>
      <c r="E328" s="147" t="s">
        <v>2537</v>
      </c>
      <c r="F328" s="147" t="s">
        <v>1949</v>
      </c>
      <c r="G328" s="148">
        <v>0.6</v>
      </c>
      <c r="H328" s="149" t="s">
        <v>2538</v>
      </c>
      <c r="I328" s="148">
        <v>0.6</v>
      </c>
      <c r="J328" s="149" t="s">
        <v>2539</v>
      </c>
      <c r="K328" s="147" t="s">
        <v>1649</v>
      </c>
      <c r="L328" s="147" t="s">
        <v>1952</v>
      </c>
      <c r="M328" s="154"/>
      <c r="N328" s="154"/>
      <c r="O328" s="154"/>
      <c r="P328" s="154"/>
      <c r="Q328" s="154"/>
      <c r="R328" s="154"/>
      <c r="S328" s="154"/>
      <c r="T328" s="154"/>
      <c r="U328" s="154"/>
      <c r="V328" s="154"/>
      <c r="W328" s="154"/>
      <c r="X328" s="154"/>
    </row>
    <row r="329" spans="1:24" x14ac:dyDescent="0.2">
      <c r="A329" s="147" t="s">
        <v>437</v>
      </c>
      <c r="B329" s="146" t="s">
        <v>436</v>
      </c>
      <c r="C329" s="147" t="s">
        <v>39</v>
      </c>
      <c r="D329" s="147" t="s">
        <v>1979</v>
      </c>
      <c r="E329" s="147" t="s">
        <v>2009</v>
      </c>
      <c r="F329" s="147" t="s">
        <v>890</v>
      </c>
      <c r="G329" s="148">
        <v>0.7</v>
      </c>
      <c r="H329" s="149" t="s">
        <v>2544</v>
      </c>
      <c r="I329" s="148">
        <v>0.7</v>
      </c>
      <c r="J329" s="149" t="s">
        <v>2545</v>
      </c>
      <c r="K329" s="147" t="s">
        <v>1649</v>
      </c>
      <c r="L329" s="147" t="s">
        <v>1952</v>
      </c>
      <c r="M329" s="154"/>
      <c r="N329" s="154"/>
      <c r="O329" s="154"/>
      <c r="P329" s="154"/>
      <c r="Q329" s="154"/>
      <c r="R329" s="154"/>
      <c r="S329" s="154"/>
      <c r="T329" s="154"/>
      <c r="U329" s="154"/>
      <c r="V329" s="154"/>
      <c r="W329" s="154"/>
      <c r="X329" s="154"/>
    </row>
    <row r="330" spans="1:24" x14ac:dyDescent="0.2">
      <c r="A330" s="147" t="s">
        <v>448</v>
      </c>
      <c r="B330" s="146" t="s">
        <v>447</v>
      </c>
      <c r="C330" s="147" t="s">
        <v>39</v>
      </c>
      <c r="D330" s="147" t="s">
        <v>1980</v>
      </c>
      <c r="E330" s="147" t="s">
        <v>2554</v>
      </c>
      <c r="F330" s="147" t="s">
        <v>1949</v>
      </c>
      <c r="G330" s="148">
        <v>1</v>
      </c>
      <c r="H330" s="149" t="s">
        <v>2555</v>
      </c>
      <c r="I330" s="148">
        <v>0.96540000000000004</v>
      </c>
      <c r="J330" s="149" t="s">
        <v>2556</v>
      </c>
      <c r="K330" s="147" t="s">
        <v>1648</v>
      </c>
      <c r="L330" s="147" t="s">
        <v>1944</v>
      </c>
      <c r="M330" s="148">
        <v>0.115</v>
      </c>
      <c r="N330" s="149" t="s">
        <v>2557</v>
      </c>
      <c r="O330" s="148">
        <v>0.115</v>
      </c>
      <c r="P330" s="149" t="s">
        <v>2558</v>
      </c>
      <c r="Q330" s="147" t="s">
        <v>1649</v>
      </c>
      <c r="R330" s="147" t="s">
        <v>2054</v>
      </c>
      <c r="S330" s="154" t="s">
        <v>1613</v>
      </c>
      <c r="T330" s="154"/>
      <c r="U330" s="154"/>
      <c r="V330" s="154"/>
      <c r="W330" s="154"/>
      <c r="X330" s="154"/>
    </row>
    <row r="331" spans="1:24" x14ac:dyDescent="0.2">
      <c r="A331" s="147" t="s">
        <v>464</v>
      </c>
      <c r="B331" s="146" t="s">
        <v>463</v>
      </c>
      <c r="C331" s="147" t="s">
        <v>39</v>
      </c>
      <c r="D331" s="147" t="s">
        <v>1940</v>
      </c>
      <c r="E331" s="147" t="s">
        <v>2575</v>
      </c>
      <c r="F331" s="147" t="s">
        <v>890</v>
      </c>
      <c r="G331" s="148">
        <v>1</v>
      </c>
      <c r="H331" s="149" t="s">
        <v>2576</v>
      </c>
      <c r="I331" s="148">
        <v>1</v>
      </c>
      <c r="J331" s="149" t="s">
        <v>2577</v>
      </c>
      <c r="K331" s="147" t="s">
        <v>1649</v>
      </c>
      <c r="L331" s="147" t="s">
        <v>1952</v>
      </c>
      <c r="M331" s="154"/>
      <c r="N331" s="154"/>
      <c r="O331" s="154"/>
      <c r="P331" s="154"/>
      <c r="Q331" s="154"/>
      <c r="R331" s="154"/>
      <c r="S331" s="154"/>
      <c r="T331" s="154"/>
      <c r="U331" s="154"/>
      <c r="V331" s="154"/>
      <c r="W331" s="154"/>
      <c r="X331" s="154"/>
    </row>
    <row r="332" spans="1:24" x14ac:dyDescent="0.2">
      <c r="A332" s="147" t="s">
        <v>484</v>
      </c>
      <c r="B332" s="146" t="s">
        <v>483</v>
      </c>
      <c r="C332" s="147" t="s">
        <v>39</v>
      </c>
      <c r="D332" s="147" t="s">
        <v>2595</v>
      </c>
      <c r="E332" s="147" t="s">
        <v>2596</v>
      </c>
      <c r="F332" s="147" t="s">
        <v>1949</v>
      </c>
      <c r="G332" s="148">
        <v>0.5</v>
      </c>
      <c r="H332" s="149" t="s">
        <v>2597</v>
      </c>
      <c r="I332" s="148">
        <v>0.49469999999999997</v>
      </c>
      <c r="J332" s="149" t="s">
        <v>1612</v>
      </c>
      <c r="K332" s="147" t="s">
        <v>1648</v>
      </c>
      <c r="L332" s="147" t="s">
        <v>1944</v>
      </c>
      <c r="M332" s="154"/>
      <c r="N332" s="154"/>
      <c r="O332" s="154"/>
      <c r="P332" s="154"/>
      <c r="Q332" s="154"/>
      <c r="R332" s="154"/>
      <c r="S332" s="154"/>
      <c r="T332" s="154"/>
      <c r="U332" s="154"/>
      <c r="V332" s="154"/>
      <c r="W332" s="154"/>
      <c r="X332" s="154"/>
    </row>
    <row r="333" spans="1:24" x14ac:dyDescent="0.2">
      <c r="A333" s="147" t="s">
        <v>538</v>
      </c>
      <c r="B333" s="146" t="s">
        <v>537</v>
      </c>
      <c r="C333" s="147" t="s">
        <v>39</v>
      </c>
      <c r="D333" s="147" t="s">
        <v>1979</v>
      </c>
      <c r="E333" s="147" t="s">
        <v>2663</v>
      </c>
      <c r="F333" s="147" t="s">
        <v>1949</v>
      </c>
      <c r="G333" s="148">
        <v>1</v>
      </c>
      <c r="H333" s="149" t="s">
        <v>2112</v>
      </c>
      <c r="I333" s="148">
        <v>0.91139999999999999</v>
      </c>
      <c r="J333" s="149" t="s">
        <v>1887</v>
      </c>
      <c r="K333" s="147" t="s">
        <v>1648</v>
      </c>
      <c r="L333" s="147" t="s">
        <v>1952</v>
      </c>
      <c r="M333" s="148">
        <v>0.19969999999999999</v>
      </c>
      <c r="N333" s="149" t="s">
        <v>1945</v>
      </c>
      <c r="O333" s="148">
        <v>0.19009999999999999</v>
      </c>
      <c r="P333" s="149" t="s">
        <v>2664</v>
      </c>
      <c r="Q333" s="147" t="s">
        <v>1649</v>
      </c>
      <c r="R333" s="147" t="s">
        <v>1952</v>
      </c>
      <c r="S333" s="155"/>
      <c r="T333" s="156"/>
      <c r="U333" s="155"/>
      <c r="V333" s="156"/>
      <c r="W333" s="154"/>
      <c r="X333" s="154"/>
    </row>
    <row r="334" spans="1:24" x14ac:dyDescent="0.2">
      <c r="A334" s="147" t="s">
        <v>544</v>
      </c>
      <c r="B334" s="146" t="s">
        <v>543</v>
      </c>
      <c r="C334" s="147" t="s">
        <v>39</v>
      </c>
      <c r="D334" s="147" t="s">
        <v>1940</v>
      </c>
      <c r="E334" s="147" t="s">
        <v>2670</v>
      </c>
      <c r="F334" s="147" t="s">
        <v>890</v>
      </c>
      <c r="G334" s="148">
        <v>1</v>
      </c>
      <c r="H334" s="149" t="s">
        <v>2671</v>
      </c>
      <c r="I334" s="148">
        <v>0.9516</v>
      </c>
      <c r="J334" s="154" t="s">
        <v>1613</v>
      </c>
      <c r="K334" s="147" t="s">
        <v>1648</v>
      </c>
      <c r="L334" s="147" t="s">
        <v>1952</v>
      </c>
      <c r="M334" s="148">
        <v>0.5</v>
      </c>
      <c r="N334" s="149" t="s">
        <v>2672</v>
      </c>
      <c r="O334" s="148">
        <v>0.47989999999999999</v>
      </c>
      <c r="P334" s="149" t="s">
        <v>2673</v>
      </c>
      <c r="Q334" s="147" t="s">
        <v>1649</v>
      </c>
      <c r="R334" s="147" t="s">
        <v>1952</v>
      </c>
      <c r="S334" s="154" t="s">
        <v>1613</v>
      </c>
      <c r="T334" s="154"/>
      <c r="U334" s="154"/>
      <c r="V334" s="154"/>
      <c r="W334" s="154"/>
      <c r="X334" s="154"/>
    </row>
    <row r="335" spans="1:24" x14ac:dyDescent="0.2">
      <c r="A335" s="147" t="s">
        <v>550</v>
      </c>
      <c r="B335" s="146" t="s">
        <v>549</v>
      </c>
      <c r="C335" s="147" t="s">
        <v>39</v>
      </c>
      <c r="D335" s="147" t="s">
        <v>1940</v>
      </c>
      <c r="E335" s="147" t="s">
        <v>2678</v>
      </c>
      <c r="F335" s="147" t="s">
        <v>1919</v>
      </c>
      <c r="G335" s="148">
        <v>1.5</v>
      </c>
      <c r="H335" s="149" t="s">
        <v>2662</v>
      </c>
      <c r="I335" s="148">
        <v>1.3554999999999999</v>
      </c>
      <c r="J335" s="154" t="s">
        <v>1613</v>
      </c>
      <c r="K335" s="147" t="s">
        <v>1648</v>
      </c>
      <c r="L335" s="147" t="s">
        <v>1952</v>
      </c>
      <c r="M335" s="155"/>
      <c r="N335" s="154"/>
      <c r="O335" s="155"/>
      <c r="P335" s="154"/>
      <c r="Q335" s="154"/>
      <c r="R335" s="154"/>
      <c r="S335" s="155"/>
      <c r="T335" s="154"/>
      <c r="U335" s="154"/>
      <c r="V335" s="154"/>
      <c r="W335" s="154"/>
      <c r="X335" s="154"/>
    </row>
    <row r="336" spans="1:24" x14ac:dyDescent="0.2">
      <c r="A336" s="147" t="s">
        <v>578</v>
      </c>
      <c r="B336" s="146" t="s">
        <v>577</v>
      </c>
      <c r="C336" s="147" t="s">
        <v>39</v>
      </c>
      <c r="D336" s="147" t="s">
        <v>2349</v>
      </c>
      <c r="E336" s="147" t="s">
        <v>2709</v>
      </c>
      <c r="F336" s="147" t="s">
        <v>890</v>
      </c>
      <c r="G336" s="148">
        <v>1.5</v>
      </c>
      <c r="H336" s="149" t="s">
        <v>2710</v>
      </c>
      <c r="I336" s="148">
        <v>1.3685</v>
      </c>
      <c r="J336" s="149" t="s">
        <v>1887</v>
      </c>
      <c r="K336" s="147" t="s">
        <v>1648</v>
      </c>
      <c r="L336" s="147" t="s">
        <v>1990</v>
      </c>
      <c r="M336" s="148">
        <v>0.67959999999999998</v>
      </c>
      <c r="N336" s="149" t="s">
        <v>2711</v>
      </c>
      <c r="O336" s="148">
        <v>0.497</v>
      </c>
      <c r="P336" s="149" t="s">
        <v>2712</v>
      </c>
      <c r="Q336" s="147" t="s">
        <v>1649</v>
      </c>
      <c r="R336" s="147" t="s">
        <v>2054</v>
      </c>
      <c r="S336" s="154" t="s">
        <v>1613</v>
      </c>
      <c r="T336" s="154"/>
      <c r="U336" s="154"/>
      <c r="V336" s="154"/>
      <c r="W336" s="154"/>
      <c r="X336" s="154"/>
    </row>
    <row r="337" spans="1:24" x14ac:dyDescent="0.2">
      <c r="A337" s="147" t="s">
        <v>588</v>
      </c>
      <c r="B337" s="146" t="s">
        <v>587</v>
      </c>
      <c r="C337" s="147" t="s">
        <v>39</v>
      </c>
      <c r="D337" s="147" t="s">
        <v>1979</v>
      </c>
      <c r="E337" s="147" t="s">
        <v>2727</v>
      </c>
      <c r="F337" s="147" t="s">
        <v>1949</v>
      </c>
      <c r="G337" s="148">
        <v>0.5</v>
      </c>
      <c r="H337" s="149" t="s">
        <v>2728</v>
      </c>
      <c r="I337" s="148">
        <v>0.4839</v>
      </c>
      <c r="J337" s="154" t="s">
        <v>1613</v>
      </c>
      <c r="K337" s="147" t="s">
        <v>1648</v>
      </c>
      <c r="L337" s="147" t="s">
        <v>1952</v>
      </c>
      <c r="M337" s="148">
        <v>0.4</v>
      </c>
      <c r="N337" s="149" t="s">
        <v>2729</v>
      </c>
      <c r="O337" s="148">
        <v>0.32779999999999998</v>
      </c>
      <c r="P337" s="154" t="s">
        <v>1613</v>
      </c>
      <c r="Q337" s="147" t="s">
        <v>1648</v>
      </c>
      <c r="R337" s="147" t="s">
        <v>1952</v>
      </c>
      <c r="S337" s="148">
        <v>0.8</v>
      </c>
      <c r="T337" s="149" t="s">
        <v>2730</v>
      </c>
      <c r="U337" s="148">
        <v>0.6331</v>
      </c>
      <c r="V337" s="154" t="s">
        <v>1613</v>
      </c>
      <c r="W337" s="147" t="s">
        <v>1648</v>
      </c>
      <c r="X337" s="147" t="s">
        <v>1952</v>
      </c>
    </row>
    <row r="338" spans="1:24" x14ac:dyDescent="0.2">
      <c r="A338" s="147" t="s">
        <v>616</v>
      </c>
      <c r="B338" s="146" t="s">
        <v>615</v>
      </c>
      <c r="C338" s="147" t="s">
        <v>39</v>
      </c>
      <c r="D338" s="147" t="s">
        <v>1979</v>
      </c>
      <c r="E338" s="147" t="s">
        <v>2767</v>
      </c>
      <c r="F338" s="147" t="s">
        <v>1949</v>
      </c>
      <c r="G338" s="148">
        <v>1</v>
      </c>
      <c r="H338" s="149" t="s">
        <v>2768</v>
      </c>
      <c r="I338" s="148">
        <v>0.92330000000000001</v>
      </c>
      <c r="J338" s="154" t="s">
        <v>1613</v>
      </c>
      <c r="K338" s="147" t="s">
        <v>1648</v>
      </c>
      <c r="L338" s="147" t="s">
        <v>1952</v>
      </c>
      <c r="M338" s="148">
        <v>0</v>
      </c>
      <c r="N338" s="149" t="s">
        <v>2769</v>
      </c>
      <c r="O338" s="148">
        <v>0.75</v>
      </c>
      <c r="P338" s="149" t="s">
        <v>2147</v>
      </c>
      <c r="Q338" s="147" t="s">
        <v>1649</v>
      </c>
      <c r="R338" s="147" t="s">
        <v>2054</v>
      </c>
      <c r="S338" s="148">
        <v>1.4</v>
      </c>
      <c r="T338" s="149" t="s">
        <v>2042</v>
      </c>
      <c r="U338" s="148">
        <v>1.4</v>
      </c>
      <c r="V338" s="149" t="s">
        <v>2147</v>
      </c>
      <c r="W338" s="147" t="s">
        <v>1649</v>
      </c>
      <c r="X338" s="147" t="s">
        <v>1952</v>
      </c>
    </row>
    <row r="339" spans="1:24" x14ac:dyDescent="0.2">
      <c r="A339" s="147" t="s">
        <v>640</v>
      </c>
      <c r="B339" s="146" t="s">
        <v>639</v>
      </c>
      <c r="C339" s="147" t="s">
        <v>39</v>
      </c>
      <c r="D339" s="147" t="s">
        <v>2010</v>
      </c>
      <c r="E339" s="147" t="s">
        <v>2791</v>
      </c>
      <c r="F339" s="147" t="s">
        <v>1949</v>
      </c>
      <c r="G339" s="148">
        <v>1.35</v>
      </c>
      <c r="H339" s="149" t="s">
        <v>2792</v>
      </c>
      <c r="I339" s="148">
        <v>1.0967</v>
      </c>
      <c r="J339" s="154" t="s">
        <v>1613</v>
      </c>
      <c r="K339" s="147" t="s">
        <v>1648</v>
      </c>
      <c r="L339" s="147" t="s">
        <v>1952</v>
      </c>
      <c r="M339" s="155"/>
      <c r="N339" s="154"/>
      <c r="O339" s="155"/>
      <c r="P339" s="154"/>
      <c r="Q339" s="154"/>
      <c r="R339" s="154"/>
      <c r="S339" s="155"/>
      <c r="T339" s="154"/>
      <c r="U339" s="155"/>
      <c r="V339" s="154"/>
      <c r="W339" s="154"/>
      <c r="X339" s="154"/>
    </row>
    <row r="340" spans="1:24" x14ac:dyDescent="0.2">
      <c r="A340" s="147" t="s">
        <v>642</v>
      </c>
      <c r="B340" s="146" t="s">
        <v>641</v>
      </c>
      <c r="C340" s="147" t="s">
        <v>39</v>
      </c>
      <c r="D340" s="147" t="s">
        <v>1979</v>
      </c>
      <c r="E340" s="154" t="s">
        <v>1613</v>
      </c>
      <c r="F340" s="147" t="s">
        <v>890</v>
      </c>
      <c r="G340" s="148">
        <v>0.7</v>
      </c>
      <c r="H340" s="149" t="s">
        <v>1615</v>
      </c>
      <c r="I340" s="148">
        <v>0.7</v>
      </c>
      <c r="J340" s="149" t="s">
        <v>1615</v>
      </c>
      <c r="K340" s="147" t="s">
        <v>1649</v>
      </c>
      <c r="L340" s="147" t="s">
        <v>1952</v>
      </c>
      <c r="M340" s="154"/>
      <c r="N340" s="154"/>
      <c r="O340" s="154"/>
      <c r="P340" s="154"/>
      <c r="Q340" s="154"/>
      <c r="R340" s="154"/>
      <c r="S340" s="154"/>
      <c r="T340" s="154"/>
      <c r="U340" s="154"/>
      <c r="V340" s="154"/>
      <c r="W340" s="154"/>
      <c r="X340" s="154"/>
    </row>
    <row r="341" spans="1:24" x14ac:dyDescent="0.2">
      <c r="A341" s="147" t="s">
        <v>646</v>
      </c>
      <c r="B341" s="146" t="s">
        <v>645</v>
      </c>
      <c r="C341" s="147" t="s">
        <v>39</v>
      </c>
      <c r="D341" s="147" t="s">
        <v>2010</v>
      </c>
      <c r="E341" s="154" t="s">
        <v>1613</v>
      </c>
      <c r="F341" s="147" t="s">
        <v>890</v>
      </c>
      <c r="G341" s="148">
        <v>1</v>
      </c>
      <c r="H341" s="149" t="s">
        <v>2795</v>
      </c>
      <c r="I341" s="148">
        <v>1</v>
      </c>
      <c r="J341" s="154" t="s">
        <v>1613</v>
      </c>
      <c r="K341" s="147" t="s">
        <v>1648</v>
      </c>
      <c r="L341" s="147" t="s">
        <v>1952</v>
      </c>
      <c r="M341" s="148">
        <v>0.5</v>
      </c>
      <c r="N341" s="149" t="s">
        <v>2796</v>
      </c>
      <c r="O341" s="148">
        <v>0.5</v>
      </c>
      <c r="P341" s="149" t="s">
        <v>1994</v>
      </c>
      <c r="Q341" s="147" t="s">
        <v>1649</v>
      </c>
      <c r="R341" s="147" t="s">
        <v>1952</v>
      </c>
      <c r="S341" s="154" t="s">
        <v>1613</v>
      </c>
      <c r="T341" s="154"/>
      <c r="U341" s="154"/>
      <c r="V341" s="154"/>
      <c r="W341" s="154"/>
      <c r="X341" s="154"/>
    </row>
    <row r="342" spans="1:24" x14ac:dyDescent="0.2">
      <c r="A342" s="147" t="s">
        <v>664</v>
      </c>
      <c r="B342" s="146" t="s">
        <v>663</v>
      </c>
      <c r="C342" s="147" t="s">
        <v>39</v>
      </c>
      <c r="D342" s="147" t="s">
        <v>2006</v>
      </c>
      <c r="E342" s="147" t="s">
        <v>2817</v>
      </c>
      <c r="F342" s="147" t="s">
        <v>1949</v>
      </c>
      <c r="G342" s="148">
        <v>0.9</v>
      </c>
      <c r="H342" s="149" t="s">
        <v>2818</v>
      </c>
      <c r="I342" s="148">
        <v>0.81320000000000003</v>
      </c>
      <c r="J342" s="149" t="s">
        <v>1991</v>
      </c>
      <c r="K342" s="147" t="s">
        <v>1648</v>
      </c>
      <c r="L342" s="147" t="s">
        <v>1990</v>
      </c>
      <c r="M342" s="148">
        <v>0.55000000000000004</v>
      </c>
      <c r="N342" s="149" t="s">
        <v>2819</v>
      </c>
      <c r="O342" s="148">
        <v>0.33</v>
      </c>
      <c r="P342" s="149" t="s">
        <v>2820</v>
      </c>
      <c r="Q342" s="147" t="s">
        <v>1649</v>
      </c>
      <c r="R342" s="147" t="s">
        <v>1990</v>
      </c>
      <c r="S342" s="154" t="s">
        <v>1613</v>
      </c>
      <c r="T342" s="154"/>
      <c r="U342" s="154"/>
      <c r="V342" s="154"/>
      <c r="W342" s="154"/>
      <c r="X342" s="154"/>
    </row>
    <row r="343" spans="1:24" x14ac:dyDescent="0.2">
      <c r="A343" s="147" t="s">
        <v>688</v>
      </c>
      <c r="B343" s="146" t="s">
        <v>687</v>
      </c>
      <c r="C343" s="147" t="s">
        <v>39</v>
      </c>
      <c r="D343" s="147" t="s">
        <v>2215</v>
      </c>
      <c r="E343" s="147" t="s">
        <v>2848</v>
      </c>
      <c r="F343" s="147" t="s">
        <v>1949</v>
      </c>
      <c r="G343" s="148">
        <v>1.25</v>
      </c>
      <c r="H343" s="149" t="s">
        <v>2849</v>
      </c>
      <c r="I343" s="148">
        <v>1.2383</v>
      </c>
      <c r="J343" s="149" t="s">
        <v>2850</v>
      </c>
      <c r="K343" s="147" t="s">
        <v>1649</v>
      </c>
      <c r="L343" s="147" t="s">
        <v>1952</v>
      </c>
      <c r="M343" s="154"/>
      <c r="N343" s="154"/>
      <c r="O343" s="155"/>
      <c r="P343" s="154"/>
      <c r="Q343" s="154"/>
      <c r="R343" s="154"/>
      <c r="S343" s="155"/>
      <c r="T343" s="154"/>
      <c r="U343" s="155"/>
      <c r="V343" s="154"/>
      <c r="W343" s="154"/>
      <c r="X343" s="154"/>
    </row>
    <row r="344" spans="1:24" x14ac:dyDescent="0.2">
      <c r="A344" s="147" t="s">
        <v>698</v>
      </c>
      <c r="B344" s="146" t="s">
        <v>697</v>
      </c>
      <c r="C344" s="147" t="s">
        <v>39</v>
      </c>
      <c r="D344" s="147" t="s">
        <v>1979</v>
      </c>
      <c r="E344" s="147" t="s">
        <v>2864</v>
      </c>
      <c r="F344" s="147" t="s">
        <v>890</v>
      </c>
      <c r="G344" s="148">
        <v>1</v>
      </c>
      <c r="H344" s="149" t="s">
        <v>2865</v>
      </c>
      <c r="I344" s="148">
        <v>0.88</v>
      </c>
      <c r="J344" s="149" t="s">
        <v>1991</v>
      </c>
      <c r="K344" s="147" t="s">
        <v>1648</v>
      </c>
      <c r="L344" s="147" t="s">
        <v>1968</v>
      </c>
      <c r="M344" s="154"/>
      <c r="N344" s="154"/>
      <c r="O344" s="154"/>
      <c r="P344" s="154"/>
      <c r="Q344" s="154"/>
      <c r="R344" s="154"/>
      <c r="S344" s="154"/>
      <c r="T344" s="154"/>
      <c r="U344" s="154"/>
      <c r="V344" s="154"/>
      <c r="W344" s="154"/>
      <c r="X344" s="154"/>
    </row>
    <row r="345" spans="1:24" x14ac:dyDescent="0.2">
      <c r="A345" s="147" t="s">
        <v>716</v>
      </c>
      <c r="B345" s="146" t="s">
        <v>715</v>
      </c>
      <c r="C345" s="147" t="s">
        <v>39</v>
      </c>
      <c r="D345" s="147" t="s">
        <v>2266</v>
      </c>
      <c r="E345" s="147" t="s">
        <v>2884</v>
      </c>
      <c r="F345" s="147" t="s">
        <v>1949</v>
      </c>
      <c r="G345" s="148">
        <v>0.5</v>
      </c>
      <c r="H345" s="149" t="s">
        <v>2176</v>
      </c>
      <c r="I345" s="148">
        <v>0.497</v>
      </c>
      <c r="J345" s="149" t="s">
        <v>2757</v>
      </c>
      <c r="K345" s="147" t="s">
        <v>1649</v>
      </c>
      <c r="L345" s="147" t="s">
        <v>1952</v>
      </c>
      <c r="M345" s="148">
        <v>0.497</v>
      </c>
      <c r="N345" s="149" t="s">
        <v>2247</v>
      </c>
      <c r="O345" s="148">
        <v>0.5</v>
      </c>
      <c r="P345" s="149" t="s">
        <v>2410</v>
      </c>
      <c r="Q345" s="147" t="s">
        <v>1649</v>
      </c>
      <c r="R345" s="147" t="s">
        <v>1952</v>
      </c>
      <c r="S345" s="148">
        <v>0.5</v>
      </c>
      <c r="T345" s="149" t="s">
        <v>2885</v>
      </c>
      <c r="U345" s="148">
        <v>0.5</v>
      </c>
      <c r="V345" s="149" t="s">
        <v>2757</v>
      </c>
      <c r="W345" s="147" t="s">
        <v>1649</v>
      </c>
      <c r="X345" s="147" t="s">
        <v>1952</v>
      </c>
    </row>
    <row r="346" spans="1:24" x14ac:dyDescent="0.2">
      <c r="A346" s="147" t="s">
        <v>760</v>
      </c>
      <c r="B346" s="146" t="s">
        <v>759</v>
      </c>
      <c r="C346" s="147" t="s">
        <v>39</v>
      </c>
      <c r="D346" s="147" t="s">
        <v>2446</v>
      </c>
      <c r="E346" s="147" t="s">
        <v>2932</v>
      </c>
      <c r="F346" s="147" t="s">
        <v>1949</v>
      </c>
      <c r="G346" s="148">
        <v>1</v>
      </c>
      <c r="H346" s="149" t="s">
        <v>2933</v>
      </c>
      <c r="I346" s="148">
        <v>0.88470000000000004</v>
      </c>
      <c r="J346" s="154" t="s">
        <v>1613</v>
      </c>
      <c r="K346" s="147" t="s">
        <v>1648</v>
      </c>
      <c r="L346" s="147" t="s">
        <v>1990</v>
      </c>
      <c r="M346" s="148">
        <v>0.2</v>
      </c>
      <c r="N346" s="149" t="s">
        <v>2934</v>
      </c>
      <c r="O346" s="148">
        <v>0.19839999999999999</v>
      </c>
      <c r="P346" s="149" t="s">
        <v>2935</v>
      </c>
      <c r="Q346" s="147" t="s">
        <v>1649</v>
      </c>
      <c r="R346" s="147" t="s">
        <v>1990</v>
      </c>
      <c r="S346" s="154" t="s">
        <v>1613</v>
      </c>
      <c r="T346" s="154"/>
      <c r="U346" s="154"/>
      <c r="V346" s="154"/>
      <c r="W346" s="154"/>
      <c r="X346" s="154"/>
    </row>
    <row r="347" spans="1:24" x14ac:dyDescent="0.2">
      <c r="A347" s="147" t="s">
        <v>800</v>
      </c>
      <c r="B347" s="146" t="s">
        <v>799</v>
      </c>
      <c r="C347" s="147" t="s">
        <v>39</v>
      </c>
      <c r="D347" s="147" t="s">
        <v>1940</v>
      </c>
      <c r="E347" s="147" t="s">
        <v>2977</v>
      </c>
      <c r="F347" s="147" t="s">
        <v>1919</v>
      </c>
      <c r="G347" s="148">
        <v>0.5</v>
      </c>
      <c r="H347" s="149" t="s">
        <v>2195</v>
      </c>
      <c r="I347" s="148">
        <v>0.42230000000000001</v>
      </c>
      <c r="J347" s="149" t="s">
        <v>2681</v>
      </c>
      <c r="K347" s="147" t="s">
        <v>1649</v>
      </c>
      <c r="L347" s="147" t="s">
        <v>1990</v>
      </c>
      <c r="M347" s="148">
        <v>0.3</v>
      </c>
      <c r="N347" s="149" t="s">
        <v>2978</v>
      </c>
      <c r="O347" s="148">
        <v>0.1971</v>
      </c>
      <c r="P347" s="149" t="s">
        <v>2009</v>
      </c>
      <c r="Q347" s="147" t="s">
        <v>1648</v>
      </c>
      <c r="R347" s="147" t="s">
        <v>1990</v>
      </c>
      <c r="S347" s="148">
        <v>0.4</v>
      </c>
      <c r="T347" s="149" t="s">
        <v>2024</v>
      </c>
      <c r="U347" s="148">
        <v>0.37590000000000001</v>
      </c>
      <c r="V347" s="149" t="s">
        <v>2472</v>
      </c>
      <c r="W347" s="147" t="s">
        <v>1649</v>
      </c>
      <c r="X347" s="147" t="s">
        <v>1952</v>
      </c>
    </row>
    <row r="348" spans="1:24" x14ac:dyDescent="0.2">
      <c r="A348" s="151" t="s">
        <v>53</v>
      </c>
      <c r="B348" s="150" t="s">
        <v>52</v>
      </c>
      <c r="C348" s="151" t="s">
        <v>54</v>
      </c>
      <c r="D348" s="151" t="s">
        <v>2006</v>
      </c>
      <c r="E348" s="151" t="s">
        <v>2007</v>
      </c>
      <c r="F348" s="151" t="s">
        <v>1949</v>
      </c>
      <c r="G348" s="152">
        <v>2</v>
      </c>
      <c r="H348" s="153" t="s">
        <v>2008</v>
      </c>
      <c r="I348" s="152">
        <v>1.8365</v>
      </c>
      <c r="J348" s="153" t="s">
        <v>2009</v>
      </c>
      <c r="K348" s="151" t="s">
        <v>1648</v>
      </c>
      <c r="L348" s="151" t="s">
        <v>1952</v>
      </c>
      <c r="M348" s="154"/>
      <c r="N348" s="154"/>
      <c r="O348" s="154"/>
      <c r="P348" s="154"/>
      <c r="Q348" s="154"/>
      <c r="R348" s="154"/>
      <c r="S348" s="154"/>
      <c r="T348" s="154"/>
      <c r="U348" s="154"/>
      <c r="V348" s="154"/>
      <c r="W348" s="154"/>
      <c r="X348" s="154"/>
    </row>
    <row r="349" spans="1:24" x14ac:dyDescent="0.2">
      <c r="A349" s="151" t="s">
        <v>78</v>
      </c>
      <c r="B349" s="150" t="s">
        <v>77</v>
      </c>
      <c r="C349" s="151" t="s">
        <v>54</v>
      </c>
      <c r="D349" s="151" t="s">
        <v>2041</v>
      </c>
      <c r="E349" s="151" t="s">
        <v>2041</v>
      </c>
      <c r="F349" s="151" t="s">
        <v>894</v>
      </c>
      <c r="G349" s="152">
        <v>1</v>
      </c>
      <c r="H349" s="153" t="s">
        <v>2042</v>
      </c>
      <c r="I349" s="152">
        <v>1</v>
      </c>
      <c r="J349" s="153" t="s">
        <v>2043</v>
      </c>
      <c r="K349" s="151" t="s">
        <v>1649</v>
      </c>
      <c r="L349" s="151" t="s">
        <v>1952</v>
      </c>
      <c r="M349" s="152">
        <v>1</v>
      </c>
      <c r="N349" s="153" t="s">
        <v>2044</v>
      </c>
      <c r="O349" s="152">
        <v>1</v>
      </c>
      <c r="P349" s="153" t="s">
        <v>2043</v>
      </c>
      <c r="Q349" s="151" t="s">
        <v>1649</v>
      </c>
      <c r="R349" s="151" t="s">
        <v>1944</v>
      </c>
      <c r="S349" s="155"/>
      <c r="T349" s="156"/>
      <c r="U349" s="155"/>
      <c r="V349" s="156"/>
      <c r="W349" s="154"/>
      <c r="X349" s="154"/>
    </row>
    <row r="350" spans="1:24" x14ac:dyDescent="0.2">
      <c r="A350" s="151" t="s">
        <v>140</v>
      </c>
      <c r="B350" s="150" t="s">
        <v>139</v>
      </c>
      <c r="C350" s="151" t="s">
        <v>54</v>
      </c>
      <c r="D350" s="151" t="s">
        <v>1979</v>
      </c>
      <c r="E350" s="151" t="s">
        <v>2137</v>
      </c>
      <c r="F350" s="151" t="s">
        <v>1919</v>
      </c>
      <c r="G350" s="152">
        <v>2</v>
      </c>
      <c r="H350" s="153" t="s">
        <v>2138</v>
      </c>
      <c r="I350" s="152">
        <v>1.5005999999999999</v>
      </c>
      <c r="J350" s="154" t="s">
        <v>1613</v>
      </c>
      <c r="K350" s="151" t="s">
        <v>1648</v>
      </c>
      <c r="L350" s="151" t="s">
        <v>1944</v>
      </c>
      <c r="M350" s="154"/>
      <c r="N350" s="154"/>
      <c r="O350" s="154"/>
      <c r="P350" s="154"/>
      <c r="Q350" s="154"/>
      <c r="R350" s="154"/>
      <c r="S350" s="154"/>
      <c r="T350" s="154"/>
      <c r="U350" s="154"/>
      <c r="V350" s="154"/>
      <c r="W350" s="154"/>
      <c r="X350" s="154"/>
    </row>
    <row r="351" spans="1:24" x14ac:dyDescent="0.2">
      <c r="A351" s="151" t="s">
        <v>142</v>
      </c>
      <c r="B351" s="150" t="s">
        <v>141</v>
      </c>
      <c r="C351" s="151" t="s">
        <v>54</v>
      </c>
      <c r="D351" s="151" t="s">
        <v>1939</v>
      </c>
      <c r="E351" s="151" t="s">
        <v>2139</v>
      </c>
      <c r="F351" s="151" t="s">
        <v>1949</v>
      </c>
      <c r="G351" s="152">
        <v>1.5567</v>
      </c>
      <c r="H351" s="153" t="s">
        <v>2140</v>
      </c>
      <c r="I351" s="152">
        <v>1.5567</v>
      </c>
      <c r="J351" s="153" t="s">
        <v>2141</v>
      </c>
      <c r="K351" s="151" t="s">
        <v>1649</v>
      </c>
      <c r="L351" s="151" t="s">
        <v>1952</v>
      </c>
      <c r="M351" s="154"/>
      <c r="N351" s="154"/>
      <c r="O351" s="154"/>
      <c r="P351" s="154"/>
      <c r="Q351" s="154"/>
      <c r="R351" s="154"/>
      <c r="S351" s="154"/>
      <c r="T351" s="154"/>
      <c r="U351" s="154"/>
      <c r="V351" s="154"/>
      <c r="W351" s="154"/>
      <c r="X351" s="154"/>
    </row>
    <row r="352" spans="1:24" x14ac:dyDescent="0.2">
      <c r="A352" s="151" t="s">
        <v>172</v>
      </c>
      <c r="B352" s="150" t="s">
        <v>171</v>
      </c>
      <c r="C352" s="151" t="s">
        <v>54</v>
      </c>
      <c r="D352" s="151" t="s">
        <v>2190</v>
      </c>
      <c r="E352" s="151" t="s">
        <v>2191</v>
      </c>
      <c r="F352" s="151" t="s">
        <v>1949</v>
      </c>
      <c r="G352" s="152">
        <v>1.75</v>
      </c>
      <c r="H352" s="153" t="s">
        <v>2192</v>
      </c>
      <c r="I352" s="152">
        <v>1.75</v>
      </c>
      <c r="J352" s="153" t="s">
        <v>2193</v>
      </c>
      <c r="K352" s="151" t="s">
        <v>1649</v>
      </c>
      <c r="L352" s="151" t="s">
        <v>1952</v>
      </c>
      <c r="M352" s="154"/>
      <c r="N352" s="154"/>
      <c r="O352" s="154"/>
      <c r="P352" s="154"/>
      <c r="Q352" s="154"/>
      <c r="R352" s="154"/>
      <c r="S352" s="154"/>
      <c r="T352" s="154"/>
      <c r="U352" s="154"/>
      <c r="V352" s="154"/>
      <c r="W352" s="154"/>
      <c r="X352" s="154"/>
    </row>
    <row r="353" spans="1:24" x14ac:dyDescent="0.2">
      <c r="A353" s="151" t="s">
        <v>178</v>
      </c>
      <c r="B353" s="150" t="s">
        <v>177</v>
      </c>
      <c r="C353" s="151" t="s">
        <v>54</v>
      </c>
      <c r="D353" s="151" t="s">
        <v>2010</v>
      </c>
      <c r="E353" s="151" t="s">
        <v>2037</v>
      </c>
      <c r="F353" s="151" t="s">
        <v>1949</v>
      </c>
      <c r="G353" s="152">
        <v>1</v>
      </c>
      <c r="H353" s="153" t="s">
        <v>1995</v>
      </c>
      <c r="I353" s="152">
        <v>0.8599</v>
      </c>
      <c r="J353" s="154" t="s">
        <v>1613</v>
      </c>
      <c r="K353" s="151" t="s">
        <v>1648</v>
      </c>
      <c r="L353" s="151" t="s">
        <v>1944</v>
      </c>
      <c r="M353" s="152">
        <v>0.39</v>
      </c>
      <c r="N353" s="153" t="s">
        <v>2195</v>
      </c>
      <c r="O353" s="152">
        <v>0.37409999999999999</v>
      </c>
      <c r="P353" s="153" t="s">
        <v>2147</v>
      </c>
      <c r="Q353" s="151" t="s">
        <v>1649</v>
      </c>
      <c r="R353" s="151" t="s">
        <v>1944</v>
      </c>
      <c r="S353" s="154" t="s">
        <v>1613</v>
      </c>
      <c r="T353" s="154"/>
      <c r="U353" s="154"/>
      <c r="V353" s="154"/>
      <c r="W353" s="154"/>
      <c r="X353" s="154"/>
    </row>
    <row r="354" spans="1:24" x14ac:dyDescent="0.2">
      <c r="A354" s="151" t="s">
        <v>212</v>
      </c>
      <c r="B354" s="150" t="s">
        <v>211</v>
      </c>
      <c r="C354" s="151" t="s">
        <v>54</v>
      </c>
      <c r="D354" s="151" t="s">
        <v>1979</v>
      </c>
      <c r="E354" s="151" t="s">
        <v>2251</v>
      </c>
      <c r="F354" s="151" t="s">
        <v>890</v>
      </c>
      <c r="G354" s="152">
        <v>1</v>
      </c>
      <c r="H354" s="153" t="s">
        <v>2252</v>
      </c>
      <c r="I354" s="152">
        <v>0.90820000000000001</v>
      </c>
      <c r="J354" s="153" t="s">
        <v>1612</v>
      </c>
      <c r="K354" s="151" t="s">
        <v>1648</v>
      </c>
      <c r="L354" s="151" t="s">
        <v>1944</v>
      </c>
      <c r="M354" s="152">
        <v>0.95</v>
      </c>
      <c r="N354" s="153" t="s">
        <v>2253</v>
      </c>
      <c r="O354" s="152">
        <v>0.93899999999999995</v>
      </c>
      <c r="P354" s="153" t="s">
        <v>1612</v>
      </c>
      <c r="Q354" s="151" t="s">
        <v>1648</v>
      </c>
      <c r="R354" s="151" t="s">
        <v>1944</v>
      </c>
      <c r="S354" s="154" t="s">
        <v>1613</v>
      </c>
      <c r="T354" s="154"/>
      <c r="U354" s="154"/>
      <c r="V354" s="154"/>
      <c r="W354" s="154"/>
      <c r="X354" s="154"/>
    </row>
    <row r="355" spans="1:24" x14ac:dyDescent="0.2">
      <c r="A355" s="151" t="s">
        <v>214</v>
      </c>
      <c r="B355" s="150" t="s">
        <v>213</v>
      </c>
      <c r="C355" s="151" t="s">
        <v>54</v>
      </c>
      <c r="D355" s="151" t="s">
        <v>1979</v>
      </c>
      <c r="E355" s="151" t="s">
        <v>2254</v>
      </c>
      <c r="F355" s="151" t="s">
        <v>890</v>
      </c>
      <c r="G355" s="152">
        <v>1</v>
      </c>
      <c r="H355" s="153" t="s">
        <v>2255</v>
      </c>
      <c r="I355" s="152">
        <v>1</v>
      </c>
      <c r="J355" s="153" t="s">
        <v>2256</v>
      </c>
      <c r="K355" s="151" t="s">
        <v>1649</v>
      </c>
      <c r="L355" s="151" t="s">
        <v>1952</v>
      </c>
      <c r="M355" s="152">
        <v>0.69</v>
      </c>
      <c r="N355" s="153" t="s">
        <v>2257</v>
      </c>
      <c r="O355" s="152">
        <v>0.69</v>
      </c>
      <c r="P355" s="153" t="s">
        <v>2258</v>
      </c>
      <c r="Q355" s="151" t="s">
        <v>1649</v>
      </c>
      <c r="R355" s="151" t="s">
        <v>1952</v>
      </c>
      <c r="S355" s="155"/>
      <c r="T355" s="154"/>
      <c r="U355" s="155"/>
      <c r="V355" s="154"/>
      <c r="W355" s="154"/>
      <c r="X355" s="154"/>
    </row>
    <row r="356" spans="1:24" x14ac:dyDescent="0.2">
      <c r="A356" s="151" t="s">
        <v>222</v>
      </c>
      <c r="B356" s="150" t="s">
        <v>221</v>
      </c>
      <c r="C356" s="151" t="s">
        <v>54</v>
      </c>
      <c r="D356" s="151" t="s">
        <v>1979</v>
      </c>
      <c r="E356" s="151" t="s">
        <v>2267</v>
      </c>
      <c r="F356" s="151" t="s">
        <v>890</v>
      </c>
      <c r="G356" s="152">
        <v>0.64</v>
      </c>
      <c r="H356" s="153" t="s">
        <v>2268</v>
      </c>
      <c r="I356" s="152">
        <v>0.64</v>
      </c>
      <c r="J356" s="153" t="s">
        <v>1615</v>
      </c>
      <c r="K356" s="151" t="s">
        <v>1648</v>
      </c>
      <c r="L356" s="151" t="s">
        <v>1990</v>
      </c>
      <c r="M356" s="152">
        <v>4</v>
      </c>
      <c r="N356" s="153" t="s">
        <v>2269</v>
      </c>
      <c r="O356" s="152">
        <v>4</v>
      </c>
      <c r="P356" s="153" t="s">
        <v>2270</v>
      </c>
      <c r="Q356" s="151" t="s">
        <v>1649</v>
      </c>
      <c r="R356" s="151" t="s">
        <v>1990</v>
      </c>
      <c r="S356" s="154" t="s">
        <v>1613</v>
      </c>
      <c r="T356" s="154"/>
      <c r="U356" s="154"/>
      <c r="V356" s="154"/>
      <c r="W356" s="154"/>
      <c r="X356" s="154"/>
    </row>
    <row r="357" spans="1:24" x14ac:dyDescent="0.2">
      <c r="A357" s="151" t="s">
        <v>266</v>
      </c>
      <c r="B357" s="150" t="s">
        <v>265</v>
      </c>
      <c r="C357" s="151" t="s">
        <v>54</v>
      </c>
      <c r="D357" s="151" t="s">
        <v>1940</v>
      </c>
      <c r="E357" s="151" t="s">
        <v>2325</v>
      </c>
      <c r="F357" s="151" t="s">
        <v>1949</v>
      </c>
      <c r="G357" s="152">
        <v>0.58560000000000001</v>
      </c>
      <c r="H357" s="153" t="s">
        <v>2326</v>
      </c>
      <c r="I357" s="152">
        <v>0.57299999999999995</v>
      </c>
      <c r="J357" s="153" t="s">
        <v>2327</v>
      </c>
      <c r="K357" s="151" t="s">
        <v>1649</v>
      </c>
      <c r="L357" s="151" t="s">
        <v>1990</v>
      </c>
      <c r="M357" s="152">
        <v>1</v>
      </c>
      <c r="N357" s="153" t="s">
        <v>2328</v>
      </c>
      <c r="O357" s="152">
        <v>0.97870000000000001</v>
      </c>
      <c r="P357" s="153" t="s">
        <v>2279</v>
      </c>
      <c r="Q357" s="151" t="s">
        <v>1649</v>
      </c>
      <c r="R357" s="151" t="s">
        <v>1990</v>
      </c>
      <c r="S357" s="155"/>
      <c r="T357" s="154"/>
      <c r="U357" s="154"/>
      <c r="V357" s="154"/>
      <c r="W357" s="154"/>
      <c r="X357" s="154"/>
    </row>
    <row r="358" spans="1:24" x14ac:dyDescent="0.2">
      <c r="A358" s="151" t="s">
        <v>278</v>
      </c>
      <c r="B358" s="150" t="s">
        <v>277</v>
      </c>
      <c r="C358" s="151" t="s">
        <v>54</v>
      </c>
      <c r="D358" s="151" t="s">
        <v>2343</v>
      </c>
      <c r="E358" s="151" t="s">
        <v>2344</v>
      </c>
      <c r="F358" s="151" t="s">
        <v>1949</v>
      </c>
      <c r="G358" s="152">
        <v>2</v>
      </c>
      <c r="H358" s="153" t="s">
        <v>2345</v>
      </c>
      <c r="I358" s="152">
        <v>2</v>
      </c>
      <c r="J358" s="153" t="s">
        <v>1887</v>
      </c>
      <c r="K358" s="151" t="s">
        <v>1648</v>
      </c>
      <c r="L358" s="151" t="s">
        <v>1952</v>
      </c>
      <c r="M358" s="152">
        <v>1.4</v>
      </c>
      <c r="N358" s="153" t="s">
        <v>2346</v>
      </c>
      <c r="O358" s="152">
        <v>1.4</v>
      </c>
      <c r="P358" s="153" t="s">
        <v>2347</v>
      </c>
      <c r="Q358" s="151" t="s">
        <v>1649</v>
      </c>
      <c r="R358" s="151" t="s">
        <v>1952</v>
      </c>
      <c r="S358" s="152">
        <v>0.6</v>
      </c>
      <c r="T358" s="153" t="s">
        <v>2348</v>
      </c>
      <c r="U358" s="152">
        <v>0.6</v>
      </c>
      <c r="V358" s="153" t="s">
        <v>2347</v>
      </c>
      <c r="W358" s="151" t="s">
        <v>1649</v>
      </c>
      <c r="X358" s="151" t="s">
        <v>1952</v>
      </c>
    </row>
    <row r="359" spans="1:24" x14ac:dyDescent="0.2">
      <c r="A359" s="151" t="s">
        <v>304</v>
      </c>
      <c r="B359" s="150" t="s">
        <v>303</v>
      </c>
      <c r="C359" s="151" t="s">
        <v>54</v>
      </c>
      <c r="D359" s="151" t="s">
        <v>2343</v>
      </c>
      <c r="E359" s="151" t="s">
        <v>2385</v>
      </c>
      <c r="F359" s="151" t="s">
        <v>1949</v>
      </c>
      <c r="G359" s="152">
        <v>0.99809999999999999</v>
      </c>
      <c r="H359" s="153" t="s">
        <v>1956</v>
      </c>
      <c r="I359" s="152">
        <v>0.99380000000000002</v>
      </c>
      <c r="J359" s="153" t="s">
        <v>1957</v>
      </c>
      <c r="K359" s="151" t="s">
        <v>1649</v>
      </c>
      <c r="L359" s="151" t="s">
        <v>1952</v>
      </c>
      <c r="M359" s="154"/>
      <c r="N359" s="154"/>
      <c r="O359" s="154"/>
      <c r="P359" s="154"/>
      <c r="Q359" s="154"/>
      <c r="R359" s="154"/>
      <c r="S359" s="154"/>
      <c r="T359" s="154"/>
      <c r="U359" s="154"/>
      <c r="V359" s="154"/>
      <c r="W359" s="154"/>
      <c r="X359" s="154"/>
    </row>
    <row r="360" spans="1:24" x14ac:dyDescent="0.2">
      <c r="A360" s="151" t="s">
        <v>318</v>
      </c>
      <c r="B360" s="150" t="s">
        <v>317</v>
      </c>
      <c r="C360" s="151" t="s">
        <v>54</v>
      </c>
      <c r="D360" s="151" t="s">
        <v>2198</v>
      </c>
      <c r="E360" s="154" t="s">
        <v>1613</v>
      </c>
      <c r="F360" s="151" t="s">
        <v>890</v>
      </c>
      <c r="G360" s="152">
        <v>1</v>
      </c>
      <c r="H360" s="153" t="s">
        <v>1615</v>
      </c>
      <c r="I360" s="152">
        <v>1</v>
      </c>
      <c r="J360" s="153" t="s">
        <v>1615</v>
      </c>
      <c r="K360" s="151" t="s">
        <v>1649</v>
      </c>
      <c r="L360" s="151" t="s">
        <v>1952</v>
      </c>
      <c r="M360" s="155"/>
      <c r="N360" s="156"/>
      <c r="O360" s="155"/>
      <c r="P360" s="156"/>
      <c r="Q360" s="154"/>
      <c r="R360" s="154"/>
      <c r="S360" s="155"/>
      <c r="T360" s="156"/>
      <c r="U360" s="155"/>
      <c r="V360" s="156"/>
      <c r="W360" s="154"/>
      <c r="X360" s="154"/>
    </row>
    <row r="361" spans="1:24" x14ac:dyDescent="0.2">
      <c r="A361" s="151" t="s">
        <v>322</v>
      </c>
      <c r="B361" s="150" t="s">
        <v>321</v>
      </c>
      <c r="C361" s="151" t="s">
        <v>54</v>
      </c>
      <c r="D361" s="151" t="s">
        <v>2155</v>
      </c>
      <c r="E361" s="151" t="s">
        <v>2402</v>
      </c>
      <c r="F361" s="151" t="s">
        <v>890</v>
      </c>
      <c r="G361" s="152">
        <v>2.15</v>
      </c>
      <c r="H361" s="153" t="s">
        <v>2403</v>
      </c>
      <c r="I361" s="152">
        <v>2.0728</v>
      </c>
      <c r="J361" s="153" t="s">
        <v>1612</v>
      </c>
      <c r="K361" s="151" t="s">
        <v>1648</v>
      </c>
      <c r="L361" s="151" t="s">
        <v>1952</v>
      </c>
      <c r="M361" s="152">
        <v>0.39500000000000002</v>
      </c>
      <c r="N361" s="153" t="s">
        <v>2404</v>
      </c>
      <c r="O361" s="152">
        <v>0.3805</v>
      </c>
      <c r="P361" s="153" t="s">
        <v>2405</v>
      </c>
      <c r="Q361" s="151" t="s">
        <v>1649</v>
      </c>
      <c r="R361" s="151" t="s">
        <v>1944</v>
      </c>
      <c r="S361" s="155"/>
      <c r="T361" s="154"/>
      <c r="U361" s="155"/>
      <c r="V361" s="154"/>
      <c r="W361" s="154"/>
      <c r="X361" s="154"/>
    </row>
    <row r="362" spans="1:24" x14ac:dyDescent="0.2">
      <c r="A362" s="151" t="s">
        <v>326</v>
      </c>
      <c r="B362" s="150" t="s">
        <v>325</v>
      </c>
      <c r="C362" s="151" t="s">
        <v>54</v>
      </c>
      <c r="D362" s="151" t="s">
        <v>1979</v>
      </c>
      <c r="E362" s="151" t="s">
        <v>2411</v>
      </c>
      <c r="F362" s="151" t="s">
        <v>1949</v>
      </c>
      <c r="G362" s="152">
        <v>1.7</v>
      </c>
      <c r="H362" s="153" t="s">
        <v>2412</v>
      </c>
      <c r="I362" s="152">
        <v>1.5078</v>
      </c>
      <c r="J362" s="154" t="s">
        <v>1613</v>
      </c>
      <c r="K362" s="151" t="s">
        <v>1648</v>
      </c>
      <c r="L362" s="151" t="s">
        <v>1944</v>
      </c>
      <c r="M362" s="152">
        <v>0.68469999999999998</v>
      </c>
      <c r="N362" s="153" t="s">
        <v>2413</v>
      </c>
      <c r="O362" s="152">
        <v>0.68469999999999998</v>
      </c>
      <c r="P362" s="153" t="s">
        <v>2414</v>
      </c>
      <c r="Q362" s="151" t="s">
        <v>1649</v>
      </c>
      <c r="R362" s="151" t="s">
        <v>1944</v>
      </c>
      <c r="S362" s="154" t="s">
        <v>1613</v>
      </c>
      <c r="T362" s="154"/>
      <c r="U362" s="154"/>
      <c r="V362" s="154"/>
      <c r="W362" s="154"/>
      <c r="X362" s="154"/>
    </row>
    <row r="363" spans="1:24" x14ac:dyDescent="0.2">
      <c r="A363" s="151" t="s">
        <v>352</v>
      </c>
      <c r="B363" s="150" t="s">
        <v>351</v>
      </c>
      <c r="C363" s="151" t="s">
        <v>54</v>
      </c>
      <c r="D363" s="151" t="s">
        <v>1980</v>
      </c>
      <c r="E363" s="151" t="s">
        <v>2457</v>
      </c>
      <c r="F363" s="151" t="s">
        <v>1949</v>
      </c>
      <c r="G363" s="152">
        <v>1.5</v>
      </c>
      <c r="H363" s="153" t="s">
        <v>2458</v>
      </c>
      <c r="I363" s="152">
        <v>1.4462999999999999</v>
      </c>
      <c r="J363" s="153" t="s">
        <v>2459</v>
      </c>
      <c r="K363" s="151" t="s">
        <v>1649</v>
      </c>
      <c r="L363" s="151" t="s">
        <v>1990</v>
      </c>
      <c r="M363" s="154"/>
      <c r="N363" s="156"/>
      <c r="O363" s="155"/>
      <c r="P363" s="156"/>
      <c r="Q363" s="154"/>
      <c r="R363" s="154"/>
      <c r="S363" s="155"/>
      <c r="T363" s="156"/>
      <c r="U363" s="155"/>
      <c r="V363" s="156"/>
      <c r="W363" s="154"/>
      <c r="X363" s="154"/>
    </row>
    <row r="364" spans="1:24" x14ac:dyDescent="0.2">
      <c r="A364" s="151" t="s">
        <v>374</v>
      </c>
      <c r="B364" s="150" t="s">
        <v>373</v>
      </c>
      <c r="C364" s="151" t="s">
        <v>54</v>
      </c>
      <c r="D364" s="151" t="s">
        <v>2110</v>
      </c>
      <c r="E364" s="151" t="s">
        <v>2483</v>
      </c>
      <c r="F364" s="151" t="s">
        <v>1949</v>
      </c>
      <c r="G364" s="152">
        <v>1</v>
      </c>
      <c r="H364" s="153" t="s">
        <v>2484</v>
      </c>
      <c r="I364" s="152">
        <v>0.66500000000000004</v>
      </c>
      <c r="J364" s="154" t="s">
        <v>1613</v>
      </c>
      <c r="K364" s="151" t="s">
        <v>1648</v>
      </c>
      <c r="L364" s="151" t="s">
        <v>1952</v>
      </c>
      <c r="M364" s="152">
        <v>0.4</v>
      </c>
      <c r="N364" s="153" t="s">
        <v>2485</v>
      </c>
      <c r="O364" s="152">
        <v>0.38429999999999997</v>
      </c>
      <c r="P364" s="153" t="s">
        <v>2486</v>
      </c>
      <c r="Q364" s="151" t="s">
        <v>1649</v>
      </c>
      <c r="R364" s="151" t="s">
        <v>1952</v>
      </c>
      <c r="S364" s="154" t="s">
        <v>1613</v>
      </c>
      <c r="T364" s="154"/>
      <c r="U364" s="154"/>
      <c r="V364" s="154"/>
      <c r="W364" s="154"/>
      <c r="X364" s="154"/>
    </row>
    <row r="365" spans="1:24" x14ac:dyDescent="0.2">
      <c r="A365" s="151" t="s">
        <v>394</v>
      </c>
      <c r="B365" s="150" t="s">
        <v>393</v>
      </c>
      <c r="C365" s="151" t="s">
        <v>54</v>
      </c>
      <c r="D365" s="151" t="s">
        <v>2501</v>
      </c>
      <c r="E365" s="151" t="s">
        <v>2502</v>
      </c>
      <c r="F365" s="151" t="s">
        <v>1949</v>
      </c>
      <c r="G365" s="152">
        <v>1.7507999999999999</v>
      </c>
      <c r="H365" s="153" t="s">
        <v>2433</v>
      </c>
      <c r="I365" s="152">
        <v>1.7507999999999999</v>
      </c>
      <c r="J365" s="153" t="s">
        <v>2248</v>
      </c>
      <c r="K365" s="151" t="s">
        <v>1649</v>
      </c>
      <c r="L365" s="151" t="s">
        <v>1952</v>
      </c>
      <c r="M365" s="155"/>
      <c r="N365" s="156"/>
      <c r="O365" s="155"/>
      <c r="P365" s="156"/>
      <c r="Q365" s="154"/>
      <c r="R365" s="154"/>
      <c r="S365" s="155"/>
      <c r="T365" s="156"/>
      <c r="U365" s="155"/>
      <c r="V365" s="156"/>
      <c r="W365" s="154"/>
      <c r="X365" s="154"/>
    </row>
    <row r="366" spans="1:24" x14ac:dyDescent="0.2">
      <c r="A366" s="151" t="s">
        <v>402</v>
      </c>
      <c r="B366" s="150" t="s">
        <v>401</v>
      </c>
      <c r="C366" s="151" t="s">
        <v>54</v>
      </c>
      <c r="D366" s="151" t="s">
        <v>2022</v>
      </c>
      <c r="E366" s="151" t="s">
        <v>2508</v>
      </c>
      <c r="F366" s="151" t="s">
        <v>1949</v>
      </c>
      <c r="G366" s="152">
        <v>2.7523</v>
      </c>
      <c r="H366" s="153" t="s">
        <v>2509</v>
      </c>
      <c r="I366" s="152">
        <v>2.7523</v>
      </c>
      <c r="J366" s="153" t="s">
        <v>2510</v>
      </c>
      <c r="K366" s="151" t="s">
        <v>1649</v>
      </c>
      <c r="L366" s="151" t="s">
        <v>1952</v>
      </c>
      <c r="M366" s="152">
        <v>1.169</v>
      </c>
      <c r="N366" s="153" t="s">
        <v>2511</v>
      </c>
      <c r="O366" s="152">
        <v>1.169</v>
      </c>
      <c r="P366" s="153" t="s">
        <v>2512</v>
      </c>
      <c r="Q366" s="151" t="s">
        <v>1649</v>
      </c>
      <c r="R366" s="151" t="s">
        <v>1952</v>
      </c>
      <c r="S366" s="154" t="s">
        <v>1613</v>
      </c>
      <c r="T366" s="154"/>
      <c r="U366" s="154"/>
      <c r="V366" s="154"/>
      <c r="W366" s="154"/>
      <c r="X366" s="154"/>
    </row>
    <row r="367" spans="1:24" x14ac:dyDescent="0.2">
      <c r="A367" s="151" t="s">
        <v>406</v>
      </c>
      <c r="B367" s="150" t="s">
        <v>405</v>
      </c>
      <c r="C367" s="151" t="s">
        <v>54</v>
      </c>
      <c r="D367" s="151" t="s">
        <v>2155</v>
      </c>
      <c r="E367" s="151" t="s">
        <v>2514</v>
      </c>
      <c r="F367" s="151" t="s">
        <v>1949</v>
      </c>
      <c r="G367" s="152">
        <v>1.28</v>
      </c>
      <c r="H367" s="153" t="s">
        <v>2515</v>
      </c>
      <c r="I367" s="152">
        <v>1.2774000000000001</v>
      </c>
      <c r="J367" s="153" t="s">
        <v>2516</v>
      </c>
      <c r="K367" s="151" t="s">
        <v>1649</v>
      </c>
      <c r="L367" s="151" t="s">
        <v>1952</v>
      </c>
      <c r="M367" s="154"/>
      <c r="N367" s="156"/>
      <c r="O367" s="154"/>
      <c r="P367" s="156"/>
      <c r="Q367" s="154"/>
      <c r="R367" s="154"/>
      <c r="S367" s="154"/>
      <c r="T367" s="156"/>
      <c r="U367" s="154"/>
      <c r="V367" s="156"/>
      <c r="W367" s="154"/>
      <c r="X367" s="154"/>
    </row>
    <row r="368" spans="1:24" x14ac:dyDescent="0.2">
      <c r="A368" s="151" t="s">
        <v>417</v>
      </c>
      <c r="B368" s="150" t="s">
        <v>416</v>
      </c>
      <c r="C368" s="151" t="s">
        <v>54</v>
      </c>
      <c r="D368" s="151" t="s">
        <v>1992</v>
      </c>
      <c r="E368" s="151" t="s">
        <v>2525</v>
      </c>
      <c r="F368" s="151" t="s">
        <v>1949</v>
      </c>
      <c r="G368" s="152">
        <v>0.9</v>
      </c>
      <c r="H368" s="153" t="s">
        <v>2526</v>
      </c>
      <c r="I368" s="152">
        <v>0.88180000000000003</v>
      </c>
      <c r="J368" s="153" t="s">
        <v>2527</v>
      </c>
      <c r="K368" s="151" t="s">
        <v>1649</v>
      </c>
      <c r="L368" s="151" t="s">
        <v>1952</v>
      </c>
      <c r="M368" s="154"/>
      <c r="N368" s="154"/>
      <c r="O368" s="154"/>
      <c r="P368" s="154"/>
      <c r="Q368" s="154"/>
      <c r="R368" s="154"/>
      <c r="S368" s="154"/>
      <c r="T368" s="154"/>
      <c r="U368" s="154"/>
      <c r="V368" s="154"/>
      <c r="W368" s="154"/>
      <c r="X368" s="154"/>
    </row>
    <row r="369" spans="1:24" x14ac:dyDescent="0.2">
      <c r="A369" s="151" t="s">
        <v>443</v>
      </c>
      <c r="B369" s="150" t="s">
        <v>442</v>
      </c>
      <c r="C369" s="151" t="s">
        <v>54</v>
      </c>
      <c r="D369" s="151" t="s">
        <v>1979</v>
      </c>
      <c r="E369" s="151" t="s">
        <v>2552</v>
      </c>
      <c r="F369" s="151" t="s">
        <v>890</v>
      </c>
      <c r="G369" s="152">
        <v>1</v>
      </c>
      <c r="H369" s="153" t="s">
        <v>2553</v>
      </c>
      <c r="I369" s="152">
        <v>0.8</v>
      </c>
      <c r="J369" s="154" t="s">
        <v>1613</v>
      </c>
      <c r="K369" s="151" t="s">
        <v>1648</v>
      </c>
      <c r="L369" s="151" t="s">
        <v>1944</v>
      </c>
      <c r="M369" s="154"/>
      <c r="N369" s="154"/>
      <c r="O369" s="154"/>
      <c r="P369" s="154"/>
      <c r="Q369" s="154"/>
      <c r="R369" s="154"/>
      <c r="S369" s="154"/>
      <c r="T369" s="154"/>
      <c r="U369" s="154"/>
      <c r="V369" s="154"/>
      <c r="W369" s="154"/>
      <c r="X369" s="154"/>
    </row>
    <row r="370" spans="1:24" x14ac:dyDescent="0.2">
      <c r="A370" s="151" t="s">
        <v>508</v>
      </c>
      <c r="B370" s="150" t="s">
        <v>507</v>
      </c>
      <c r="C370" s="151" t="s">
        <v>54</v>
      </c>
      <c r="D370" s="151" t="s">
        <v>2612</v>
      </c>
      <c r="E370" s="151" t="s">
        <v>2612</v>
      </c>
      <c r="F370" s="151" t="s">
        <v>894</v>
      </c>
      <c r="G370" s="152">
        <v>1</v>
      </c>
      <c r="H370" s="153" t="s">
        <v>2437</v>
      </c>
      <c r="I370" s="152">
        <v>1</v>
      </c>
      <c r="J370" s="153" t="s">
        <v>2005</v>
      </c>
      <c r="K370" s="151" t="s">
        <v>1649</v>
      </c>
      <c r="L370" s="151" t="s">
        <v>1944</v>
      </c>
      <c r="M370" s="155"/>
      <c r="N370" s="156"/>
      <c r="O370" s="155"/>
      <c r="P370" s="156"/>
      <c r="Q370" s="154"/>
      <c r="R370" s="154"/>
      <c r="S370" s="155"/>
      <c r="T370" s="156"/>
      <c r="U370" s="155"/>
      <c r="V370" s="156"/>
      <c r="W370" s="154"/>
      <c r="X370" s="154"/>
    </row>
    <row r="371" spans="1:24" x14ac:dyDescent="0.2">
      <c r="A371" s="151" t="s">
        <v>522</v>
      </c>
      <c r="B371" s="150" t="s">
        <v>521</v>
      </c>
      <c r="C371" s="151" t="s">
        <v>54</v>
      </c>
      <c r="D371" s="151" t="s">
        <v>2367</v>
      </c>
      <c r="E371" s="151" t="s">
        <v>2368</v>
      </c>
      <c r="F371" s="151" t="s">
        <v>1949</v>
      </c>
      <c r="G371" s="152">
        <v>1.2490000000000001</v>
      </c>
      <c r="H371" s="153" t="s">
        <v>2635</v>
      </c>
      <c r="I371" s="152">
        <v>1.2490000000000001</v>
      </c>
      <c r="J371" s="153" t="s">
        <v>2472</v>
      </c>
      <c r="K371" s="151" t="s">
        <v>1649</v>
      </c>
      <c r="L371" s="151" t="s">
        <v>1990</v>
      </c>
      <c r="M371" s="155"/>
      <c r="N371" s="154"/>
      <c r="O371" s="155"/>
      <c r="P371" s="154"/>
      <c r="Q371" s="154"/>
      <c r="R371" s="154"/>
      <c r="S371" s="155"/>
      <c r="T371" s="154"/>
      <c r="U371" s="155"/>
      <c r="V371" s="154"/>
      <c r="W371" s="154"/>
      <c r="X371" s="154"/>
    </row>
    <row r="372" spans="1:24" x14ac:dyDescent="0.2">
      <c r="A372" s="151" t="s">
        <v>542</v>
      </c>
      <c r="B372" s="150" t="s">
        <v>541</v>
      </c>
      <c r="C372" s="151" t="s">
        <v>54</v>
      </c>
      <c r="D372" s="151" t="s">
        <v>1940</v>
      </c>
      <c r="E372" s="151" t="s">
        <v>2668</v>
      </c>
      <c r="F372" s="151" t="s">
        <v>890</v>
      </c>
      <c r="G372" s="152">
        <v>1</v>
      </c>
      <c r="H372" s="153" t="s">
        <v>2669</v>
      </c>
      <c r="I372" s="152">
        <v>0.75670000000000004</v>
      </c>
      <c r="J372" s="154" t="s">
        <v>1613</v>
      </c>
      <c r="K372" s="151" t="s">
        <v>1648</v>
      </c>
      <c r="L372" s="151" t="s">
        <v>1952</v>
      </c>
      <c r="M372" s="155"/>
      <c r="N372" s="156"/>
      <c r="O372" s="155"/>
      <c r="P372" s="156"/>
      <c r="Q372" s="154"/>
      <c r="R372" s="154"/>
      <c r="S372" s="155"/>
      <c r="T372" s="156"/>
      <c r="U372" s="155"/>
      <c r="V372" s="156"/>
      <c r="W372" s="154"/>
      <c r="X372" s="154"/>
    </row>
    <row r="373" spans="1:24" x14ac:dyDescent="0.2">
      <c r="A373" s="151" t="s">
        <v>590</v>
      </c>
      <c r="B373" s="150" t="s">
        <v>589</v>
      </c>
      <c r="C373" s="151" t="s">
        <v>54</v>
      </c>
      <c r="D373" s="151" t="s">
        <v>1940</v>
      </c>
      <c r="E373" s="151" t="s">
        <v>2731</v>
      </c>
      <c r="F373" s="151" t="s">
        <v>890</v>
      </c>
      <c r="G373" s="152">
        <v>1</v>
      </c>
      <c r="H373" s="153" t="s">
        <v>2732</v>
      </c>
      <c r="I373" s="152">
        <v>1</v>
      </c>
      <c r="J373" s="153" t="s">
        <v>1957</v>
      </c>
      <c r="K373" s="151" t="s">
        <v>1649</v>
      </c>
      <c r="L373" s="151" t="s">
        <v>1952</v>
      </c>
      <c r="M373" s="155"/>
      <c r="N373" s="154"/>
      <c r="O373" s="155"/>
      <c r="P373" s="154"/>
      <c r="Q373" s="154"/>
      <c r="R373" s="154"/>
      <c r="S373" s="155"/>
      <c r="T373" s="154"/>
      <c r="U373" s="155"/>
      <c r="V373" s="154"/>
      <c r="W373" s="154"/>
      <c r="X373" s="154"/>
    </row>
    <row r="374" spans="1:24" x14ac:dyDescent="0.2">
      <c r="A374" s="151" t="s">
        <v>594</v>
      </c>
      <c r="B374" s="150" t="s">
        <v>593</v>
      </c>
      <c r="C374" s="151" t="s">
        <v>54</v>
      </c>
      <c r="D374" s="151" t="s">
        <v>2022</v>
      </c>
      <c r="E374" s="151" t="s">
        <v>2738</v>
      </c>
      <c r="F374" s="151" t="s">
        <v>1949</v>
      </c>
      <c r="G374" s="152">
        <v>1.5</v>
      </c>
      <c r="H374" s="153" t="s">
        <v>2739</v>
      </c>
      <c r="I374" s="152">
        <v>1.4959</v>
      </c>
      <c r="J374" s="154" t="s">
        <v>1613</v>
      </c>
      <c r="K374" s="151" t="s">
        <v>1648</v>
      </c>
      <c r="L374" s="151" t="s">
        <v>1944</v>
      </c>
      <c r="M374" s="152">
        <v>0.5</v>
      </c>
      <c r="N374" s="153" t="s">
        <v>2740</v>
      </c>
      <c r="O374" s="152">
        <v>0.49859999999999999</v>
      </c>
      <c r="P374" s="153" t="s">
        <v>2741</v>
      </c>
      <c r="Q374" s="151" t="s">
        <v>1649</v>
      </c>
      <c r="R374" s="151" t="s">
        <v>1944</v>
      </c>
      <c r="S374" s="155"/>
      <c r="T374" s="154"/>
      <c r="U374" s="155"/>
      <c r="V374" s="154"/>
      <c r="W374" s="154"/>
      <c r="X374" s="154"/>
    </row>
    <row r="375" spans="1:24" x14ac:dyDescent="0.2">
      <c r="A375" s="151" t="s">
        <v>604</v>
      </c>
      <c r="B375" s="150" t="s">
        <v>603</v>
      </c>
      <c r="C375" s="151" t="s">
        <v>54</v>
      </c>
      <c r="D375" s="151" t="s">
        <v>2101</v>
      </c>
      <c r="E375" s="151" t="s">
        <v>2755</v>
      </c>
      <c r="F375" s="151" t="s">
        <v>1949</v>
      </c>
      <c r="G375" s="152">
        <v>2.7</v>
      </c>
      <c r="H375" s="153" t="s">
        <v>2189</v>
      </c>
      <c r="I375" s="152">
        <v>2.6947000000000001</v>
      </c>
      <c r="J375" s="153" t="s">
        <v>1615</v>
      </c>
      <c r="K375" s="151" t="s">
        <v>1648</v>
      </c>
      <c r="L375" s="151" t="s">
        <v>1952</v>
      </c>
      <c r="M375" s="152">
        <v>1.3</v>
      </c>
      <c r="N375" s="153" t="s">
        <v>2756</v>
      </c>
      <c r="O375" s="152">
        <v>1.2983</v>
      </c>
      <c r="P375" s="153" t="s">
        <v>2757</v>
      </c>
      <c r="Q375" s="151" t="s">
        <v>1649</v>
      </c>
      <c r="R375" s="151" t="s">
        <v>1952</v>
      </c>
      <c r="S375" s="154" t="s">
        <v>1613</v>
      </c>
      <c r="T375" s="154"/>
      <c r="U375" s="154"/>
      <c r="V375" s="154"/>
      <c r="W375" s="154"/>
      <c r="X375" s="154"/>
    </row>
    <row r="376" spans="1:24" x14ac:dyDescent="0.2">
      <c r="A376" s="151" t="s">
        <v>638</v>
      </c>
      <c r="B376" s="150" t="s">
        <v>637</v>
      </c>
      <c r="C376" s="151" t="s">
        <v>54</v>
      </c>
      <c r="D376" s="151" t="s">
        <v>1940</v>
      </c>
      <c r="E376" s="151" t="s">
        <v>2789</v>
      </c>
      <c r="F376" s="151" t="s">
        <v>890</v>
      </c>
      <c r="G376" s="152">
        <v>1</v>
      </c>
      <c r="H376" s="153" t="s">
        <v>2790</v>
      </c>
      <c r="I376" s="152">
        <v>0.75449999999999995</v>
      </c>
      <c r="J376" s="154" t="s">
        <v>1613</v>
      </c>
      <c r="K376" s="151" t="s">
        <v>1648</v>
      </c>
      <c r="L376" s="151" t="s">
        <v>1952</v>
      </c>
      <c r="M376" s="154"/>
      <c r="N376" s="154"/>
      <c r="O376" s="154"/>
      <c r="P376" s="154"/>
      <c r="Q376" s="154"/>
      <c r="R376" s="154"/>
      <c r="S376" s="154"/>
      <c r="T376" s="154"/>
      <c r="U376" s="154"/>
      <c r="V376" s="154"/>
      <c r="W376" s="154"/>
      <c r="X376" s="154"/>
    </row>
    <row r="377" spans="1:24" x14ac:dyDescent="0.2">
      <c r="A377" s="151" t="s">
        <v>648</v>
      </c>
      <c r="B377" s="150" t="s">
        <v>647</v>
      </c>
      <c r="C377" s="151" t="s">
        <v>54</v>
      </c>
      <c r="D377" s="151" t="s">
        <v>1940</v>
      </c>
      <c r="E377" s="151" t="s">
        <v>2797</v>
      </c>
      <c r="F377" s="151" t="s">
        <v>890</v>
      </c>
      <c r="G377" s="152">
        <v>1</v>
      </c>
      <c r="H377" s="153" t="s">
        <v>2798</v>
      </c>
      <c r="I377" s="152">
        <v>0.94599999999999995</v>
      </c>
      <c r="J377" s="153" t="s">
        <v>2799</v>
      </c>
      <c r="K377" s="151" t="s">
        <v>1649</v>
      </c>
      <c r="L377" s="151" t="s">
        <v>1944</v>
      </c>
      <c r="M377" s="154"/>
      <c r="N377" s="154"/>
      <c r="O377" s="154"/>
      <c r="P377" s="154"/>
      <c r="Q377" s="154"/>
      <c r="R377" s="154"/>
      <c r="S377" s="154"/>
      <c r="T377" s="154"/>
      <c r="U377" s="154"/>
      <c r="V377" s="154"/>
      <c r="W377" s="154"/>
      <c r="X377" s="154"/>
    </row>
    <row r="378" spans="1:24" x14ac:dyDescent="0.2">
      <c r="A378" s="151" t="s">
        <v>654</v>
      </c>
      <c r="B378" s="150" t="s">
        <v>653</v>
      </c>
      <c r="C378" s="151" t="s">
        <v>54</v>
      </c>
      <c r="D378" s="151" t="s">
        <v>2805</v>
      </c>
      <c r="E378" s="151" t="s">
        <v>2806</v>
      </c>
      <c r="F378" s="151" t="s">
        <v>894</v>
      </c>
      <c r="G378" s="152">
        <v>0.7</v>
      </c>
      <c r="H378" s="153" t="s">
        <v>2269</v>
      </c>
      <c r="I378" s="152">
        <v>0.7</v>
      </c>
      <c r="J378" s="153" t="s">
        <v>2461</v>
      </c>
      <c r="K378" s="151" t="s">
        <v>1649</v>
      </c>
      <c r="L378" s="151" t="s">
        <v>1952</v>
      </c>
      <c r="M378" s="155"/>
      <c r="N378" s="156"/>
      <c r="O378" s="155"/>
      <c r="P378" s="156"/>
      <c r="Q378" s="154"/>
      <c r="R378" s="154"/>
      <c r="S378" s="155"/>
      <c r="T378" s="156"/>
      <c r="U378" s="155"/>
      <c r="V378" s="156"/>
      <c r="W378" s="154"/>
      <c r="X378" s="154"/>
    </row>
    <row r="379" spans="1:24" x14ac:dyDescent="0.2">
      <c r="A379" s="151" t="s">
        <v>656</v>
      </c>
      <c r="B379" s="150" t="s">
        <v>655</v>
      </c>
      <c r="C379" s="151" t="s">
        <v>54</v>
      </c>
      <c r="D379" s="151" t="s">
        <v>2010</v>
      </c>
      <c r="E379" s="151" t="s">
        <v>2807</v>
      </c>
      <c r="F379" s="151" t="s">
        <v>890</v>
      </c>
      <c r="G379" s="152">
        <v>1</v>
      </c>
      <c r="H379" s="153" t="s">
        <v>2404</v>
      </c>
      <c r="I379" s="152">
        <v>0.871</v>
      </c>
      <c r="J379" s="153" t="s">
        <v>2258</v>
      </c>
      <c r="K379" s="151" t="s">
        <v>1649</v>
      </c>
      <c r="L379" s="151" t="s">
        <v>1952</v>
      </c>
      <c r="M379" s="155"/>
      <c r="N379" s="156"/>
      <c r="O379" s="155"/>
      <c r="P379" s="156"/>
      <c r="Q379" s="154"/>
      <c r="R379" s="154"/>
      <c r="S379" s="155"/>
      <c r="T379" s="156"/>
      <c r="U379" s="155"/>
      <c r="V379" s="156"/>
      <c r="W379" s="154"/>
      <c r="X379" s="154"/>
    </row>
    <row r="380" spans="1:24" x14ac:dyDescent="0.2">
      <c r="A380" s="151" t="s">
        <v>684</v>
      </c>
      <c r="B380" s="150" t="s">
        <v>683</v>
      </c>
      <c r="C380" s="151" t="s">
        <v>54</v>
      </c>
      <c r="D380" s="151" t="s">
        <v>2010</v>
      </c>
      <c r="E380" s="151" t="s">
        <v>2844</v>
      </c>
      <c r="F380" s="151" t="s">
        <v>1919</v>
      </c>
      <c r="G380" s="155"/>
      <c r="H380" s="156"/>
      <c r="I380" s="155"/>
      <c r="J380" s="156"/>
      <c r="K380" s="154"/>
      <c r="L380" s="154"/>
      <c r="M380" s="155"/>
      <c r="N380" s="156"/>
      <c r="O380" s="155"/>
      <c r="P380" s="156"/>
      <c r="Q380" s="154"/>
      <c r="R380" s="154"/>
      <c r="S380" s="155"/>
      <c r="T380" s="156"/>
      <c r="U380" s="155"/>
      <c r="V380" s="156"/>
      <c r="W380" s="154"/>
      <c r="X380" s="154"/>
    </row>
    <row r="381" spans="1:24" x14ac:dyDescent="0.2">
      <c r="A381" s="151" t="s">
        <v>696</v>
      </c>
      <c r="B381" s="150" t="s">
        <v>695</v>
      </c>
      <c r="C381" s="151" t="s">
        <v>54</v>
      </c>
      <c r="D381" s="151" t="s">
        <v>1940</v>
      </c>
      <c r="E381" s="151" t="s">
        <v>2861</v>
      </c>
      <c r="F381" s="151" t="s">
        <v>890</v>
      </c>
      <c r="G381" s="152">
        <v>2.8</v>
      </c>
      <c r="H381" s="153" t="s">
        <v>2862</v>
      </c>
      <c r="I381" s="152">
        <v>2.8</v>
      </c>
      <c r="J381" s="154" t="s">
        <v>1613</v>
      </c>
      <c r="K381" s="151" t="s">
        <v>1648</v>
      </c>
      <c r="L381" s="151" t="s">
        <v>1968</v>
      </c>
      <c r="M381" s="152">
        <v>0.9</v>
      </c>
      <c r="N381" s="153" t="s">
        <v>2863</v>
      </c>
      <c r="O381" s="152">
        <v>0.82</v>
      </c>
      <c r="P381" s="154" t="s">
        <v>1613</v>
      </c>
      <c r="Q381" s="151" t="s">
        <v>1649</v>
      </c>
      <c r="R381" s="151" t="s">
        <v>1944</v>
      </c>
      <c r="S381" s="154" t="s">
        <v>1613</v>
      </c>
      <c r="T381" s="154"/>
      <c r="U381" s="154"/>
      <c r="V381" s="154"/>
      <c r="W381" s="154"/>
      <c r="X381" s="154"/>
    </row>
    <row r="382" spans="1:24" x14ac:dyDescent="0.2">
      <c r="A382" s="151" t="s">
        <v>710</v>
      </c>
      <c r="B382" s="150" t="s">
        <v>709</v>
      </c>
      <c r="C382" s="151" t="s">
        <v>54</v>
      </c>
      <c r="D382" s="151" t="s">
        <v>2010</v>
      </c>
      <c r="E382" s="151" t="s">
        <v>2879</v>
      </c>
      <c r="F382" s="151" t="s">
        <v>890</v>
      </c>
      <c r="G382" s="155"/>
      <c r="H382" s="154"/>
      <c r="I382" s="155"/>
      <c r="J382" s="154"/>
      <c r="K382" s="154"/>
      <c r="L382" s="154"/>
      <c r="M382" s="155"/>
      <c r="N382" s="154"/>
      <c r="O382" s="155"/>
      <c r="P382" s="154"/>
      <c r="Q382" s="154"/>
      <c r="R382" s="154"/>
      <c r="S382" s="155"/>
      <c r="T382" s="154"/>
      <c r="U382" s="155"/>
      <c r="V382" s="154"/>
      <c r="W382" s="154"/>
      <c r="X382" s="154"/>
    </row>
    <row r="383" spans="1:24" x14ac:dyDescent="0.2">
      <c r="A383" s="151" t="s">
        <v>726</v>
      </c>
      <c r="B383" s="150" t="s">
        <v>725</v>
      </c>
      <c r="C383" s="151" t="s">
        <v>54</v>
      </c>
      <c r="D383" s="151" t="s">
        <v>1979</v>
      </c>
      <c r="E383" s="154" t="s">
        <v>1613</v>
      </c>
      <c r="F383" s="151" t="s">
        <v>890</v>
      </c>
      <c r="G383" s="152">
        <v>0.88619999999999999</v>
      </c>
      <c r="H383" s="153" t="s">
        <v>2895</v>
      </c>
      <c r="I383" s="152">
        <v>0.88619999999999999</v>
      </c>
      <c r="J383" s="153" t="s">
        <v>1991</v>
      </c>
      <c r="K383" s="151" t="s">
        <v>1649</v>
      </c>
      <c r="L383" s="151" t="s">
        <v>1952</v>
      </c>
      <c r="M383" s="154"/>
      <c r="N383" s="154"/>
      <c r="O383" s="154"/>
      <c r="P383" s="154"/>
      <c r="Q383" s="154"/>
      <c r="R383" s="154"/>
      <c r="S383" s="154"/>
      <c r="T383" s="154"/>
      <c r="U383" s="154"/>
      <c r="V383" s="154"/>
      <c r="W383" s="154"/>
      <c r="X383" s="154"/>
    </row>
    <row r="384" spans="1:24" x14ac:dyDescent="0.2">
      <c r="A384" s="151" t="s">
        <v>752</v>
      </c>
      <c r="B384" s="150" t="s">
        <v>751</v>
      </c>
      <c r="C384" s="151" t="s">
        <v>54</v>
      </c>
      <c r="D384" s="151" t="s">
        <v>2334</v>
      </c>
      <c r="E384" s="151" t="s">
        <v>2924</v>
      </c>
      <c r="F384" s="151" t="s">
        <v>1949</v>
      </c>
      <c r="G384" s="152">
        <v>1.1000000000000001</v>
      </c>
      <c r="H384" s="153" t="s">
        <v>2249</v>
      </c>
      <c r="I384" s="152">
        <v>0.93820000000000003</v>
      </c>
      <c r="J384" s="153" t="s">
        <v>2925</v>
      </c>
      <c r="K384" s="151" t="s">
        <v>1649</v>
      </c>
      <c r="L384" s="151" t="s">
        <v>1952</v>
      </c>
      <c r="M384" s="155"/>
      <c r="N384" s="156"/>
      <c r="O384" s="155"/>
      <c r="P384" s="156"/>
      <c r="Q384" s="154"/>
      <c r="R384" s="154"/>
      <c r="S384" s="155"/>
      <c r="T384" s="156"/>
      <c r="U384" s="155"/>
      <c r="V384" s="156"/>
      <c r="W384" s="154"/>
      <c r="X384" s="154"/>
    </row>
    <row r="385" spans="1:24" x14ac:dyDescent="0.2">
      <c r="A385" s="151" t="s">
        <v>754</v>
      </c>
      <c r="B385" s="150" t="s">
        <v>1614</v>
      </c>
      <c r="C385" s="151" t="s">
        <v>54</v>
      </c>
      <c r="D385" s="151" t="s">
        <v>1979</v>
      </c>
      <c r="E385" s="154" t="s">
        <v>1613</v>
      </c>
      <c r="F385" s="151" t="s">
        <v>890</v>
      </c>
      <c r="G385" s="152">
        <v>0.48280000000000001</v>
      </c>
      <c r="H385" s="153" t="s">
        <v>21</v>
      </c>
      <c r="I385" s="152">
        <v>0.39710000000000001</v>
      </c>
      <c r="J385" s="153" t="s">
        <v>1991</v>
      </c>
      <c r="K385" s="151" t="s">
        <v>1648</v>
      </c>
      <c r="L385" s="151" t="s">
        <v>1990</v>
      </c>
      <c r="M385" s="152">
        <v>0.2</v>
      </c>
      <c r="N385" s="153" t="s">
        <v>2926</v>
      </c>
      <c r="O385" s="154" t="s">
        <v>1613</v>
      </c>
      <c r="P385" s="153" t="s">
        <v>2527</v>
      </c>
      <c r="Q385" s="151" t="s">
        <v>1649</v>
      </c>
      <c r="R385" s="151" t="s">
        <v>1990</v>
      </c>
      <c r="S385" s="154" t="s">
        <v>1613</v>
      </c>
      <c r="T385" s="154"/>
      <c r="U385" s="154"/>
      <c r="V385" s="154"/>
      <c r="W385" s="154"/>
      <c r="X385" s="154"/>
    </row>
    <row r="386" spans="1:24" x14ac:dyDescent="0.2">
      <c r="A386" s="151" t="s">
        <v>756</v>
      </c>
      <c r="B386" s="150" t="s">
        <v>755</v>
      </c>
      <c r="C386" s="151" t="s">
        <v>54</v>
      </c>
      <c r="D386" s="151" t="s">
        <v>1940</v>
      </c>
      <c r="E386" s="151" t="s">
        <v>2927</v>
      </c>
      <c r="F386" s="151" t="s">
        <v>890</v>
      </c>
      <c r="G386" s="152">
        <v>0.7</v>
      </c>
      <c r="H386" s="153" t="s">
        <v>2113</v>
      </c>
      <c r="I386" s="152">
        <v>0.7</v>
      </c>
      <c r="J386" s="153" t="s">
        <v>2928</v>
      </c>
      <c r="K386" s="151" t="s">
        <v>1649</v>
      </c>
      <c r="L386" s="151" t="s">
        <v>1952</v>
      </c>
      <c r="M386" s="155"/>
      <c r="N386" s="156"/>
      <c r="O386" s="155"/>
      <c r="P386" s="156"/>
      <c r="Q386" s="154"/>
      <c r="R386" s="154"/>
      <c r="S386" s="155"/>
      <c r="T386" s="156"/>
      <c r="U386" s="155"/>
      <c r="V386" s="156"/>
      <c r="W386" s="154"/>
      <c r="X386" s="154"/>
    </row>
    <row r="387" spans="1:24" x14ac:dyDescent="0.2">
      <c r="A387" s="151" t="s">
        <v>778</v>
      </c>
      <c r="B387" s="150" t="s">
        <v>777</v>
      </c>
      <c r="C387" s="151" t="s">
        <v>54</v>
      </c>
      <c r="D387" s="151" t="s">
        <v>2010</v>
      </c>
      <c r="E387" s="151" t="s">
        <v>2951</v>
      </c>
      <c r="F387" s="151" t="s">
        <v>890</v>
      </c>
      <c r="G387" s="152">
        <v>0.5</v>
      </c>
      <c r="H387" s="153" t="s">
        <v>2952</v>
      </c>
      <c r="I387" s="152">
        <v>0.4899</v>
      </c>
      <c r="J387" s="153" t="s">
        <v>1615</v>
      </c>
      <c r="K387" s="151" t="s">
        <v>1648</v>
      </c>
      <c r="L387" s="151" t="s">
        <v>1944</v>
      </c>
      <c r="M387" s="152">
        <v>0.85</v>
      </c>
      <c r="N387" s="153" t="s">
        <v>2338</v>
      </c>
      <c r="O387" s="152">
        <v>1.3399000000000001</v>
      </c>
      <c r="P387" s="153" t="s">
        <v>2953</v>
      </c>
      <c r="Q387" s="151" t="s">
        <v>1649</v>
      </c>
      <c r="R387" s="151" t="s">
        <v>1944</v>
      </c>
      <c r="S387" s="152">
        <v>0.85</v>
      </c>
      <c r="T387" s="153" t="s">
        <v>2953</v>
      </c>
      <c r="U387" s="152">
        <v>1.3399000000000001</v>
      </c>
      <c r="V387" s="153" t="s">
        <v>2953</v>
      </c>
      <c r="W387" s="151" t="s">
        <v>1649</v>
      </c>
      <c r="X387" s="151" t="s">
        <v>1944</v>
      </c>
    </row>
    <row r="388" spans="1:24" x14ac:dyDescent="0.2">
      <c r="A388" s="151" t="s">
        <v>780</v>
      </c>
      <c r="B388" s="150" t="s">
        <v>779</v>
      </c>
      <c r="C388" s="151" t="s">
        <v>54</v>
      </c>
      <c r="D388" s="151" t="s">
        <v>1940</v>
      </c>
      <c r="E388" s="151" t="s">
        <v>2954</v>
      </c>
      <c r="F388" s="151" t="s">
        <v>1919</v>
      </c>
      <c r="G388" s="152">
        <v>0.86729999999999996</v>
      </c>
      <c r="H388" s="153" t="s">
        <v>2526</v>
      </c>
      <c r="I388" s="152">
        <v>0.91180000000000005</v>
      </c>
      <c r="J388" s="153" t="s">
        <v>2955</v>
      </c>
      <c r="K388" s="151" t="s">
        <v>1649</v>
      </c>
      <c r="L388" s="151" t="s">
        <v>1952</v>
      </c>
      <c r="M388" s="155"/>
      <c r="N388" s="154"/>
      <c r="O388" s="155"/>
      <c r="P388" s="154"/>
      <c r="Q388" s="154"/>
      <c r="R388" s="154"/>
      <c r="S388" s="155"/>
      <c r="T388" s="154"/>
      <c r="U388" s="155"/>
      <c r="V388" s="154"/>
      <c r="W388" s="154"/>
      <c r="X388" s="154"/>
    </row>
    <row r="389" spans="1:24" x14ac:dyDescent="0.2">
      <c r="A389" s="151" t="s">
        <v>788</v>
      </c>
      <c r="B389" s="150" t="s">
        <v>787</v>
      </c>
      <c r="C389" s="151" t="s">
        <v>54</v>
      </c>
      <c r="D389" s="151" t="s">
        <v>1940</v>
      </c>
      <c r="E389" s="151" t="s">
        <v>2961</v>
      </c>
      <c r="F389" s="151" t="s">
        <v>1919</v>
      </c>
      <c r="G389" s="152">
        <v>1</v>
      </c>
      <c r="H389" s="153" t="s">
        <v>2962</v>
      </c>
      <c r="I389" s="152">
        <v>1</v>
      </c>
      <c r="J389" s="154" t="s">
        <v>1613</v>
      </c>
      <c r="K389" s="151" t="s">
        <v>1648</v>
      </c>
      <c r="L389" s="151" t="s">
        <v>1952</v>
      </c>
      <c r="M389" s="152">
        <v>0.7</v>
      </c>
      <c r="N389" s="153" t="s">
        <v>2338</v>
      </c>
      <c r="O389" s="152">
        <v>0.7</v>
      </c>
      <c r="P389" s="153" t="s">
        <v>2963</v>
      </c>
      <c r="Q389" s="151" t="s">
        <v>1649</v>
      </c>
      <c r="R389" s="151" t="s">
        <v>1952</v>
      </c>
      <c r="S389" s="155"/>
      <c r="T389" s="154"/>
      <c r="U389" s="155"/>
      <c r="V389" s="154"/>
      <c r="W389" s="154"/>
      <c r="X389" s="154"/>
    </row>
    <row r="390" spans="1:24" x14ac:dyDescent="0.2">
      <c r="A390" s="151" t="s">
        <v>808</v>
      </c>
      <c r="B390" s="150" t="s">
        <v>807</v>
      </c>
      <c r="C390" s="151" t="s">
        <v>54</v>
      </c>
      <c r="D390" s="151" t="s">
        <v>1960</v>
      </c>
      <c r="E390" s="151" t="s">
        <v>2988</v>
      </c>
      <c r="F390" s="151" t="s">
        <v>1949</v>
      </c>
      <c r="G390" s="152">
        <v>2</v>
      </c>
      <c r="H390" s="153" t="s">
        <v>2416</v>
      </c>
      <c r="I390" s="152">
        <v>2</v>
      </c>
      <c r="J390" s="153" t="s">
        <v>2009</v>
      </c>
      <c r="K390" s="151" t="s">
        <v>1648</v>
      </c>
      <c r="L390" s="151" t="s">
        <v>1952</v>
      </c>
      <c r="M390" s="155"/>
      <c r="N390" s="154"/>
      <c r="O390" s="155"/>
      <c r="P390" s="154"/>
      <c r="Q390" s="154"/>
      <c r="R390" s="154"/>
      <c r="S390" s="155"/>
      <c r="T390" s="154"/>
      <c r="U390" s="155"/>
      <c r="V390" s="154"/>
      <c r="W390" s="154"/>
      <c r="X390" s="154"/>
    </row>
    <row r="391" spans="1:24" x14ac:dyDescent="0.2">
      <c r="A391" s="151" t="s">
        <v>810</v>
      </c>
      <c r="B391" s="150" t="s">
        <v>809</v>
      </c>
      <c r="C391" s="151" t="s">
        <v>54</v>
      </c>
      <c r="D391" s="151" t="s">
        <v>1979</v>
      </c>
      <c r="E391" s="151" t="s">
        <v>2989</v>
      </c>
      <c r="F391" s="151" t="s">
        <v>890</v>
      </c>
      <c r="G391" s="152">
        <v>1</v>
      </c>
      <c r="H391" s="153" t="s">
        <v>2507</v>
      </c>
      <c r="I391" s="152">
        <v>0.94189999999999996</v>
      </c>
      <c r="J391" s="154" t="s">
        <v>1613</v>
      </c>
      <c r="K391" s="151" t="s">
        <v>1648</v>
      </c>
      <c r="L391" s="151" t="s">
        <v>2990</v>
      </c>
      <c r="M391" s="152">
        <v>0.99</v>
      </c>
      <c r="N391" s="153" t="s">
        <v>2526</v>
      </c>
      <c r="O391" s="152">
        <v>0.9839</v>
      </c>
      <c r="P391" s="153" t="s">
        <v>2991</v>
      </c>
      <c r="Q391" s="151" t="s">
        <v>1649</v>
      </c>
      <c r="R391" s="154" t="s">
        <v>1613</v>
      </c>
      <c r="S391" s="154" t="s">
        <v>1613</v>
      </c>
      <c r="T391" s="154"/>
      <c r="U391" s="154"/>
      <c r="V391" s="154"/>
      <c r="W391" s="154"/>
      <c r="X391" s="154"/>
    </row>
    <row r="392" spans="1:24" x14ac:dyDescent="0.2">
      <c r="A392" s="160" t="s">
        <v>816</v>
      </c>
      <c r="B392" s="161" t="s">
        <v>815</v>
      </c>
      <c r="C392" s="160" t="s">
        <v>54</v>
      </c>
      <c r="D392" s="160" t="s">
        <v>2006</v>
      </c>
      <c r="E392" s="160" t="s">
        <v>2995</v>
      </c>
      <c r="F392" s="160" t="s">
        <v>1949</v>
      </c>
      <c r="G392" s="162">
        <v>1.6</v>
      </c>
      <c r="H392" s="163" t="s">
        <v>2996</v>
      </c>
      <c r="I392" s="162">
        <v>1.4653</v>
      </c>
      <c r="J392" s="163" t="s">
        <v>1887</v>
      </c>
      <c r="K392" s="160" t="s">
        <v>1648</v>
      </c>
      <c r="L392" s="160" t="s">
        <v>1990</v>
      </c>
      <c r="M392" s="162">
        <v>0.38</v>
      </c>
      <c r="N392" s="163" t="s">
        <v>2997</v>
      </c>
      <c r="O392" s="162">
        <v>0.36909999999999998</v>
      </c>
      <c r="P392" s="163" t="s">
        <v>1887</v>
      </c>
      <c r="Q392" s="160" t="s">
        <v>1648</v>
      </c>
      <c r="R392" s="160" t="s">
        <v>1990</v>
      </c>
      <c r="S392" s="162">
        <v>0.7</v>
      </c>
      <c r="T392" s="163" t="s">
        <v>2998</v>
      </c>
      <c r="U392" s="162">
        <v>0.69079999999999997</v>
      </c>
      <c r="V392" s="163" t="s">
        <v>2999</v>
      </c>
      <c r="W392" s="160" t="s">
        <v>1649</v>
      </c>
      <c r="X392" s="160" t="s">
        <v>1990</v>
      </c>
    </row>
    <row r="394" spans="1:24" ht="15" x14ac:dyDescent="0.25">
      <c r="A394" s="369" t="s">
        <v>3736</v>
      </c>
    </row>
  </sheetData>
  <sortState xmlns:xlrd2="http://schemas.microsoft.com/office/spreadsheetml/2017/richdata2" ref="A4:X392">
    <sortCondition ref="C4:C392"/>
    <sortCondition ref="B4:B392"/>
  </sortState>
  <hyperlinks>
    <hyperlink ref="F1" location="'Table of Contents'!A1" display="Return to Table of Contents" xr:uid="{2D321949-A461-476A-A064-8450E7A8E35F}"/>
  </hyperlinks>
  <pageMargins left="0.7" right="0.7" top="0.75" bottom="0.75" header="0.3" footer="0.3"/>
  <pageSetup orientation="portrait" horizontalDpi="1200" verticalDpi="1200"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BD5D9-A2CD-4249-8ED5-A214DECA1B96}">
  <sheetPr>
    <tabColor rgb="FF8CC6D4"/>
  </sheetPr>
  <dimension ref="A1:AD397"/>
  <sheetViews>
    <sheetView workbookViewId="0">
      <pane xSplit="3" ySplit="3" topLeftCell="D4" activePane="bottomRight" state="frozen"/>
      <selection pane="topRight" activeCell="D1" sqref="D1"/>
      <selection pane="bottomLeft" activeCell="A2" sqref="A2"/>
      <selection pane="bottomRight" activeCell="C1" sqref="C1"/>
    </sheetView>
  </sheetViews>
  <sheetFormatPr defaultRowHeight="12.75" x14ac:dyDescent="0.2"/>
  <cols>
    <col min="1" max="1" width="15.28515625" customWidth="1"/>
    <col min="2" max="2" width="47.42578125" customWidth="1"/>
    <col min="3" max="3" width="27.42578125" customWidth="1"/>
    <col min="4" max="4" width="15.28515625" customWidth="1"/>
    <col min="5" max="5" width="20.5703125" customWidth="1"/>
    <col min="6" max="6" width="19.7109375" customWidth="1"/>
    <col min="7" max="7" width="15.85546875" style="202" customWidth="1"/>
    <col min="8" max="8" width="20.140625" style="32" customWidth="1"/>
    <col min="9" max="9" width="22.42578125" customWidth="1"/>
    <col min="10" max="10" width="19" style="50" customWidth="1"/>
    <col min="11" max="30" width="19" customWidth="1"/>
  </cols>
  <sheetData>
    <row r="1" spans="1:30" ht="18.75" x14ac:dyDescent="0.3">
      <c r="A1" s="362" t="s">
        <v>3729</v>
      </c>
      <c r="B1" s="365"/>
      <c r="D1" s="364" t="s">
        <v>1592</v>
      </c>
      <c r="F1" s="360" t="s">
        <v>3727</v>
      </c>
      <c r="G1"/>
    </row>
    <row r="3" spans="1:30" s="34" customFormat="1" ht="79.5" customHeight="1" thickBot="1" x14ac:dyDescent="0.25">
      <c r="A3" s="51" t="s">
        <v>1</v>
      </c>
      <c r="B3" s="51" t="s">
        <v>0</v>
      </c>
      <c r="C3" s="51" t="s">
        <v>4</v>
      </c>
      <c r="D3" s="51" t="s">
        <v>894</v>
      </c>
      <c r="E3" s="51" t="s">
        <v>2</v>
      </c>
      <c r="F3" s="51" t="s">
        <v>3</v>
      </c>
      <c r="G3" s="51" t="s">
        <v>1602</v>
      </c>
      <c r="H3" s="51" t="s">
        <v>3022</v>
      </c>
      <c r="I3" s="51" t="s">
        <v>3023</v>
      </c>
      <c r="J3" s="206" t="s">
        <v>3003</v>
      </c>
      <c r="K3" s="198" t="s">
        <v>3004</v>
      </c>
      <c r="L3" s="198" t="s">
        <v>3005</v>
      </c>
      <c r="M3" s="198" t="s">
        <v>3006</v>
      </c>
      <c r="N3" s="198" t="s">
        <v>3007</v>
      </c>
      <c r="O3" s="198" t="s">
        <v>3008</v>
      </c>
      <c r="P3" s="198" t="s">
        <v>3009</v>
      </c>
      <c r="Q3" s="199" t="s">
        <v>3010</v>
      </c>
      <c r="R3" s="199" t="s">
        <v>3011</v>
      </c>
      <c r="S3" s="199" t="s">
        <v>3012</v>
      </c>
      <c r="T3" s="199" t="s">
        <v>3013</v>
      </c>
      <c r="U3" s="199" t="s">
        <v>3014</v>
      </c>
      <c r="V3" s="199" t="s">
        <v>3015</v>
      </c>
      <c r="W3" s="199" t="s">
        <v>3025</v>
      </c>
      <c r="X3" s="200" t="s">
        <v>3016</v>
      </c>
      <c r="Y3" s="200" t="s">
        <v>3017</v>
      </c>
      <c r="Z3" s="200" t="s">
        <v>3018</v>
      </c>
      <c r="AA3" s="200" t="s">
        <v>3019</v>
      </c>
      <c r="AB3" s="200" t="s">
        <v>3020</v>
      </c>
      <c r="AC3" s="200" t="s">
        <v>3021</v>
      </c>
      <c r="AD3" s="201" t="s">
        <v>3024</v>
      </c>
    </row>
    <row r="4" spans="1:30" ht="13.5" thickBot="1" x14ac:dyDescent="0.25">
      <c r="A4" s="48" t="s">
        <v>33</v>
      </c>
      <c r="B4" s="47" t="s">
        <v>32</v>
      </c>
      <c r="C4" s="48" t="s">
        <v>34</v>
      </c>
      <c r="D4" s="48" t="s">
        <v>1969</v>
      </c>
      <c r="E4" s="129" t="s">
        <v>20</v>
      </c>
      <c r="F4" s="129" t="s">
        <v>21</v>
      </c>
      <c r="G4" s="108">
        <v>1285</v>
      </c>
      <c r="H4" s="87" t="s">
        <v>1649</v>
      </c>
      <c r="I4" s="205">
        <v>0</v>
      </c>
      <c r="J4" s="207">
        <v>1001</v>
      </c>
      <c r="K4" s="208">
        <v>3276</v>
      </c>
      <c r="L4" s="208">
        <v>136915</v>
      </c>
      <c r="M4" s="208">
        <v>0</v>
      </c>
      <c r="N4" s="208">
        <v>4171</v>
      </c>
      <c r="O4" s="208">
        <v>144362</v>
      </c>
      <c r="P4" s="208">
        <v>10045</v>
      </c>
      <c r="Q4" s="207">
        <v>284</v>
      </c>
      <c r="R4" s="208">
        <v>0</v>
      </c>
      <c r="S4" s="208">
        <v>0</v>
      </c>
      <c r="T4" s="208">
        <v>2000</v>
      </c>
      <c r="U4" s="208">
        <v>0</v>
      </c>
      <c r="V4" s="208">
        <v>2000</v>
      </c>
      <c r="W4" s="208">
        <v>0</v>
      </c>
      <c r="X4" s="208">
        <v>146362</v>
      </c>
      <c r="Y4" s="208">
        <v>10045</v>
      </c>
      <c r="Z4" s="208">
        <v>156407</v>
      </c>
      <c r="AA4" s="208">
        <v>1030</v>
      </c>
      <c r="AB4" s="208">
        <v>0</v>
      </c>
      <c r="AC4" s="208">
        <v>157437</v>
      </c>
      <c r="AD4" s="209">
        <v>122.51906614785992</v>
      </c>
    </row>
    <row r="5" spans="1:30" ht="13.5" thickBot="1" x14ac:dyDescent="0.25">
      <c r="A5" s="48" t="s">
        <v>58</v>
      </c>
      <c r="B5" s="47" t="s">
        <v>57</v>
      </c>
      <c r="C5" s="48" t="s">
        <v>34</v>
      </c>
      <c r="D5" s="48" t="s">
        <v>1984</v>
      </c>
      <c r="E5" s="129" t="s">
        <v>20</v>
      </c>
      <c r="F5" s="129" t="s">
        <v>21</v>
      </c>
      <c r="G5" s="108">
        <v>3248</v>
      </c>
      <c r="H5" s="87" t="s">
        <v>1649</v>
      </c>
      <c r="I5" s="205">
        <v>0</v>
      </c>
      <c r="J5" s="207">
        <v>3126</v>
      </c>
      <c r="K5" s="208">
        <v>22134</v>
      </c>
      <c r="L5" s="208">
        <v>53178</v>
      </c>
      <c r="M5" s="203">
        <v>0</v>
      </c>
      <c r="N5" s="208">
        <v>750</v>
      </c>
      <c r="O5" s="208">
        <v>76062</v>
      </c>
      <c r="P5" s="208">
        <v>750</v>
      </c>
      <c r="Q5" s="207">
        <v>122</v>
      </c>
      <c r="R5" s="208">
        <v>1005</v>
      </c>
      <c r="S5" s="208">
        <v>0</v>
      </c>
      <c r="T5" s="208">
        <v>0</v>
      </c>
      <c r="U5" s="208">
        <v>750</v>
      </c>
      <c r="V5" s="208">
        <v>1755</v>
      </c>
      <c r="W5" s="203">
        <v>0</v>
      </c>
      <c r="X5" s="208">
        <v>77817</v>
      </c>
      <c r="Y5" s="208">
        <v>750</v>
      </c>
      <c r="Z5" s="208">
        <v>78567</v>
      </c>
      <c r="AA5" s="208">
        <v>1795</v>
      </c>
      <c r="AB5" s="208">
        <v>0</v>
      </c>
      <c r="AC5" s="208">
        <v>80362</v>
      </c>
      <c r="AD5" s="209">
        <v>24.741995073891626</v>
      </c>
    </row>
    <row r="6" spans="1:30" ht="13.5" thickBot="1" x14ac:dyDescent="0.25">
      <c r="A6" s="48" t="s">
        <v>80</v>
      </c>
      <c r="B6" s="47" t="s">
        <v>79</v>
      </c>
      <c r="C6" s="48" t="s">
        <v>34</v>
      </c>
      <c r="D6" s="48" t="s">
        <v>2045</v>
      </c>
      <c r="E6" s="129" t="s">
        <v>61</v>
      </c>
      <c r="F6" s="129" t="s">
        <v>62</v>
      </c>
      <c r="G6" s="108">
        <v>657</v>
      </c>
      <c r="H6" s="87" t="s">
        <v>1649</v>
      </c>
      <c r="I6" s="205">
        <v>0</v>
      </c>
      <c r="J6" s="207">
        <v>657</v>
      </c>
      <c r="K6" s="208">
        <v>2434</v>
      </c>
      <c r="L6" s="208">
        <v>114515</v>
      </c>
      <c r="M6" s="203">
        <v>0</v>
      </c>
      <c r="N6" s="203">
        <v>0</v>
      </c>
      <c r="O6" s="208">
        <v>116949</v>
      </c>
      <c r="P6" s="208">
        <v>12299</v>
      </c>
      <c r="Q6" s="210">
        <v>0</v>
      </c>
      <c r="R6" s="203">
        <v>0</v>
      </c>
      <c r="S6" s="203">
        <v>0</v>
      </c>
      <c r="T6" s="203">
        <v>0</v>
      </c>
      <c r="U6" s="203">
        <v>0</v>
      </c>
      <c r="V6" s="203">
        <v>0</v>
      </c>
      <c r="W6" s="203">
        <v>0</v>
      </c>
      <c r="X6" s="208">
        <v>116949</v>
      </c>
      <c r="Y6" s="208">
        <v>12299</v>
      </c>
      <c r="Z6" s="208">
        <v>129248</v>
      </c>
      <c r="AA6" s="208">
        <v>527</v>
      </c>
      <c r="AB6" s="208">
        <v>0</v>
      </c>
      <c r="AC6" s="208">
        <v>129775</v>
      </c>
      <c r="AD6" s="209">
        <v>197.52663622526637</v>
      </c>
    </row>
    <row r="7" spans="1:30" ht="13.5" thickBot="1" x14ac:dyDescent="0.25">
      <c r="A7" s="48" t="s">
        <v>82</v>
      </c>
      <c r="B7" s="47" t="s">
        <v>81</v>
      </c>
      <c r="C7" s="48" t="s">
        <v>34</v>
      </c>
      <c r="D7" s="48" t="s">
        <v>1969</v>
      </c>
      <c r="E7" s="129" t="s">
        <v>15</v>
      </c>
      <c r="F7" s="129" t="s">
        <v>16</v>
      </c>
      <c r="G7" s="108">
        <v>3769</v>
      </c>
      <c r="H7" s="87" t="s">
        <v>1649</v>
      </c>
      <c r="I7" s="205">
        <v>0</v>
      </c>
      <c r="J7" s="207">
        <v>3485</v>
      </c>
      <c r="K7" s="208">
        <v>9610</v>
      </c>
      <c r="L7" s="208">
        <v>110336</v>
      </c>
      <c r="M7" s="203">
        <v>0</v>
      </c>
      <c r="N7" s="208">
        <v>0</v>
      </c>
      <c r="O7" s="208">
        <v>119946</v>
      </c>
      <c r="P7" s="208">
        <v>29979</v>
      </c>
      <c r="Q7" s="207">
        <v>284</v>
      </c>
      <c r="R7" s="203">
        <v>0</v>
      </c>
      <c r="S7" s="203">
        <v>0</v>
      </c>
      <c r="T7" s="203">
        <v>0</v>
      </c>
      <c r="U7" s="208">
        <v>2000</v>
      </c>
      <c r="V7" s="208">
        <v>2000</v>
      </c>
      <c r="W7" s="203">
        <v>0</v>
      </c>
      <c r="X7" s="208">
        <v>121946</v>
      </c>
      <c r="Y7" s="208">
        <v>29979</v>
      </c>
      <c r="Z7" s="208">
        <v>151925</v>
      </c>
      <c r="AA7" s="208">
        <v>3020</v>
      </c>
      <c r="AB7" s="208">
        <v>0</v>
      </c>
      <c r="AC7" s="208">
        <v>154945</v>
      </c>
      <c r="AD7" s="209">
        <v>41.110374104537016</v>
      </c>
    </row>
    <row r="8" spans="1:30" ht="13.5" thickBot="1" x14ac:dyDescent="0.25">
      <c r="A8" s="48" t="s">
        <v>86</v>
      </c>
      <c r="B8" s="47" t="s">
        <v>85</v>
      </c>
      <c r="C8" s="48" t="s">
        <v>34</v>
      </c>
      <c r="D8" s="48" t="s">
        <v>2055</v>
      </c>
      <c r="E8" s="129" t="s">
        <v>61</v>
      </c>
      <c r="F8" s="129" t="s">
        <v>62</v>
      </c>
      <c r="G8" s="108">
        <v>3150</v>
      </c>
      <c r="H8" s="87" t="s">
        <v>1649</v>
      </c>
      <c r="I8" s="205">
        <v>0</v>
      </c>
      <c r="J8" s="207">
        <v>3150</v>
      </c>
      <c r="K8" s="203">
        <v>0</v>
      </c>
      <c r="L8" s="203">
        <v>0</v>
      </c>
      <c r="M8" s="203">
        <v>0</v>
      </c>
      <c r="N8" s="208">
        <v>29449</v>
      </c>
      <c r="O8" s="208">
        <v>29449</v>
      </c>
      <c r="P8" s="208">
        <v>6851</v>
      </c>
      <c r="Q8" s="210">
        <v>0</v>
      </c>
      <c r="R8" s="203">
        <v>0</v>
      </c>
      <c r="S8" s="203">
        <v>0</v>
      </c>
      <c r="T8" s="203">
        <v>0</v>
      </c>
      <c r="U8" s="203">
        <v>0</v>
      </c>
      <c r="V8" s="203">
        <v>0</v>
      </c>
      <c r="W8" s="203">
        <v>0</v>
      </c>
      <c r="X8" s="208">
        <v>29449</v>
      </c>
      <c r="Y8" s="208">
        <v>6851</v>
      </c>
      <c r="Z8" s="208">
        <v>36300</v>
      </c>
      <c r="AA8" s="208">
        <v>2525</v>
      </c>
      <c r="AB8" s="208">
        <v>0</v>
      </c>
      <c r="AC8" s="208">
        <v>38825</v>
      </c>
      <c r="AD8" s="209">
        <v>12.325396825396826</v>
      </c>
    </row>
    <row r="9" spans="1:30" ht="13.5" thickBot="1" x14ac:dyDescent="0.25">
      <c r="A9" s="48" t="s">
        <v>90</v>
      </c>
      <c r="B9" s="47" t="s">
        <v>89</v>
      </c>
      <c r="C9" s="48" t="s">
        <v>34</v>
      </c>
      <c r="D9" s="48" t="s">
        <v>2062</v>
      </c>
      <c r="E9" s="129" t="s">
        <v>20</v>
      </c>
      <c r="F9" s="129" t="s">
        <v>21</v>
      </c>
      <c r="G9" s="108">
        <v>3811</v>
      </c>
      <c r="H9" s="87" t="s">
        <v>1649</v>
      </c>
      <c r="I9" s="205">
        <v>0</v>
      </c>
      <c r="J9" s="207">
        <v>3811</v>
      </c>
      <c r="K9" s="208">
        <v>15947</v>
      </c>
      <c r="L9" s="208">
        <v>295148</v>
      </c>
      <c r="M9" s="203">
        <v>0</v>
      </c>
      <c r="N9" s="203">
        <v>0</v>
      </c>
      <c r="O9" s="208">
        <v>311095</v>
      </c>
      <c r="P9" s="208">
        <v>5479</v>
      </c>
      <c r="Q9" s="210">
        <v>0</v>
      </c>
      <c r="R9" s="203">
        <v>0</v>
      </c>
      <c r="S9" s="203">
        <v>0</v>
      </c>
      <c r="T9" s="203">
        <v>0</v>
      </c>
      <c r="U9" s="203">
        <v>0</v>
      </c>
      <c r="V9" s="203">
        <v>0</v>
      </c>
      <c r="W9" s="203">
        <v>0</v>
      </c>
      <c r="X9" s="208">
        <v>311095</v>
      </c>
      <c r="Y9" s="208">
        <v>5479</v>
      </c>
      <c r="Z9" s="208">
        <v>316574</v>
      </c>
      <c r="AA9" s="208">
        <v>3054</v>
      </c>
      <c r="AB9" s="208">
        <v>0</v>
      </c>
      <c r="AC9" s="208">
        <v>319628</v>
      </c>
      <c r="AD9" s="209">
        <v>83.869850432957236</v>
      </c>
    </row>
    <row r="10" spans="1:30" ht="13.5" thickBot="1" x14ac:dyDescent="0.25">
      <c r="A10" s="48" t="s">
        <v>92</v>
      </c>
      <c r="B10" s="47" t="s">
        <v>91</v>
      </c>
      <c r="C10" s="48" t="s">
        <v>34</v>
      </c>
      <c r="D10" s="48" t="s">
        <v>2062</v>
      </c>
      <c r="E10" s="129" t="s">
        <v>20</v>
      </c>
      <c r="F10" s="129" t="s">
        <v>21</v>
      </c>
      <c r="G10" s="108">
        <v>3623</v>
      </c>
      <c r="H10" s="87" t="s">
        <v>1649</v>
      </c>
      <c r="I10" s="205">
        <v>0</v>
      </c>
      <c r="J10" s="207">
        <v>1364</v>
      </c>
      <c r="K10" s="208">
        <v>5216</v>
      </c>
      <c r="L10" s="208">
        <v>66897</v>
      </c>
      <c r="M10" s="203">
        <v>0</v>
      </c>
      <c r="N10" s="208">
        <v>0</v>
      </c>
      <c r="O10" s="208">
        <v>72113</v>
      </c>
      <c r="P10" s="208">
        <v>24894</v>
      </c>
      <c r="Q10" s="207">
        <v>2259</v>
      </c>
      <c r="R10" s="208">
        <v>8639</v>
      </c>
      <c r="S10" s="208">
        <v>0</v>
      </c>
      <c r="T10" s="203">
        <v>0</v>
      </c>
      <c r="U10" s="208">
        <v>2500</v>
      </c>
      <c r="V10" s="208">
        <v>11139</v>
      </c>
      <c r="W10" s="203">
        <v>0</v>
      </c>
      <c r="X10" s="208">
        <v>83252</v>
      </c>
      <c r="Y10" s="208">
        <v>24894</v>
      </c>
      <c r="Z10" s="208">
        <v>108146</v>
      </c>
      <c r="AA10" s="208">
        <v>3904</v>
      </c>
      <c r="AB10" s="208">
        <v>30940</v>
      </c>
      <c r="AC10" s="208">
        <v>142990</v>
      </c>
      <c r="AD10" s="209">
        <v>39.467292299199556</v>
      </c>
    </row>
    <row r="11" spans="1:30" ht="13.5" thickBot="1" x14ac:dyDescent="0.25">
      <c r="A11" s="48" t="s">
        <v>100</v>
      </c>
      <c r="B11" s="47" t="s">
        <v>99</v>
      </c>
      <c r="C11" s="48" t="s">
        <v>34</v>
      </c>
      <c r="D11" s="48" t="s">
        <v>2062</v>
      </c>
      <c r="E11" s="129" t="s">
        <v>101</v>
      </c>
      <c r="F11" s="129" t="s">
        <v>102</v>
      </c>
      <c r="G11" s="108">
        <v>2937</v>
      </c>
      <c r="H11" s="87" t="s">
        <v>1649</v>
      </c>
      <c r="I11" s="205">
        <v>0</v>
      </c>
      <c r="J11" s="207">
        <v>2937</v>
      </c>
      <c r="K11" s="208">
        <v>13239</v>
      </c>
      <c r="L11" s="208">
        <v>64606</v>
      </c>
      <c r="M11" s="203">
        <v>0</v>
      </c>
      <c r="N11" s="208">
        <v>1721</v>
      </c>
      <c r="O11" s="208">
        <v>79566</v>
      </c>
      <c r="P11" s="208">
        <v>0</v>
      </c>
      <c r="Q11" s="210">
        <v>0</v>
      </c>
      <c r="R11" s="203">
        <v>0</v>
      </c>
      <c r="S11" s="203">
        <v>0</v>
      </c>
      <c r="T11" s="203">
        <v>0</v>
      </c>
      <c r="U11" s="203">
        <v>0</v>
      </c>
      <c r="V11" s="203">
        <v>0</v>
      </c>
      <c r="W11" s="203">
        <v>0</v>
      </c>
      <c r="X11" s="208">
        <v>79566</v>
      </c>
      <c r="Y11" s="208">
        <v>0</v>
      </c>
      <c r="Z11" s="208">
        <v>79566</v>
      </c>
      <c r="AA11" s="208">
        <v>2352</v>
      </c>
      <c r="AB11" s="208">
        <v>0</v>
      </c>
      <c r="AC11" s="208">
        <v>81918</v>
      </c>
      <c r="AD11" s="209">
        <v>27.891726251276815</v>
      </c>
    </row>
    <row r="12" spans="1:30" ht="13.5" thickBot="1" x14ac:dyDescent="0.25">
      <c r="A12" s="48" t="s">
        <v>132</v>
      </c>
      <c r="B12" s="47" t="s">
        <v>131</v>
      </c>
      <c r="C12" s="48" t="s">
        <v>34</v>
      </c>
      <c r="D12" s="48" t="s">
        <v>2126</v>
      </c>
      <c r="E12" s="129" t="s">
        <v>101</v>
      </c>
      <c r="F12" s="129" t="s">
        <v>102</v>
      </c>
      <c r="G12" s="108">
        <v>2611</v>
      </c>
      <c r="H12" s="87" t="s">
        <v>1649</v>
      </c>
      <c r="I12" s="205">
        <v>0</v>
      </c>
      <c r="J12" s="207">
        <v>2611</v>
      </c>
      <c r="K12" s="208">
        <v>5385</v>
      </c>
      <c r="L12" s="208">
        <v>0</v>
      </c>
      <c r="M12" s="208">
        <v>0</v>
      </c>
      <c r="N12" s="208">
        <v>22500</v>
      </c>
      <c r="O12" s="208">
        <v>27885</v>
      </c>
      <c r="P12" s="208">
        <v>2000</v>
      </c>
      <c r="Q12" s="210">
        <v>0</v>
      </c>
      <c r="R12" s="203">
        <v>0</v>
      </c>
      <c r="S12" s="203">
        <v>0</v>
      </c>
      <c r="T12" s="203">
        <v>0</v>
      </c>
      <c r="U12" s="203">
        <v>0</v>
      </c>
      <c r="V12" s="203">
        <v>0</v>
      </c>
      <c r="W12" s="203">
        <v>0</v>
      </c>
      <c r="X12" s="208">
        <v>27885</v>
      </c>
      <c r="Y12" s="208">
        <v>2000</v>
      </c>
      <c r="Z12" s="208">
        <v>29885</v>
      </c>
      <c r="AA12" s="208">
        <v>2090</v>
      </c>
      <c r="AB12" s="208">
        <v>0</v>
      </c>
      <c r="AC12" s="208">
        <v>31975</v>
      </c>
      <c r="AD12" s="209">
        <v>12.246265798544618</v>
      </c>
    </row>
    <row r="13" spans="1:30" ht="13.5" thickBot="1" x14ac:dyDescent="0.25">
      <c r="A13" s="48" t="s">
        <v>146</v>
      </c>
      <c r="B13" s="47" t="s">
        <v>145</v>
      </c>
      <c r="C13" s="48" t="s">
        <v>34</v>
      </c>
      <c r="D13" s="48" t="s">
        <v>2145</v>
      </c>
      <c r="E13" s="129" t="s">
        <v>61</v>
      </c>
      <c r="F13" s="129" t="s">
        <v>62</v>
      </c>
      <c r="G13" s="108">
        <v>722</v>
      </c>
      <c r="H13" s="87" t="s">
        <v>1649</v>
      </c>
      <c r="I13" s="205">
        <v>0</v>
      </c>
      <c r="J13" s="207">
        <v>722</v>
      </c>
      <c r="K13" s="208">
        <v>3235</v>
      </c>
      <c r="L13" s="208">
        <v>22443</v>
      </c>
      <c r="M13" s="208">
        <v>0</v>
      </c>
      <c r="N13" s="208">
        <v>2607</v>
      </c>
      <c r="O13" s="208">
        <v>28285</v>
      </c>
      <c r="P13" s="208">
        <v>450</v>
      </c>
      <c r="Q13" s="210">
        <v>0</v>
      </c>
      <c r="R13" s="203">
        <v>0</v>
      </c>
      <c r="S13" s="203">
        <v>0</v>
      </c>
      <c r="T13" s="203">
        <v>0</v>
      </c>
      <c r="U13" s="203">
        <v>0</v>
      </c>
      <c r="V13" s="203">
        <v>0</v>
      </c>
      <c r="W13" s="203">
        <v>0</v>
      </c>
      <c r="X13" s="208">
        <v>28285</v>
      </c>
      <c r="Y13" s="208">
        <v>450</v>
      </c>
      <c r="Z13" s="208">
        <v>28735</v>
      </c>
      <c r="AA13" s="208">
        <v>865</v>
      </c>
      <c r="AB13" s="208">
        <v>0</v>
      </c>
      <c r="AC13" s="208">
        <v>29600</v>
      </c>
      <c r="AD13" s="209">
        <v>40.99722991689751</v>
      </c>
    </row>
    <row r="14" spans="1:30" ht="13.5" thickBot="1" x14ac:dyDescent="0.25">
      <c r="A14" s="48" t="s">
        <v>156</v>
      </c>
      <c r="B14" s="47" t="s">
        <v>155</v>
      </c>
      <c r="C14" s="48" t="s">
        <v>34</v>
      </c>
      <c r="D14" s="48" t="s">
        <v>1969</v>
      </c>
      <c r="E14" s="129" t="s">
        <v>15</v>
      </c>
      <c r="F14" s="129" t="s">
        <v>16</v>
      </c>
      <c r="G14" s="108">
        <v>3995</v>
      </c>
      <c r="H14" s="87" t="s">
        <v>1649</v>
      </c>
      <c r="I14" s="205">
        <v>0</v>
      </c>
      <c r="J14" s="207">
        <v>3302</v>
      </c>
      <c r="K14" s="208">
        <v>8076</v>
      </c>
      <c r="L14" s="208">
        <v>119242</v>
      </c>
      <c r="M14" s="203">
        <v>0</v>
      </c>
      <c r="N14" s="208">
        <v>9077</v>
      </c>
      <c r="O14" s="208">
        <v>136395</v>
      </c>
      <c r="P14" s="203">
        <v>0</v>
      </c>
      <c r="Q14" s="207">
        <v>693</v>
      </c>
      <c r="R14" s="208">
        <v>1274</v>
      </c>
      <c r="S14" s="208">
        <v>47418</v>
      </c>
      <c r="T14" s="203">
        <v>0</v>
      </c>
      <c r="U14" s="208">
        <v>2100</v>
      </c>
      <c r="V14" s="208">
        <v>50792</v>
      </c>
      <c r="W14" s="203">
        <v>0</v>
      </c>
      <c r="X14" s="208">
        <v>187187</v>
      </c>
      <c r="Y14" s="203">
        <v>0</v>
      </c>
      <c r="Z14" s="208">
        <v>187187</v>
      </c>
      <c r="AA14" s="208">
        <v>3562</v>
      </c>
      <c r="AB14" s="208">
        <v>0</v>
      </c>
      <c r="AC14" s="208">
        <v>190749</v>
      </c>
      <c r="AD14" s="209">
        <v>47.746933667083852</v>
      </c>
    </row>
    <row r="15" spans="1:30" ht="13.5" thickBot="1" x14ac:dyDescent="0.25">
      <c r="A15" s="48" t="s">
        <v>164</v>
      </c>
      <c r="B15" s="47" t="s">
        <v>163</v>
      </c>
      <c r="C15" s="48" t="s">
        <v>34</v>
      </c>
      <c r="D15" s="48" t="s">
        <v>2105</v>
      </c>
      <c r="E15" s="129" t="s">
        <v>61</v>
      </c>
      <c r="F15" s="129" t="s">
        <v>62</v>
      </c>
      <c r="G15" s="108">
        <v>1854</v>
      </c>
      <c r="H15" s="87" t="s">
        <v>1649</v>
      </c>
      <c r="I15" s="205">
        <v>0</v>
      </c>
      <c r="J15" s="207">
        <v>1137</v>
      </c>
      <c r="K15" s="208">
        <v>5020</v>
      </c>
      <c r="L15" s="208">
        <v>15500</v>
      </c>
      <c r="M15" s="208">
        <v>0</v>
      </c>
      <c r="N15" s="208">
        <v>3086</v>
      </c>
      <c r="O15" s="208">
        <v>23606</v>
      </c>
      <c r="P15" s="208">
        <v>2993</v>
      </c>
      <c r="Q15" s="207">
        <v>717</v>
      </c>
      <c r="R15" s="208">
        <v>3166</v>
      </c>
      <c r="S15" s="208">
        <v>9774</v>
      </c>
      <c r="T15" s="208">
        <v>0</v>
      </c>
      <c r="U15" s="208">
        <v>0</v>
      </c>
      <c r="V15" s="208">
        <v>12940</v>
      </c>
      <c r="W15" s="208">
        <v>0</v>
      </c>
      <c r="X15" s="208">
        <v>36546</v>
      </c>
      <c r="Y15" s="208">
        <v>2993</v>
      </c>
      <c r="Z15" s="208">
        <v>39539</v>
      </c>
      <c r="AA15" s="208">
        <v>743</v>
      </c>
      <c r="AB15" s="208">
        <v>0</v>
      </c>
      <c r="AC15" s="208">
        <v>40282</v>
      </c>
      <c r="AD15" s="209">
        <v>21.727076591154262</v>
      </c>
    </row>
    <row r="16" spans="1:30" ht="13.5" thickBot="1" x14ac:dyDescent="0.25">
      <c r="A16" s="48" t="s">
        <v>176</v>
      </c>
      <c r="B16" s="47" t="s">
        <v>175</v>
      </c>
      <c r="C16" s="48" t="s">
        <v>34</v>
      </c>
      <c r="D16" s="48" t="s">
        <v>1947</v>
      </c>
      <c r="E16" s="129" t="s">
        <v>61</v>
      </c>
      <c r="F16" s="129" t="s">
        <v>62</v>
      </c>
      <c r="G16" s="108">
        <v>3604</v>
      </c>
      <c r="H16" s="87" t="s">
        <v>1649</v>
      </c>
      <c r="I16" s="205">
        <v>0</v>
      </c>
      <c r="J16" s="207">
        <v>3604</v>
      </c>
      <c r="K16" s="208">
        <v>8140</v>
      </c>
      <c r="L16" s="208">
        <v>99117</v>
      </c>
      <c r="M16" s="208">
        <v>16980</v>
      </c>
      <c r="N16" s="208">
        <v>0</v>
      </c>
      <c r="O16" s="208">
        <v>124237</v>
      </c>
      <c r="P16" s="208">
        <v>16031</v>
      </c>
      <c r="Q16" s="210">
        <v>0</v>
      </c>
      <c r="R16" s="208">
        <v>0</v>
      </c>
      <c r="S16" s="208">
        <v>0</v>
      </c>
      <c r="T16" s="208">
        <v>0</v>
      </c>
      <c r="U16" s="208">
        <v>0</v>
      </c>
      <c r="V16" s="208">
        <v>0</v>
      </c>
      <c r="W16" s="208">
        <v>0</v>
      </c>
      <c r="X16" s="208">
        <v>124237</v>
      </c>
      <c r="Y16" s="208">
        <v>16031</v>
      </c>
      <c r="Z16" s="208">
        <v>140268</v>
      </c>
      <c r="AA16" s="208">
        <v>2889</v>
      </c>
      <c r="AB16" s="208">
        <v>2931</v>
      </c>
      <c r="AC16" s="208">
        <v>146088</v>
      </c>
      <c r="AD16" s="209">
        <v>40.534961154273027</v>
      </c>
    </row>
    <row r="17" spans="1:30" ht="13.5" thickBot="1" x14ac:dyDescent="0.25">
      <c r="A17" s="48" t="s">
        <v>184</v>
      </c>
      <c r="B17" s="47" t="s">
        <v>183</v>
      </c>
      <c r="C17" s="48" t="s">
        <v>34</v>
      </c>
      <c r="D17" s="48" t="s">
        <v>2126</v>
      </c>
      <c r="E17" s="129" t="s">
        <v>61</v>
      </c>
      <c r="F17" s="129" t="s">
        <v>62</v>
      </c>
      <c r="G17" s="108">
        <v>3803</v>
      </c>
      <c r="H17" s="87" t="s">
        <v>1649</v>
      </c>
      <c r="I17" s="205">
        <v>0</v>
      </c>
      <c r="J17" s="207">
        <v>3329</v>
      </c>
      <c r="K17" s="208">
        <v>6870</v>
      </c>
      <c r="L17" s="208">
        <v>100061</v>
      </c>
      <c r="M17" s="208">
        <v>10000</v>
      </c>
      <c r="N17" s="208">
        <v>0</v>
      </c>
      <c r="O17" s="208">
        <v>116931</v>
      </c>
      <c r="P17" s="208">
        <v>3144</v>
      </c>
      <c r="Q17" s="207">
        <v>474</v>
      </c>
      <c r="R17" s="208">
        <v>978</v>
      </c>
      <c r="S17" s="208">
        <v>0</v>
      </c>
      <c r="T17" s="208">
        <v>0</v>
      </c>
      <c r="U17" s="208">
        <v>0</v>
      </c>
      <c r="V17" s="208">
        <v>978</v>
      </c>
      <c r="W17" s="208">
        <v>0</v>
      </c>
      <c r="X17" s="208">
        <v>117909</v>
      </c>
      <c r="Y17" s="208">
        <v>3144</v>
      </c>
      <c r="Z17" s="208">
        <v>121053</v>
      </c>
      <c r="AA17" s="208">
        <v>3047</v>
      </c>
      <c r="AB17" s="208">
        <v>0</v>
      </c>
      <c r="AC17" s="208">
        <v>124100</v>
      </c>
      <c r="AD17" s="209">
        <v>32.632132526952404</v>
      </c>
    </row>
    <row r="18" spans="1:30" ht="13.5" thickBot="1" x14ac:dyDescent="0.25">
      <c r="A18" s="48" t="s">
        <v>186</v>
      </c>
      <c r="B18" s="47" t="s">
        <v>185</v>
      </c>
      <c r="C18" s="48" t="s">
        <v>34</v>
      </c>
      <c r="D18" s="48" t="s">
        <v>2122</v>
      </c>
      <c r="E18" s="129" t="s">
        <v>61</v>
      </c>
      <c r="F18" s="129" t="s">
        <v>62</v>
      </c>
      <c r="G18" s="108">
        <v>2373</v>
      </c>
      <c r="H18" s="87" t="s">
        <v>1649</v>
      </c>
      <c r="I18" s="205">
        <v>0</v>
      </c>
      <c r="J18" s="207">
        <v>1284</v>
      </c>
      <c r="K18" s="208">
        <v>7031</v>
      </c>
      <c r="L18" s="208">
        <v>117961</v>
      </c>
      <c r="M18" s="208">
        <v>0</v>
      </c>
      <c r="N18" s="208">
        <v>0</v>
      </c>
      <c r="O18" s="208">
        <v>124992</v>
      </c>
      <c r="P18" s="208">
        <v>4343</v>
      </c>
      <c r="Q18" s="207">
        <v>1089</v>
      </c>
      <c r="R18" s="208">
        <v>5965</v>
      </c>
      <c r="S18" s="208">
        <v>0</v>
      </c>
      <c r="T18" s="203">
        <v>0</v>
      </c>
      <c r="U18" s="208">
        <v>1880</v>
      </c>
      <c r="V18" s="208">
        <v>7845</v>
      </c>
      <c r="W18" s="203">
        <v>0</v>
      </c>
      <c r="X18" s="208">
        <v>132837</v>
      </c>
      <c r="Y18" s="208">
        <v>4343</v>
      </c>
      <c r="Z18" s="208">
        <v>137180</v>
      </c>
      <c r="AA18" s="208">
        <v>3720</v>
      </c>
      <c r="AB18" s="208">
        <v>0</v>
      </c>
      <c r="AC18" s="208">
        <v>140900</v>
      </c>
      <c r="AD18" s="209">
        <v>59.376316898440791</v>
      </c>
    </row>
    <row r="19" spans="1:30" ht="13.5" thickBot="1" x14ac:dyDescent="0.25">
      <c r="A19" s="48" t="s">
        <v>202</v>
      </c>
      <c r="B19" s="47" t="s">
        <v>201</v>
      </c>
      <c r="C19" s="48" t="s">
        <v>34</v>
      </c>
      <c r="D19" s="48" t="s">
        <v>2045</v>
      </c>
      <c r="E19" s="129" t="s">
        <v>20</v>
      </c>
      <c r="F19" s="129" t="s">
        <v>21</v>
      </c>
      <c r="G19" s="108">
        <v>3953</v>
      </c>
      <c r="H19" s="87" t="s">
        <v>1649</v>
      </c>
      <c r="I19" s="203">
        <v>0</v>
      </c>
      <c r="J19" s="207">
        <v>2598</v>
      </c>
      <c r="K19" s="208">
        <v>9625</v>
      </c>
      <c r="L19" s="208">
        <v>152041</v>
      </c>
      <c r="M19" s="203">
        <v>0</v>
      </c>
      <c r="N19" s="203">
        <v>0</v>
      </c>
      <c r="O19" s="208">
        <v>161666</v>
      </c>
      <c r="P19" s="208">
        <v>34716</v>
      </c>
      <c r="Q19" s="207">
        <v>1355</v>
      </c>
      <c r="R19" s="208">
        <v>4540</v>
      </c>
      <c r="S19" s="203">
        <v>0</v>
      </c>
      <c r="T19" s="203">
        <v>0</v>
      </c>
      <c r="U19" s="203">
        <v>0</v>
      </c>
      <c r="V19" s="208">
        <v>4540</v>
      </c>
      <c r="W19" s="203">
        <v>0</v>
      </c>
      <c r="X19" s="208">
        <v>166206</v>
      </c>
      <c r="Y19" s="208">
        <v>34716</v>
      </c>
      <c r="Z19" s="208">
        <v>200922</v>
      </c>
      <c r="AA19" s="208">
        <v>3168</v>
      </c>
      <c r="AB19" s="208">
        <v>0</v>
      </c>
      <c r="AC19" s="208">
        <v>204090</v>
      </c>
      <c r="AD19" s="209">
        <v>51.629142423475841</v>
      </c>
    </row>
    <row r="20" spans="1:30" ht="13.5" thickBot="1" x14ac:dyDescent="0.25">
      <c r="A20" s="48" t="s">
        <v>204</v>
      </c>
      <c r="B20" s="47" t="s">
        <v>203</v>
      </c>
      <c r="C20" s="48" t="s">
        <v>34</v>
      </c>
      <c r="D20" s="48" t="s">
        <v>2237</v>
      </c>
      <c r="E20" s="129" t="s">
        <v>61</v>
      </c>
      <c r="F20" s="129" t="s">
        <v>62</v>
      </c>
      <c r="G20" s="108">
        <v>3228</v>
      </c>
      <c r="H20" s="87" t="s">
        <v>1649</v>
      </c>
      <c r="I20" s="205">
        <v>0</v>
      </c>
      <c r="J20" s="207">
        <v>3228</v>
      </c>
      <c r="K20" s="208">
        <v>12405</v>
      </c>
      <c r="L20" s="208">
        <v>50993</v>
      </c>
      <c r="M20" s="208">
        <v>0</v>
      </c>
      <c r="N20" s="208">
        <v>0</v>
      </c>
      <c r="O20" s="208">
        <v>63398</v>
      </c>
      <c r="P20" s="208">
        <v>21000</v>
      </c>
      <c r="Q20" s="210">
        <v>0</v>
      </c>
      <c r="R20" s="208">
        <v>0</v>
      </c>
      <c r="S20" s="208">
        <v>0</v>
      </c>
      <c r="T20" s="208">
        <v>0</v>
      </c>
      <c r="U20" s="208">
        <v>0</v>
      </c>
      <c r="V20" s="208">
        <v>0</v>
      </c>
      <c r="W20" s="208">
        <v>0</v>
      </c>
      <c r="X20" s="208">
        <v>63398</v>
      </c>
      <c r="Y20" s="208">
        <v>21000</v>
      </c>
      <c r="Z20" s="208">
        <v>84398</v>
      </c>
      <c r="AA20" s="208">
        <v>0</v>
      </c>
      <c r="AB20" s="208">
        <v>0</v>
      </c>
      <c r="AC20" s="208">
        <v>84398</v>
      </c>
      <c r="AD20" s="209">
        <v>26.1456009913259</v>
      </c>
    </row>
    <row r="21" spans="1:30" ht="13.5" thickBot="1" x14ac:dyDescent="0.25">
      <c r="A21" s="48" t="s">
        <v>206</v>
      </c>
      <c r="B21" s="47" t="s">
        <v>205</v>
      </c>
      <c r="C21" s="48" t="s">
        <v>34</v>
      </c>
      <c r="D21" s="48" t="s">
        <v>2241</v>
      </c>
      <c r="E21" s="129" t="s">
        <v>15</v>
      </c>
      <c r="F21" s="129" t="s">
        <v>16</v>
      </c>
      <c r="G21" s="108">
        <v>3453</v>
      </c>
      <c r="H21" s="87" t="s">
        <v>1649</v>
      </c>
      <c r="I21" s="205">
        <v>0</v>
      </c>
      <c r="J21" s="207">
        <v>3453</v>
      </c>
      <c r="K21" s="208">
        <v>10209</v>
      </c>
      <c r="L21" s="208">
        <v>171600</v>
      </c>
      <c r="M21" s="208">
        <v>8211</v>
      </c>
      <c r="N21" s="208">
        <v>11372</v>
      </c>
      <c r="O21" s="208">
        <v>201392</v>
      </c>
      <c r="P21" s="208">
        <v>78061</v>
      </c>
      <c r="Q21" s="210">
        <v>0</v>
      </c>
      <c r="R21" s="203">
        <v>0</v>
      </c>
      <c r="S21" s="203">
        <v>0</v>
      </c>
      <c r="T21" s="203">
        <v>0</v>
      </c>
      <c r="U21" s="203">
        <v>0</v>
      </c>
      <c r="V21" s="203">
        <v>0</v>
      </c>
      <c r="W21" s="203">
        <v>0</v>
      </c>
      <c r="X21" s="208">
        <v>201392</v>
      </c>
      <c r="Y21" s="208">
        <v>78061</v>
      </c>
      <c r="Z21" s="208">
        <v>279453</v>
      </c>
      <c r="AA21" s="208">
        <v>2768</v>
      </c>
      <c r="AB21" s="208">
        <v>0</v>
      </c>
      <c r="AC21" s="208">
        <v>282221</v>
      </c>
      <c r="AD21" s="209">
        <v>81.732116999710399</v>
      </c>
    </row>
    <row r="22" spans="1:30" ht="13.5" thickBot="1" x14ac:dyDescent="0.25">
      <c r="A22" s="48" t="s">
        <v>208</v>
      </c>
      <c r="B22" s="47" t="s">
        <v>207</v>
      </c>
      <c r="C22" s="48" t="s">
        <v>34</v>
      </c>
      <c r="D22" s="48" t="s">
        <v>1964</v>
      </c>
      <c r="E22" s="129" t="s">
        <v>15</v>
      </c>
      <c r="F22" s="129" t="s">
        <v>16</v>
      </c>
      <c r="G22" s="108">
        <v>1236</v>
      </c>
      <c r="H22" s="87" t="s">
        <v>1648</v>
      </c>
      <c r="I22" s="205">
        <v>4448</v>
      </c>
      <c r="J22" s="207">
        <v>1236</v>
      </c>
      <c r="K22" s="208">
        <v>8178</v>
      </c>
      <c r="L22" s="208">
        <v>31596</v>
      </c>
      <c r="M22" s="208">
        <v>0</v>
      </c>
      <c r="N22" s="208">
        <v>0</v>
      </c>
      <c r="O22" s="208">
        <v>39774</v>
      </c>
      <c r="P22" s="208">
        <v>2490</v>
      </c>
      <c r="Q22" s="210">
        <v>0</v>
      </c>
      <c r="R22" s="208">
        <v>0</v>
      </c>
      <c r="S22" s="208">
        <v>0</v>
      </c>
      <c r="T22" s="208">
        <v>0</v>
      </c>
      <c r="U22" s="208">
        <v>0</v>
      </c>
      <c r="V22" s="208">
        <v>0</v>
      </c>
      <c r="W22" s="208">
        <v>0</v>
      </c>
      <c r="X22" s="208">
        <v>39774</v>
      </c>
      <c r="Y22" s="208">
        <v>2490</v>
      </c>
      <c r="Z22" s="208">
        <v>42264</v>
      </c>
      <c r="AA22" s="208">
        <v>950</v>
      </c>
      <c r="AB22" s="208">
        <v>0</v>
      </c>
      <c r="AC22" s="208">
        <v>43214</v>
      </c>
      <c r="AD22" s="209">
        <v>34.962783171521039</v>
      </c>
    </row>
    <row r="23" spans="1:30" ht="13.5" thickBot="1" x14ac:dyDescent="0.25">
      <c r="A23" s="48" t="s">
        <v>210</v>
      </c>
      <c r="B23" s="47" t="s">
        <v>209</v>
      </c>
      <c r="C23" s="48" t="s">
        <v>34</v>
      </c>
      <c r="D23" s="48" t="s">
        <v>2062</v>
      </c>
      <c r="E23" s="129" t="s">
        <v>20</v>
      </c>
      <c r="F23" s="129" t="s">
        <v>21</v>
      </c>
      <c r="G23" s="108">
        <v>3179</v>
      </c>
      <c r="H23" s="87" t="s">
        <v>1648</v>
      </c>
      <c r="I23" s="205">
        <v>7000</v>
      </c>
      <c r="J23" s="207">
        <v>1364</v>
      </c>
      <c r="K23" s="208">
        <v>5216</v>
      </c>
      <c r="L23" s="208">
        <v>66897</v>
      </c>
      <c r="M23" s="203">
        <v>0</v>
      </c>
      <c r="N23" s="203">
        <v>0</v>
      </c>
      <c r="O23" s="208">
        <v>72113</v>
      </c>
      <c r="P23" s="208">
        <v>5551</v>
      </c>
      <c r="Q23" s="207">
        <v>1815</v>
      </c>
      <c r="R23" s="208">
        <v>6941</v>
      </c>
      <c r="S23" s="203">
        <v>0</v>
      </c>
      <c r="T23" s="203">
        <v>0</v>
      </c>
      <c r="U23" s="208">
        <v>1000</v>
      </c>
      <c r="V23" s="208">
        <v>7941</v>
      </c>
      <c r="W23" s="203">
        <v>0</v>
      </c>
      <c r="X23" s="208">
        <v>80054</v>
      </c>
      <c r="Y23" s="208">
        <v>5551</v>
      </c>
      <c r="Z23" s="208">
        <v>85605</v>
      </c>
      <c r="AA23" s="208">
        <v>2548</v>
      </c>
      <c r="AB23" s="208">
        <v>629</v>
      </c>
      <c r="AC23" s="208">
        <v>88782</v>
      </c>
      <c r="AD23" s="209">
        <v>27.927650204466815</v>
      </c>
    </row>
    <row r="24" spans="1:30" ht="13.5" thickBot="1" x14ac:dyDescent="0.25">
      <c r="A24" s="48" t="s">
        <v>256</v>
      </c>
      <c r="B24" s="47" t="s">
        <v>255</v>
      </c>
      <c r="C24" s="48" t="s">
        <v>34</v>
      </c>
      <c r="D24" s="48" t="s">
        <v>1953</v>
      </c>
      <c r="E24" s="129" t="s">
        <v>61</v>
      </c>
      <c r="F24" s="129" t="s">
        <v>62</v>
      </c>
      <c r="G24" s="108">
        <v>2769</v>
      </c>
      <c r="H24" s="87" t="s">
        <v>1649</v>
      </c>
      <c r="I24" s="205">
        <v>0</v>
      </c>
      <c r="J24" s="207">
        <v>1526</v>
      </c>
      <c r="K24" s="208">
        <v>4627</v>
      </c>
      <c r="L24" s="208">
        <v>8863</v>
      </c>
      <c r="M24" s="208">
        <v>6300</v>
      </c>
      <c r="N24" s="208">
        <v>0</v>
      </c>
      <c r="O24" s="208">
        <v>19790</v>
      </c>
      <c r="P24" s="208">
        <v>1139</v>
      </c>
      <c r="Q24" s="207">
        <v>1243</v>
      </c>
      <c r="R24" s="208">
        <v>3770</v>
      </c>
      <c r="S24" s="208">
        <v>7219</v>
      </c>
      <c r="T24" s="208">
        <v>0</v>
      </c>
      <c r="U24" s="208">
        <v>13067</v>
      </c>
      <c r="V24" s="208">
        <v>24056</v>
      </c>
      <c r="W24" s="208">
        <v>0</v>
      </c>
      <c r="X24" s="208">
        <v>43846</v>
      </c>
      <c r="Y24" s="208">
        <v>1139</v>
      </c>
      <c r="Z24" s="208">
        <v>44985</v>
      </c>
      <c r="AA24" s="208">
        <v>3289</v>
      </c>
      <c r="AB24" s="208">
        <v>0</v>
      </c>
      <c r="AC24" s="208">
        <v>48274</v>
      </c>
      <c r="AD24" s="209">
        <v>17.433730588660165</v>
      </c>
    </row>
    <row r="25" spans="1:30" ht="13.5" thickBot="1" x14ac:dyDescent="0.25">
      <c r="A25" s="48" t="s">
        <v>258</v>
      </c>
      <c r="B25" s="47" t="s">
        <v>257</v>
      </c>
      <c r="C25" s="48" t="s">
        <v>34</v>
      </c>
      <c r="D25" s="48" t="s">
        <v>2037</v>
      </c>
      <c r="E25" s="129" t="s">
        <v>61</v>
      </c>
      <c r="F25" s="129" t="s">
        <v>62</v>
      </c>
      <c r="G25" s="108">
        <v>3738</v>
      </c>
      <c r="H25" s="87" t="s">
        <v>1648</v>
      </c>
      <c r="I25" s="204" t="s">
        <v>1660</v>
      </c>
      <c r="J25" s="207">
        <v>2363</v>
      </c>
      <c r="K25" s="208">
        <v>13161</v>
      </c>
      <c r="L25" s="208">
        <v>65430</v>
      </c>
      <c r="M25" s="208">
        <v>0</v>
      </c>
      <c r="N25" s="208">
        <v>6000</v>
      </c>
      <c r="O25" s="208">
        <v>84591</v>
      </c>
      <c r="P25" s="208">
        <v>4823</v>
      </c>
      <c r="Q25" s="207">
        <v>1375</v>
      </c>
      <c r="R25" s="208">
        <v>3248</v>
      </c>
      <c r="S25" s="208">
        <v>0</v>
      </c>
      <c r="T25" s="208">
        <v>0</v>
      </c>
      <c r="U25" s="208">
        <v>0</v>
      </c>
      <c r="V25" s="208">
        <v>3248</v>
      </c>
      <c r="W25" s="208">
        <v>0</v>
      </c>
      <c r="X25" s="208">
        <v>87839</v>
      </c>
      <c r="Y25" s="208">
        <v>4823</v>
      </c>
      <c r="Z25" s="208">
        <v>92662</v>
      </c>
      <c r="AA25" s="208">
        <v>2996</v>
      </c>
      <c r="AB25" s="208">
        <v>0</v>
      </c>
      <c r="AC25" s="208">
        <v>95658</v>
      </c>
      <c r="AD25" s="209">
        <v>25.590690208667738</v>
      </c>
    </row>
    <row r="26" spans="1:30" ht="13.5" thickBot="1" x14ac:dyDescent="0.25">
      <c r="A26" s="48" t="s">
        <v>264</v>
      </c>
      <c r="B26" s="47" t="s">
        <v>263</v>
      </c>
      <c r="C26" s="48" t="s">
        <v>34</v>
      </c>
      <c r="D26" s="48" t="s">
        <v>2122</v>
      </c>
      <c r="E26" s="129" t="s">
        <v>61</v>
      </c>
      <c r="F26" s="129" t="s">
        <v>62</v>
      </c>
      <c r="G26" s="108">
        <v>3112</v>
      </c>
      <c r="H26" s="87" t="s">
        <v>1649</v>
      </c>
      <c r="I26" s="205">
        <v>0</v>
      </c>
      <c r="J26" s="207">
        <v>2957</v>
      </c>
      <c r="K26" s="208">
        <v>16363</v>
      </c>
      <c r="L26" s="208">
        <v>247525</v>
      </c>
      <c r="M26" s="203">
        <v>0</v>
      </c>
      <c r="N26" s="208">
        <v>13968</v>
      </c>
      <c r="O26" s="208">
        <v>277856</v>
      </c>
      <c r="P26" s="208">
        <v>9074</v>
      </c>
      <c r="Q26" s="207">
        <v>155</v>
      </c>
      <c r="R26" s="203">
        <v>0</v>
      </c>
      <c r="S26" s="203">
        <v>0</v>
      </c>
      <c r="T26" s="203">
        <v>0</v>
      </c>
      <c r="U26" s="203">
        <v>0</v>
      </c>
      <c r="V26" s="203">
        <v>0</v>
      </c>
      <c r="W26" s="203">
        <v>0</v>
      </c>
      <c r="X26" s="208">
        <v>277856</v>
      </c>
      <c r="Y26" s="208">
        <v>9074</v>
      </c>
      <c r="Z26" s="208">
        <v>286930</v>
      </c>
      <c r="AA26" s="208">
        <v>2494</v>
      </c>
      <c r="AB26" s="208">
        <v>0</v>
      </c>
      <c r="AC26" s="208">
        <v>289424</v>
      </c>
      <c r="AD26" s="209">
        <v>93.00257069408741</v>
      </c>
    </row>
    <row r="27" spans="1:30" ht="13.5" thickBot="1" x14ac:dyDescent="0.25">
      <c r="A27" s="48" t="s">
        <v>272</v>
      </c>
      <c r="B27" s="47" t="s">
        <v>271</v>
      </c>
      <c r="C27" s="48" t="s">
        <v>34</v>
      </c>
      <c r="D27" s="48" t="s">
        <v>2334</v>
      </c>
      <c r="E27" s="129" t="s">
        <v>15</v>
      </c>
      <c r="F27" s="129" t="s">
        <v>16</v>
      </c>
      <c r="G27" s="108">
        <v>2791</v>
      </c>
      <c r="H27" s="87" t="s">
        <v>1649</v>
      </c>
      <c r="I27" s="205">
        <v>0</v>
      </c>
      <c r="J27" s="207">
        <v>2791</v>
      </c>
      <c r="K27" s="208">
        <v>6382</v>
      </c>
      <c r="L27" s="208">
        <v>0</v>
      </c>
      <c r="M27" s="208">
        <v>0</v>
      </c>
      <c r="N27" s="208">
        <v>155928</v>
      </c>
      <c r="O27" s="208">
        <v>162310</v>
      </c>
      <c r="P27" s="208">
        <v>18041</v>
      </c>
      <c r="Q27" s="210">
        <v>0</v>
      </c>
      <c r="R27" s="203">
        <v>0</v>
      </c>
      <c r="S27" s="203">
        <v>0</v>
      </c>
      <c r="T27" s="203">
        <v>0</v>
      </c>
      <c r="U27" s="203">
        <v>0</v>
      </c>
      <c r="V27" s="203">
        <v>0</v>
      </c>
      <c r="W27" s="203">
        <v>0</v>
      </c>
      <c r="X27" s="208">
        <v>162310</v>
      </c>
      <c r="Y27" s="208">
        <v>18041</v>
      </c>
      <c r="Z27" s="208">
        <v>180351</v>
      </c>
      <c r="AA27" s="208">
        <v>2237</v>
      </c>
      <c r="AB27" s="208">
        <v>0</v>
      </c>
      <c r="AC27" s="208">
        <v>182588</v>
      </c>
      <c r="AD27" s="209">
        <v>65.420279469724107</v>
      </c>
    </row>
    <row r="28" spans="1:30" ht="13.5" thickBot="1" x14ac:dyDescent="0.25">
      <c r="A28" s="48" t="s">
        <v>286</v>
      </c>
      <c r="B28" s="47" t="s">
        <v>285</v>
      </c>
      <c r="C28" s="48" t="s">
        <v>34</v>
      </c>
      <c r="D28" s="48" t="s">
        <v>1940</v>
      </c>
      <c r="E28" s="129" t="s">
        <v>20</v>
      </c>
      <c r="F28" s="129" t="s">
        <v>21</v>
      </c>
      <c r="G28" s="108">
        <v>3150</v>
      </c>
      <c r="H28" s="87" t="s">
        <v>1649</v>
      </c>
      <c r="I28" s="205">
        <v>0</v>
      </c>
      <c r="J28" s="207">
        <v>3150</v>
      </c>
      <c r="K28" s="208">
        <v>6728</v>
      </c>
      <c r="L28" s="208">
        <v>220754</v>
      </c>
      <c r="M28" s="208">
        <v>0</v>
      </c>
      <c r="N28" s="208">
        <v>1750</v>
      </c>
      <c r="O28" s="208">
        <v>229232</v>
      </c>
      <c r="P28" s="208">
        <v>1265</v>
      </c>
      <c r="Q28" s="210">
        <v>0</v>
      </c>
      <c r="R28" s="203">
        <v>0</v>
      </c>
      <c r="S28" s="203">
        <v>0</v>
      </c>
      <c r="T28" s="203">
        <v>0</v>
      </c>
      <c r="U28" s="203">
        <v>0</v>
      </c>
      <c r="V28" s="203">
        <v>0</v>
      </c>
      <c r="W28" s="203">
        <v>0</v>
      </c>
      <c r="X28" s="208">
        <v>229232</v>
      </c>
      <c r="Y28" s="208">
        <v>1265</v>
      </c>
      <c r="Z28" s="208">
        <v>230497</v>
      </c>
      <c r="AA28" s="208">
        <v>1275</v>
      </c>
      <c r="AB28" s="208">
        <v>0</v>
      </c>
      <c r="AC28" s="208">
        <v>231772</v>
      </c>
      <c r="AD28" s="209">
        <v>73.578412698412691</v>
      </c>
    </row>
    <row r="29" spans="1:30" ht="13.5" thickBot="1" x14ac:dyDescent="0.25">
      <c r="A29" s="48" t="s">
        <v>298</v>
      </c>
      <c r="B29" s="47" t="s">
        <v>297</v>
      </c>
      <c r="C29" s="48" t="s">
        <v>34</v>
      </c>
      <c r="D29" s="48" t="s">
        <v>2057</v>
      </c>
      <c r="E29" s="129" t="s">
        <v>61</v>
      </c>
      <c r="F29" s="129" t="s">
        <v>62</v>
      </c>
      <c r="G29" s="108">
        <v>3043</v>
      </c>
      <c r="H29" s="87" t="s">
        <v>1649</v>
      </c>
      <c r="I29" s="205">
        <v>0</v>
      </c>
      <c r="J29" s="207">
        <v>1452</v>
      </c>
      <c r="K29" s="208">
        <v>10661</v>
      </c>
      <c r="L29" s="208">
        <v>57256</v>
      </c>
      <c r="M29" s="208">
        <v>0</v>
      </c>
      <c r="N29" s="208">
        <v>0</v>
      </c>
      <c r="O29" s="208">
        <v>67917</v>
      </c>
      <c r="P29" s="208">
        <v>8337</v>
      </c>
      <c r="Q29" s="207">
        <v>1591</v>
      </c>
      <c r="R29" s="208">
        <v>11686</v>
      </c>
      <c r="S29" s="208">
        <v>0</v>
      </c>
      <c r="T29" s="208">
        <v>0</v>
      </c>
      <c r="U29" s="208">
        <v>750</v>
      </c>
      <c r="V29" s="208">
        <v>12436</v>
      </c>
      <c r="W29" s="208">
        <v>0</v>
      </c>
      <c r="X29" s="208">
        <v>80353</v>
      </c>
      <c r="Y29" s="208">
        <v>8337</v>
      </c>
      <c r="Z29" s="208">
        <v>88690</v>
      </c>
      <c r="AA29" s="208">
        <v>2439</v>
      </c>
      <c r="AB29" s="208">
        <v>0</v>
      </c>
      <c r="AC29" s="208">
        <v>91129</v>
      </c>
      <c r="AD29" s="209">
        <v>29.947091685836345</v>
      </c>
    </row>
    <row r="30" spans="1:30" ht="13.5" thickBot="1" x14ac:dyDescent="0.25">
      <c r="A30" s="48" t="s">
        <v>306</v>
      </c>
      <c r="B30" s="47" t="s">
        <v>305</v>
      </c>
      <c r="C30" s="48" t="s">
        <v>34</v>
      </c>
      <c r="D30" s="48" t="s">
        <v>2264</v>
      </c>
      <c r="E30" s="129" t="s">
        <v>61</v>
      </c>
      <c r="F30" s="129" t="s">
        <v>62</v>
      </c>
      <c r="G30" s="108">
        <v>2047</v>
      </c>
      <c r="H30" s="87" t="s">
        <v>1649</v>
      </c>
      <c r="I30" s="205">
        <v>0</v>
      </c>
      <c r="J30" s="207">
        <v>2047</v>
      </c>
      <c r="K30" s="208">
        <v>1134</v>
      </c>
      <c r="L30" s="208">
        <v>1641</v>
      </c>
      <c r="M30" s="208">
        <v>0</v>
      </c>
      <c r="N30" s="208">
        <v>26762</v>
      </c>
      <c r="O30" s="208">
        <v>29537</v>
      </c>
      <c r="P30" s="208">
        <v>2666</v>
      </c>
      <c r="Q30" s="210">
        <v>0</v>
      </c>
      <c r="R30" s="208">
        <v>0</v>
      </c>
      <c r="S30" s="208">
        <v>0</v>
      </c>
      <c r="T30" s="208">
        <v>0</v>
      </c>
      <c r="U30" s="208">
        <v>0</v>
      </c>
      <c r="V30" s="208">
        <v>0</v>
      </c>
      <c r="W30" s="208">
        <v>0</v>
      </c>
      <c r="X30" s="208">
        <v>29537</v>
      </c>
      <c r="Y30" s="208">
        <v>2666</v>
      </c>
      <c r="Z30" s="208">
        <v>32203</v>
      </c>
      <c r="AA30" s="208">
        <v>0</v>
      </c>
      <c r="AB30" s="208">
        <v>0</v>
      </c>
      <c r="AC30" s="208">
        <v>32203</v>
      </c>
      <c r="AD30" s="209">
        <v>15.731802638006839</v>
      </c>
    </row>
    <row r="31" spans="1:30" ht="13.5" thickBot="1" x14ac:dyDescent="0.25">
      <c r="A31" s="48" t="s">
        <v>314</v>
      </c>
      <c r="B31" s="47" t="s">
        <v>313</v>
      </c>
      <c r="C31" s="48" t="s">
        <v>34</v>
      </c>
      <c r="D31" s="48" t="s">
        <v>2393</v>
      </c>
      <c r="E31" s="129" t="s">
        <v>15</v>
      </c>
      <c r="F31" s="129" t="s">
        <v>16</v>
      </c>
      <c r="G31" s="108">
        <v>3650</v>
      </c>
      <c r="H31" s="87" t="s">
        <v>1649</v>
      </c>
      <c r="I31" s="205">
        <v>0</v>
      </c>
      <c r="J31" s="207">
        <v>3650</v>
      </c>
      <c r="K31" s="208">
        <v>5634</v>
      </c>
      <c r="L31" s="208">
        <v>208172</v>
      </c>
      <c r="M31" s="208">
        <v>0</v>
      </c>
      <c r="N31" s="208">
        <v>0</v>
      </c>
      <c r="O31" s="208">
        <v>213806</v>
      </c>
      <c r="P31" s="208">
        <v>16296</v>
      </c>
      <c r="Q31" s="210">
        <v>0</v>
      </c>
      <c r="R31" s="203">
        <v>0</v>
      </c>
      <c r="S31" s="203">
        <v>0</v>
      </c>
      <c r="T31" s="203">
        <v>0</v>
      </c>
      <c r="U31" s="203">
        <v>0</v>
      </c>
      <c r="V31" s="203">
        <v>0</v>
      </c>
      <c r="W31" s="203">
        <v>0</v>
      </c>
      <c r="X31" s="208">
        <v>213806</v>
      </c>
      <c r="Y31" s="208">
        <v>16296</v>
      </c>
      <c r="Z31" s="208">
        <v>230102</v>
      </c>
      <c r="AA31" s="208">
        <v>1463</v>
      </c>
      <c r="AB31" s="208">
        <v>0</v>
      </c>
      <c r="AC31" s="208">
        <v>231565</v>
      </c>
      <c r="AD31" s="209">
        <v>63.442465753424656</v>
      </c>
    </row>
    <row r="32" spans="1:30" ht="13.5" thickBot="1" x14ac:dyDescent="0.25">
      <c r="A32" s="48" t="s">
        <v>316</v>
      </c>
      <c r="B32" s="47" t="s">
        <v>315</v>
      </c>
      <c r="C32" s="48" t="s">
        <v>34</v>
      </c>
      <c r="D32" s="48" t="s">
        <v>1992</v>
      </c>
      <c r="E32" s="129" t="s">
        <v>20</v>
      </c>
      <c r="F32" s="129" t="s">
        <v>21</v>
      </c>
      <c r="G32" s="108">
        <v>1828</v>
      </c>
      <c r="H32" s="87" t="s">
        <v>1649</v>
      </c>
      <c r="I32" s="205">
        <v>0</v>
      </c>
      <c r="J32" s="207">
        <v>1828</v>
      </c>
      <c r="K32" s="208">
        <v>4889</v>
      </c>
      <c r="L32" s="208">
        <v>54943</v>
      </c>
      <c r="M32" s="203">
        <v>0</v>
      </c>
      <c r="N32" s="203">
        <v>0</v>
      </c>
      <c r="O32" s="208">
        <v>59832</v>
      </c>
      <c r="P32" s="208">
        <v>535</v>
      </c>
      <c r="Q32" s="210">
        <v>0</v>
      </c>
      <c r="R32" s="203">
        <v>0</v>
      </c>
      <c r="S32" s="203">
        <v>0</v>
      </c>
      <c r="T32" s="203">
        <v>0</v>
      </c>
      <c r="U32" s="203">
        <v>0</v>
      </c>
      <c r="V32" s="203">
        <v>0</v>
      </c>
      <c r="W32" s="203">
        <v>0</v>
      </c>
      <c r="X32" s="208">
        <v>59832</v>
      </c>
      <c r="Y32" s="208">
        <v>535</v>
      </c>
      <c r="Z32" s="208">
        <v>60367</v>
      </c>
      <c r="AA32" s="208">
        <v>0</v>
      </c>
      <c r="AB32" s="208">
        <v>0</v>
      </c>
      <c r="AC32" s="208">
        <v>60367</v>
      </c>
      <c r="AD32" s="209">
        <v>33.023522975929978</v>
      </c>
    </row>
    <row r="33" spans="1:30" ht="13.5" thickBot="1" x14ac:dyDescent="0.25">
      <c r="A33" s="48" t="s">
        <v>364</v>
      </c>
      <c r="B33" s="47" t="s">
        <v>363</v>
      </c>
      <c r="C33" s="48" t="s">
        <v>34</v>
      </c>
      <c r="D33" s="48" t="s">
        <v>1960</v>
      </c>
      <c r="E33" s="129" t="s">
        <v>15</v>
      </c>
      <c r="F33" s="129" t="s">
        <v>16</v>
      </c>
      <c r="G33" s="108">
        <v>3926</v>
      </c>
      <c r="H33" s="87" t="s">
        <v>1648</v>
      </c>
      <c r="I33" s="205">
        <v>6000</v>
      </c>
      <c r="J33" s="207">
        <v>1668</v>
      </c>
      <c r="K33" s="208">
        <v>3027</v>
      </c>
      <c r="L33" s="208">
        <v>24873</v>
      </c>
      <c r="M33" s="208">
        <v>0</v>
      </c>
      <c r="N33" s="208">
        <v>39431</v>
      </c>
      <c r="O33" s="208">
        <v>67331</v>
      </c>
      <c r="P33" s="208">
        <v>5123</v>
      </c>
      <c r="Q33" s="207">
        <v>2258</v>
      </c>
      <c r="R33" s="208">
        <v>5153</v>
      </c>
      <c r="S33" s="208">
        <v>54332</v>
      </c>
      <c r="T33" s="208">
        <v>0</v>
      </c>
      <c r="U33" s="208">
        <v>0</v>
      </c>
      <c r="V33" s="208">
        <v>59485</v>
      </c>
      <c r="W33" s="208">
        <v>8724</v>
      </c>
      <c r="X33" s="208">
        <v>126816</v>
      </c>
      <c r="Y33" s="208">
        <v>13847</v>
      </c>
      <c r="Z33" s="208">
        <v>140663</v>
      </c>
      <c r="AA33" s="208">
        <v>3147</v>
      </c>
      <c r="AB33" s="208">
        <v>0</v>
      </c>
      <c r="AC33" s="208">
        <v>143810</v>
      </c>
      <c r="AD33" s="209">
        <v>36.630157921548651</v>
      </c>
    </row>
    <row r="34" spans="1:30" ht="13.5" thickBot="1" x14ac:dyDescent="0.25">
      <c r="A34" s="48" t="s">
        <v>380</v>
      </c>
      <c r="B34" s="47" t="s">
        <v>379</v>
      </c>
      <c r="C34" s="48" t="s">
        <v>34</v>
      </c>
      <c r="D34" s="48" t="s">
        <v>2178</v>
      </c>
      <c r="E34" s="129" t="s">
        <v>20</v>
      </c>
      <c r="F34" s="129" t="s">
        <v>21</v>
      </c>
      <c r="G34" s="108">
        <v>3038</v>
      </c>
      <c r="H34" s="87" t="s">
        <v>1649</v>
      </c>
      <c r="I34" s="205">
        <v>0</v>
      </c>
      <c r="J34" s="207">
        <v>3038</v>
      </c>
      <c r="K34" s="208">
        <v>19675</v>
      </c>
      <c r="L34" s="208">
        <v>70900</v>
      </c>
      <c r="M34" s="208">
        <v>0</v>
      </c>
      <c r="N34" s="208">
        <v>0</v>
      </c>
      <c r="O34" s="208">
        <v>90575</v>
      </c>
      <c r="P34" s="208">
        <v>18338</v>
      </c>
      <c r="Q34" s="210">
        <v>0</v>
      </c>
      <c r="R34" s="203">
        <v>0</v>
      </c>
      <c r="S34" s="203">
        <v>0</v>
      </c>
      <c r="T34" s="203">
        <v>0</v>
      </c>
      <c r="U34" s="203">
        <v>0</v>
      </c>
      <c r="V34" s="203">
        <v>0</v>
      </c>
      <c r="W34" s="203">
        <v>0</v>
      </c>
      <c r="X34" s="208">
        <v>90575</v>
      </c>
      <c r="Y34" s="208">
        <v>18338</v>
      </c>
      <c r="Z34" s="208">
        <v>108913</v>
      </c>
      <c r="AA34" s="208">
        <v>2435</v>
      </c>
      <c r="AB34" s="208">
        <v>0</v>
      </c>
      <c r="AC34" s="208">
        <v>111348</v>
      </c>
      <c r="AD34" s="209">
        <v>36.651744568795259</v>
      </c>
    </row>
    <row r="35" spans="1:30" ht="13.5" thickBot="1" x14ac:dyDescent="0.25">
      <c r="A35" s="48" t="s">
        <v>412</v>
      </c>
      <c r="B35" s="47" t="s">
        <v>411</v>
      </c>
      <c r="C35" s="48" t="s">
        <v>34</v>
      </c>
      <c r="D35" s="48" t="s">
        <v>2131</v>
      </c>
      <c r="E35" s="129" t="s">
        <v>20</v>
      </c>
      <c r="F35" s="129" t="s">
        <v>21</v>
      </c>
      <c r="G35" s="108">
        <v>3730</v>
      </c>
      <c r="H35" s="87" t="s">
        <v>1649</v>
      </c>
      <c r="I35" s="205">
        <v>0</v>
      </c>
      <c r="J35" s="207">
        <v>3730</v>
      </c>
      <c r="K35" s="208">
        <v>4238</v>
      </c>
      <c r="L35" s="203">
        <v>0</v>
      </c>
      <c r="M35" s="208">
        <v>37397</v>
      </c>
      <c r="N35" s="203">
        <v>0</v>
      </c>
      <c r="O35" s="208">
        <v>41635</v>
      </c>
      <c r="P35" s="208">
        <v>0</v>
      </c>
      <c r="Q35" s="210">
        <v>0</v>
      </c>
      <c r="R35" s="203">
        <v>0</v>
      </c>
      <c r="S35" s="203">
        <v>0</v>
      </c>
      <c r="T35" s="203">
        <v>0</v>
      </c>
      <c r="U35" s="203">
        <v>0</v>
      </c>
      <c r="V35" s="203">
        <v>0</v>
      </c>
      <c r="W35" s="203">
        <v>0</v>
      </c>
      <c r="X35" s="208">
        <v>41635</v>
      </c>
      <c r="Y35" s="208">
        <v>0</v>
      </c>
      <c r="Z35" s="208">
        <v>41635</v>
      </c>
      <c r="AA35" s="208">
        <v>1496</v>
      </c>
      <c r="AB35" s="208">
        <v>0</v>
      </c>
      <c r="AC35" s="208">
        <v>43131</v>
      </c>
      <c r="AD35" s="209">
        <v>11.563270777479893</v>
      </c>
    </row>
    <row r="36" spans="1:30" ht="13.5" thickBot="1" x14ac:dyDescent="0.25">
      <c r="A36" s="48" t="s">
        <v>419</v>
      </c>
      <c r="B36" s="47" t="s">
        <v>418</v>
      </c>
      <c r="C36" s="48" t="s">
        <v>34</v>
      </c>
      <c r="D36" s="48" t="s">
        <v>2022</v>
      </c>
      <c r="E36" s="129" t="s">
        <v>101</v>
      </c>
      <c r="F36" s="129" t="s">
        <v>102</v>
      </c>
      <c r="G36" s="108">
        <v>2735</v>
      </c>
      <c r="H36" s="87" t="s">
        <v>1649</v>
      </c>
      <c r="I36" s="205">
        <v>0</v>
      </c>
      <c r="J36" s="207">
        <v>767</v>
      </c>
      <c r="K36" s="208">
        <v>2700</v>
      </c>
      <c r="L36" s="208">
        <v>0</v>
      </c>
      <c r="M36" s="208">
        <v>10000</v>
      </c>
      <c r="N36" s="208">
        <v>3800</v>
      </c>
      <c r="O36" s="208">
        <v>16500</v>
      </c>
      <c r="P36" s="208">
        <v>6633</v>
      </c>
      <c r="Q36" s="207">
        <v>1968</v>
      </c>
      <c r="R36" s="208">
        <v>2898</v>
      </c>
      <c r="S36" s="203">
        <v>0</v>
      </c>
      <c r="T36" s="203">
        <v>0</v>
      </c>
      <c r="U36" s="208">
        <v>1200</v>
      </c>
      <c r="V36" s="208">
        <v>4098</v>
      </c>
      <c r="W36" s="203">
        <v>0</v>
      </c>
      <c r="X36" s="208">
        <v>20598</v>
      </c>
      <c r="Y36" s="208">
        <v>6633</v>
      </c>
      <c r="Z36" s="208">
        <v>27231</v>
      </c>
      <c r="AA36" s="208">
        <v>2189</v>
      </c>
      <c r="AB36" s="208">
        <v>0</v>
      </c>
      <c r="AC36" s="208">
        <v>29420</v>
      </c>
      <c r="AD36" s="209">
        <v>10.756855575868373</v>
      </c>
    </row>
    <row r="37" spans="1:30" ht="13.5" thickBot="1" x14ac:dyDescent="0.25">
      <c r="A37" s="48" t="s">
        <v>421</v>
      </c>
      <c r="B37" s="47" t="s">
        <v>420</v>
      </c>
      <c r="C37" s="48" t="s">
        <v>34</v>
      </c>
      <c r="D37" s="48" t="s">
        <v>2446</v>
      </c>
      <c r="E37" s="129" t="s">
        <v>253</v>
      </c>
      <c r="F37" s="129" t="s">
        <v>254</v>
      </c>
      <c r="G37" s="108">
        <v>1900</v>
      </c>
      <c r="H37" s="87" t="s">
        <v>1648</v>
      </c>
      <c r="I37" s="205">
        <v>60000</v>
      </c>
      <c r="J37" s="207">
        <v>1900</v>
      </c>
      <c r="K37" s="208">
        <v>14730</v>
      </c>
      <c r="L37" s="208">
        <v>107000</v>
      </c>
      <c r="M37" s="208">
        <v>0</v>
      </c>
      <c r="N37" s="208">
        <v>0</v>
      </c>
      <c r="O37" s="208">
        <v>121730</v>
      </c>
      <c r="P37" s="208">
        <v>2040</v>
      </c>
      <c r="Q37" s="210">
        <v>0</v>
      </c>
      <c r="R37" s="203">
        <v>0</v>
      </c>
      <c r="S37" s="203">
        <v>0</v>
      </c>
      <c r="T37" s="203">
        <v>0</v>
      </c>
      <c r="U37" s="203">
        <v>0</v>
      </c>
      <c r="V37" s="203">
        <v>0</v>
      </c>
      <c r="W37" s="203">
        <v>0</v>
      </c>
      <c r="X37" s="208">
        <v>121730</v>
      </c>
      <c r="Y37" s="208">
        <v>2040</v>
      </c>
      <c r="Z37" s="208">
        <v>123770</v>
      </c>
      <c r="AA37" s="208">
        <v>1800</v>
      </c>
      <c r="AB37" s="208">
        <v>0</v>
      </c>
      <c r="AC37" s="208">
        <v>125570</v>
      </c>
      <c r="AD37" s="209">
        <v>66.089473684210532</v>
      </c>
    </row>
    <row r="38" spans="1:30" ht="13.5" thickBot="1" x14ac:dyDescent="0.25">
      <c r="A38" s="48" t="s">
        <v>425</v>
      </c>
      <c r="B38" s="47" t="s">
        <v>424</v>
      </c>
      <c r="C38" s="48" t="s">
        <v>34</v>
      </c>
      <c r="D38" s="48" t="s">
        <v>2393</v>
      </c>
      <c r="E38" s="129" t="s">
        <v>61</v>
      </c>
      <c r="F38" s="129" t="s">
        <v>62</v>
      </c>
      <c r="G38" s="108">
        <v>2027</v>
      </c>
      <c r="H38" s="87" t="s">
        <v>1649</v>
      </c>
      <c r="I38" s="205">
        <v>0</v>
      </c>
      <c r="J38" s="207">
        <v>2027</v>
      </c>
      <c r="K38" s="208">
        <v>3130</v>
      </c>
      <c r="L38" s="208">
        <v>0</v>
      </c>
      <c r="M38" s="208">
        <v>126284</v>
      </c>
      <c r="N38" s="208">
        <v>0</v>
      </c>
      <c r="O38" s="208">
        <v>129414</v>
      </c>
      <c r="P38" s="208">
        <v>11630</v>
      </c>
      <c r="Q38" s="210">
        <v>0</v>
      </c>
      <c r="R38" s="203">
        <v>0</v>
      </c>
      <c r="S38" s="203">
        <v>0</v>
      </c>
      <c r="T38" s="203">
        <v>0</v>
      </c>
      <c r="U38" s="203">
        <v>0</v>
      </c>
      <c r="V38" s="203">
        <v>0</v>
      </c>
      <c r="W38" s="203">
        <v>0</v>
      </c>
      <c r="X38" s="208">
        <v>129414</v>
      </c>
      <c r="Y38" s="208">
        <v>11630</v>
      </c>
      <c r="Z38" s="208">
        <v>141044</v>
      </c>
      <c r="AA38" s="208">
        <v>2262</v>
      </c>
      <c r="AB38" s="208">
        <v>0</v>
      </c>
      <c r="AC38" s="208">
        <v>143306</v>
      </c>
      <c r="AD38" s="209">
        <v>70.698569314257526</v>
      </c>
    </row>
    <row r="39" spans="1:30" ht="13.5" thickBot="1" x14ac:dyDescent="0.25">
      <c r="A39" s="48" t="s">
        <v>435</v>
      </c>
      <c r="B39" s="47" t="s">
        <v>434</v>
      </c>
      <c r="C39" s="48" t="s">
        <v>34</v>
      </c>
      <c r="D39" s="48" t="s">
        <v>2316</v>
      </c>
      <c r="E39" s="129" t="s">
        <v>20</v>
      </c>
      <c r="F39" s="129" t="s">
        <v>21</v>
      </c>
      <c r="G39" s="108">
        <v>2835</v>
      </c>
      <c r="H39" s="87" t="s">
        <v>1649</v>
      </c>
      <c r="I39" s="205">
        <v>0</v>
      </c>
      <c r="J39" s="207">
        <v>2585</v>
      </c>
      <c r="K39" s="208">
        <v>15078</v>
      </c>
      <c r="L39" s="203">
        <v>0</v>
      </c>
      <c r="M39" s="203">
        <v>0</v>
      </c>
      <c r="N39" s="208">
        <v>1061</v>
      </c>
      <c r="O39" s="208">
        <v>16139</v>
      </c>
      <c r="P39" s="208">
        <v>7200</v>
      </c>
      <c r="Q39" s="207">
        <v>250</v>
      </c>
      <c r="R39" s="208">
        <v>0</v>
      </c>
      <c r="S39" s="203">
        <v>0</v>
      </c>
      <c r="T39" s="203">
        <v>0</v>
      </c>
      <c r="U39" s="203">
        <v>0</v>
      </c>
      <c r="V39" s="208">
        <v>0</v>
      </c>
      <c r="W39" s="203">
        <v>0</v>
      </c>
      <c r="X39" s="208">
        <v>16139</v>
      </c>
      <c r="Y39" s="208">
        <v>7200</v>
      </c>
      <c r="Z39" s="208">
        <v>23339</v>
      </c>
      <c r="AA39" s="208">
        <v>1061</v>
      </c>
      <c r="AB39" s="208">
        <v>0</v>
      </c>
      <c r="AC39" s="208">
        <v>24400</v>
      </c>
      <c r="AD39" s="209">
        <v>8.6067019400352738</v>
      </c>
    </row>
    <row r="40" spans="1:30" ht="13.5" thickBot="1" x14ac:dyDescent="0.25">
      <c r="A40" s="48" t="s">
        <v>441</v>
      </c>
      <c r="B40" s="47" t="s">
        <v>440</v>
      </c>
      <c r="C40" s="48" t="s">
        <v>34</v>
      </c>
      <c r="D40" s="48" t="s">
        <v>2134</v>
      </c>
      <c r="E40" s="129" t="s">
        <v>61</v>
      </c>
      <c r="F40" s="129" t="s">
        <v>62</v>
      </c>
      <c r="G40" s="108">
        <v>2372</v>
      </c>
      <c r="H40" s="87" t="s">
        <v>1649</v>
      </c>
      <c r="I40" s="205">
        <v>0</v>
      </c>
      <c r="J40" s="207">
        <v>2372</v>
      </c>
      <c r="K40" s="208">
        <v>5842</v>
      </c>
      <c r="L40" s="208">
        <v>69249</v>
      </c>
      <c r="M40" s="203">
        <v>0</v>
      </c>
      <c r="N40" s="208">
        <v>22282</v>
      </c>
      <c r="O40" s="208">
        <v>97373</v>
      </c>
      <c r="P40" s="208">
        <v>131706</v>
      </c>
      <c r="Q40" s="210">
        <v>0</v>
      </c>
      <c r="R40" s="208">
        <v>0</v>
      </c>
      <c r="S40" s="203">
        <v>0</v>
      </c>
      <c r="T40" s="203">
        <v>0</v>
      </c>
      <c r="U40" s="203">
        <v>0</v>
      </c>
      <c r="V40" s="208">
        <v>0</v>
      </c>
      <c r="W40" s="203">
        <v>0</v>
      </c>
      <c r="X40" s="208">
        <v>97373</v>
      </c>
      <c r="Y40" s="208">
        <v>131706</v>
      </c>
      <c r="Z40" s="208">
        <v>229079</v>
      </c>
      <c r="AA40" s="208">
        <v>0</v>
      </c>
      <c r="AB40" s="208">
        <v>0</v>
      </c>
      <c r="AC40" s="208">
        <v>229079</v>
      </c>
      <c r="AD40" s="209">
        <v>96.576306913996632</v>
      </c>
    </row>
    <row r="41" spans="1:30" ht="13.5" thickBot="1" x14ac:dyDescent="0.25">
      <c r="A41" s="48" t="s">
        <v>454</v>
      </c>
      <c r="B41" s="47" t="s">
        <v>453</v>
      </c>
      <c r="C41" s="48" t="s">
        <v>34</v>
      </c>
      <c r="D41" s="48" t="s">
        <v>2002</v>
      </c>
      <c r="E41" s="129" t="s">
        <v>253</v>
      </c>
      <c r="F41" s="129" t="s">
        <v>254</v>
      </c>
      <c r="G41" s="108">
        <v>3667</v>
      </c>
      <c r="H41" s="87" t="s">
        <v>1649</v>
      </c>
      <c r="I41" s="205">
        <v>0</v>
      </c>
      <c r="J41" s="207">
        <v>3465</v>
      </c>
      <c r="K41" s="208">
        <v>22438</v>
      </c>
      <c r="L41" s="208">
        <v>118486</v>
      </c>
      <c r="M41" s="203">
        <v>0</v>
      </c>
      <c r="N41" s="203">
        <v>0</v>
      </c>
      <c r="O41" s="208">
        <v>140924</v>
      </c>
      <c r="P41" s="208">
        <v>3317</v>
      </c>
      <c r="Q41" s="207">
        <v>202</v>
      </c>
      <c r="R41" s="203">
        <v>0</v>
      </c>
      <c r="S41" s="203">
        <v>0</v>
      </c>
      <c r="T41" s="203">
        <v>0</v>
      </c>
      <c r="U41" s="203">
        <v>0</v>
      </c>
      <c r="V41" s="203">
        <v>0</v>
      </c>
      <c r="W41" s="203">
        <v>0</v>
      </c>
      <c r="X41" s="208">
        <v>140924</v>
      </c>
      <c r="Y41" s="208">
        <v>3317</v>
      </c>
      <c r="Z41" s="208">
        <v>144241</v>
      </c>
      <c r="AA41" s="208">
        <v>2939</v>
      </c>
      <c r="AB41" s="208">
        <v>0</v>
      </c>
      <c r="AC41" s="208">
        <v>147180</v>
      </c>
      <c r="AD41" s="209">
        <v>40.136351240796294</v>
      </c>
    </row>
    <row r="42" spans="1:30" ht="13.5" thickBot="1" x14ac:dyDescent="0.25">
      <c r="A42" s="48" t="s">
        <v>460</v>
      </c>
      <c r="B42" s="47" t="s">
        <v>459</v>
      </c>
      <c r="C42" s="48" t="s">
        <v>34</v>
      </c>
      <c r="D42" s="48" t="s">
        <v>2571</v>
      </c>
      <c r="E42" s="129" t="s">
        <v>61</v>
      </c>
      <c r="F42" s="129" t="s">
        <v>62</v>
      </c>
      <c r="G42" s="108">
        <v>492</v>
      </c>
      <c r="H42" s="87" t="s">
        <v>1649</v>
      </c>
      <c r="I42" s="205">
        <v>0</v>
      </c>
      <c r="J42" s="207">
        <v>492</v>
      </c>
      <c r="K42" s="208">
        <v>4452</v>
      </c>
      <c r="L42" s="208">
        <v>0</v>
      </c>
      <c r="M42" s="208">
        <v>45113</v>
      </c>
      <c r="N42" s="208">
        <v>0</v>
      </c>
      <c r="O42" s="208">
        <v>49565</v>
      </c>
      <c r="P42" s="208">
        <v>27529</v>
      </c>
      <c r="Q42" s="210">
        <v>0</v>
      </c>
      <c r="R42" s="203">
        <v>0</v>
      </c>
      <c r="S42" s="203">
        <v>0</v>
      </c>
      <c r="T42" s="203">
        <v>0</v>
      </c>
      <c r="U42" s="203">
        <v>0</v>
      </c>
      <c r="V42" s="203">
        <v>0</v>
      </c>
      <c r="W42" s="203">
        <v>0</v>
      </c>
      <c r="X42" s="208">
        <v>49565</v>
      </c>
      <c r="Y42" s="208">
        <v>27529</v>
      </c>
      <c r="Z42" s="208">
        <v>77094</v>
      </c>
      <c r="AA42" s="208">
        <v>394</v>
      </c>
      <c r="AB42" s="208">
        <v>0</v>
      </c>
      <c r="AC42" s="208">
        <v>77488</v>
      </c>
      <c r="AD42" s="209">
        <v>157.4959349593496</v>
      </c>
    </row>
    <row r="43" spans="1:30" ht="13.5" thickBot="1" x14ac:dyDescent="0.25">
      <c r="A43" s="48" t="s">
        <v>476</v>
      </c>
      <c r="B43" s="47" t="s">
        <v>475</v>
      </c>
      <c r="C43" s="48" t="s">
        <v>34</v>
      </c>
      <c r="D43" s="48" t="s">
        <v>2037</v>
      </c>
      <c r="E43" s="129" t="s">
        <v>15</v>
      </c>
      <c r="F43" s="129" t="s">
        <v>16</v>
      </c>
      <c r="G43" s="108">
        <v>3115</v>
      </c>
      <c r="H43" s="87" t="s">
        <v>1649</v>
      </c>
      <c r="I43" s="205">
        <v>0</v>
      </c>
      <c r="J43" s="207">
        <v>672</v>
      </c>
      <c r="K43" s="208">
        <v>3743</v>
      </c>
      <c r="L43" s="208">
        <v>7024</v>
      </c>
      <c r="M43" s="208">
        <v>0</v>
      </c>
      <c r="N43" s="208">
        <v>0</v>
      </c>
      <c r="O43" s="208">
        <v>10767</v>
      </c>
      <c r="P43" s="208">
        <v>6024</v>
      </c>
      <c r="Q43" s="207">
        <v>2443</v>
      </c>
      <c r="R43" s="208">
        <v>16972</v>
      </c>
      <c r="S43" s="208">
        <v>0</v>
      </c>
      <c r="T43" s="208">
        <v>4000</v>
      </c>
      <c r="U43" s="208">
        <v>0</v>
      </c>
      <c r="V43" s="208">
        <v>20972</v>
      </c>
      <c r="W43" s="208">
        <v>0</v>
      </c>
      <c r="X43" s="208">
        <v>31739</v>
      </c>
      <c r="Y43" s="208">
        <v>6024</v>
      </c>
      <c r="Z43" s="208">
        <v>37763</v>
      </c>
      <c r="AA43" s="208">
        <v>2496</v>
      </c>
      <c r="AB43" s="208">
        <v>0</v>
      </c>
      <c r="AC43" s="208">
        <v>40259</v>
      </c>
      <c r="AD43" s="209">
        <v>12.924237560192616</v>
      </c>
    </row>
    <row r="44" spans="1:30" ht="13.5" thickBot="1" x14ac:dyDescent="0.25">
      <c r="A44" s="48" t="s">
        <v>498</v>
      </c>
      <c r="B44" s="47" t="s">
        <v>497</v>
      </c>
      <c r="C44" s="48" t="s">
        <v>34</v>
      </c>
      <c r="D44" s="48" t="s">
        <v>2101</v>
      </c>
      <c r="E44" s="129" t="s">
        <v>15</v>
      </c>
      <c r="F44" s="129" t="s">
        <v>16</v>
      </c>
      <c r="G44" s="108">
        <v>3433</v>
      </c>
      <c r="H44" s="87" t="s">
        <v>1648</v>
      </c>
      <c r="I44" s="205">
        <v>10000</v>
      </c>
      <c r="J44" s="207">
        <v>2696</v>
      </c>
      <c r="K44" s="208">
        <v>6199</v>
      </c>
      <c r="L44" s="208">
        <v>64286</v>
      </c>
      <c r="M44" s="208">
        <v>0</v>
      </c>
      <c r="N44" s="208">
        <v>0</v>
      </c>
      <c r="O44" s="208">
        <v>70485</v>
      </c>
      <c r="P44" s="208">
        <v>0</v>
      </c>
      <c r="Q44" s="207">
        <v>737</v>
      </c>
      <c r="R44" s="208">
        <v>1673</v>
      </c>
      <c r="S44" s="208">
        <v>0</v>
      </c>
      <c r="T44" s="208">
        <v>0</v>
      </c>
      <c r="U44" s="208">
        <v>750</v>
      </c>
      <c r="V44" s="208">
        <v>2423</v>
      </c>
      <c r="W44" s="208">
        <v>750</v>
      </c>
      <c r="X44" s="208">
        <v>72908</v>
      </c>
      <c r="Y44" s="208">
        <v>750</v>
      </c>
      <c r="Z44" s="208">
        <v>73658</v>
      </c>
      <c r="AA44" s="208">
        <v>2725</v>
      </c>
      <c r="AB44" s="208">
        <v>0</v>
      </c>
      <c r="AC44" s="208">
        <v>76383</v>
      </c>
      <c r="AD44" s="209">
        <v>22.24963588697932</v>
      </c>
    </row>
    <row r="45" spans="1:30" ht="13.5" thickBot="1" x14ac:dyDescent="0.25">
      <c r="A45" s="48" t="s">
        <v>518</v>
      </c>
      <c r="B45" s="47" t="s">
        <v>517</v>
      </c>
      <c r="C45" s="48" t="s">
        <v>34</v>
      </c>
      <c r="D45" s="48" t="s">
        <v>2055</v>
      </c>
      <c r="E45" s="129" t="s">
        <v>61</v>
      </c>
      <c r="F45" s="129" t="s">
        <v>62</v>
      </c>
      <c r="G45" s="108">
        <v>1848</v>
      </c>
      <c r="H45" s="87" t="s">
        <v>1649</v>
      </c>
      <c r="I45" s="205">
        <v>0</v>
      </c>
      <c r="J45" s="207">
        <v>1848</v>
      </c>
      <c r="K45" s="208">
        <v>4126</v>
      </c>
      <c r="L45" s="208">
        <v>66586</v>
      </c>
      <c r="M45" s="208">
        <v>0</v>
      </c>
      <c r="N45" s="208">
        <v>0</v>
      </c>
      <c r="O45" s="208">
        <v>70712</v>
      </c>
      <c r="P45" s="208">
        <v>1110</v>
      </c>
      <c r="Q45" s="210">
        <v>0</v>
      </c>
      <c r="R45" s="203">
        <v>0</v>
      </c>
      <c r="S45" s="203">
        <v>0</v>
      </c>
      <c r="T45" s="203">
        <v>0</v>
      </c>
      <c r="U45" s="203">
        <v>0</v>
      </c>
      <c r="V45" s="203">
        <v>0</v>
      </c>
      <c r="W45" s="203">
        <v>0</v>
      </c>
      <c r="X45" s="208">
        <v>70712</v>
      </c>
      <c r="Y45" s="208">
        <v>1110</v>
      </c>
      <c r="Z45" s="208">
        <v>71822</v>
      </c>
      <c r="AA45" s="208">
        <v>741</v>
      </c>
      <c r="AB45" s="208">
        <v>0</v>
      </c>
      <c r="AC45" s="208">
        <v>72563</v>
      </c>
      <c r="AD45" s="209">
        <v>39.265692640692642</v>
      </c>
    </row>
    <row r="46" spans="1:30" ht="13.5" thickBot="1" x14ac:dyDescent="0.25">
      <c r="A46" s="48" t="s">
        <v>534</v>
      </c>
      <c r="B46" s="47" t="s">
        <v>533</v>
      </c>
      <c r="C46" s="48" t="s">
        <v>34</v>
      </c>
      <c r="D46" s="48" t="s">
        <v>1992</v>
      </c>
      <c r="E46" s="129" t="s">
        <v>20</v>
      </c>
      <c r="F46" s="129" t="s">
        <v>21</v>
      </c>
      <c r="G46" s="108">
        <v>3645</v>
      </c>
      <c r="H46" s="87" t="s">
        <v>1649</v>
      </c>
      <c r="I46" s="205">
        <v>0</v>
      </c>
      <c r="J46" s="207">
        <v>3645</v>
      </c>
      <c r="K46" s="208">
        <v>9007</v>
      </c>
      <c r="L46" s="208">
        <v>103941</v>
      </c>
      <c r="M46" s="203">
        <v>0</v>
      </c>
      <c r="N46" s="203">
        <v>0</v>
      </c>
      <c r="O46" s="208">
        <v>112948</v>
      </c>
      <c r="P46" s="208">
        <v>127558</v>
      </c>
      <c r="Q46" s="210">
        <v>0</v>
      </c>
      <c r="R46" s="203">
        <v>0</v>
      </c>
      <c r="S46" s="203">
        <v>0</v>
      </c>
      <c r="T46" s="203">
        <v>0</v>
      </c>
      <c r="U46" s="203">
        <v>0</v>
      </c>
      <c r="V46" s="203">
        <v>0</v>
      </c>
      <c r="W46" s="203">
        <v>0</v>
      </c>
      <c r="X46" s="208">
        <v>112948</v>
      </c>
      <c r="Y46" s="208">
        <v>127558</v>
      </c>
      <c r="Z46" s="208">
        <v>240506</v>
      </c>
      <c r="AA46" s="208">
        <v>6636</v>
      </c>
      <c r="AB46" s="208">
        <v>0</v>
      </c>
      <c r="AC46" s="208">
        <v>247142</v>
      </c>
      <c r="AD46" s="209">
        <v>67.803017832647456</v>
      </c>
    </row>
    <row r="47" spans="1:30" ht="13.5" thickBot="1" x14ac:dyDescent="0.25">
      <c r="A47" s="48" t="s">
        <v>548</v>
      </c>
      <c r="B47" s="47" t="s">
        <v>547</v>
      </c>
      <c r="C47" s="48" t="s">
        <v>34</v>
      </c>
      <c r="D47" s="48" t="s">
        <v>2145</v>
      </c>
      <c r="E47" s="129" t="s">
        <v>111</v>
      </c>
      <c r="F47" s="129" t="s">
        <v>112</v>
      </c>
      <c r="G47" s="108">
        <v>3679</v>
      </c>
      <c r="H47" s="87" t="s">
        <v>1649</v>
      </c>
      <c r="I47" s="205">
        <v>0</v>
      </c>
      <c r="J47" s="207">
        <v>2579</v>
      </c>
      <c r="K47" s="208">
        <v>8248</v>
      </c>
      <c r="L47" s="208">
        <v>36522</v>
      </c>
      <c r="M47" s="203">
        <v>0</v>
      </c>
      <c r="N47" s="208">
        <v>541</v>
      </c>
      <c r="O47" s="208">
        <v>45311</v>
      </c>
      <c r="P47" s="208">
        <v>3089</v>
      </c>
      <c r="Q47" s="207">
        <v>1100</v>
      </c>
      <c r="R47" s="208">
        <v>3521</v>
      </c>
      <c r="S47" s="203">
        <v>0</v>
      </c>
      <c r="T47" s="203">
        <v>0</v>
      </c>
      <c r="U47" s="203">
        <v>0</v>
      </c>
      <c r="V47" s="208">
        <v>3521</v>
      </c>
      <c r="W47" s="203">
        <v>0</v>
      </c>
      <c r="X47" s="208">
        <v>48832</v>
      </c>
      <c r="Y47" s="208">
        <v>3089</v>
      </c>
      <c r="Z47" s="208">
        <v>51921</v>
      </c>
      <c r="AA47" s="208">
        <v>2949</v>
      </c>
      <c r="AB47" s="208">
        <v>1263</v>
      </c>
      <c r="AC47" s="208">
        <v>56133</v>
      </c>
      <c r="AD47" s="209">
        <v>15.257678717042674</v>
      </c>
    </row>
    <row r="48" spans="1:30" ht="13.5" thickBot="1" x14ac:dyDescent="0.25">
      <c r="A48" s="48" t="s">
        <v>552</v>
      </c>
      <c r="B48" s="47" t="s">
        <v>551</v>
      </c>
      <c r="C48" s="48" t="s">
        <v>34</v>
      </c>
      <c r="D48" s="48" t="s">
        <v>2131</v>
      </c>
      <c r="E48" s="129" t="s">
        <v>20</v>
      </c>
      <c r="F48" s="129" t="s">
        <v>21</v>
      </c>
      <c r="G48" s="108">
        <v>1830</v>
      </c>
      <c r="H48" s="87" t="s">
        <v>1648</v>
      </c>
      <c r="I48" s="205">
        <v>8000</v>
      </c>
      <c r="J48" s="207">
        <v>1830</v>
      </c>
      <c r="K48" s="208">
        <v>4655</v>
      </c>
      <c r="L48" s="208">
        <v>0</v>
      </c>
      <c r="M48" s="208">
        <v>23954</v>
      </c>
      <c r="N48" s="208">
        <v>0</v>
      </c>
      <c r="O48" s="208">
        <v>28609</v>
      </c>
      <c r="P48" s="208">
        <v>0</v>
      </c>
      <c r="Q48" s="210">
        <v>0</v>
      </c>
      <c r="R48" s="208">
        <v>0</v>
      </c>
      <c r="S48" s="208">
        <v>0</v>
      </c>
      <c r="T48" s="208">
        <v>0</v>
      </c>
      <c r="U48" s="208">
        <v>0</v>
      </c>
      <c r="V48" s="208">
        <v>0</v>
      </c>
      <c r="W48" s="208">
        <v>0</v>
      </c>
      <c r="X48" s="208">
        <v>28609</v>
      </c>
      <c r="Y48" s="208">
        <v>0</v>
      </c>
      <c r="Z48" s="208">
        <v>28609</v>
      </c>
      <c r="AA48" s="208">
        <v>1466</v>
      </c>
      <c r="AB48" s="208">
        <v>0</v>
      </c>
      <c r="AC48" s="208">
        <v>30075</v>
      </c>
      <c r="AD48" s="209">
        <v>16.434426229508198</v>
      </c>
    </row>
    <row r="49" spans="1:30" ht="13.5" thickBot="1" x14ac:dyDescent="0.25">
      <c r="A49" s="48" t="s">
        <v>574</v>
      </c>
      <c r="B49" s="47" t="s">
        <v>573</v>
      </c>
      <c r="C49" s="48" t="s">
        <v>34</v>
      </c>
      <c r="D49" s="48" t="s">
        <v>2442</v>
      </c>
      <c r="E49" s="129" t="s">
        <v>61</v>
      </c>
      <c r="F49" s="129" t="s">
        <v>62</v>
      </c>
      <c r="G49" s="108">
        <v>1939</v>
      </c>
      <c r="H49" s="87" t="s">
        <v>1649</v>
      </c>
      <c r="I49" s="205">
        <v>0</v>
      </c>
      <c r="J49" s="207">
        <v>1515</v>
      </c>
      <c r="K49" s="208">
        <v>12285</v>
      </c>
      <c r="L49" s="208">
        <v>183905</v>
      </c>
      <c r="M49" s="203">
        <v>0</v>
      </c>
      <c r="N49" s="203">
        <v>0</v>
      </c>
      <c r="O49" s="208">
        <v>196190</v>
      </c>
      <c r="P49" s="208">
        <v>13432</v>
      </c>
      <c r="Q49" s="207">
        <v>424</v>
      </c>
      <c r="R49" s="208">
        <v>848</v>
      </c>
      <c r="S49" s="203">
        <v>0</v>
      </c>
      <c r="T49" s="203">
        <v>0</v>
      </c>
      <c r="U49" s="203">
        <v>0</v>
      </c>
      <c r="V49" s="208">
        <v>848</v>
      </c>
      <c r="W49" s="203">
        <v>0</v>
      </c>
      <c r="X49" s="208">
        <v>197038</v>
      </c>
      <c r="Y49" s="208">
        <v>13432</v>
      </c>
      <c r="Z49" s="208">
        <v>210470</v>
      </c>
      <c r="AA49" s="208">
        <v>1554</v>
      </c>
      <c r="AB49" s="208">
        <v>0</v>
      </c>
      <c r="AC49" s="208">
        <v>212024</v>
      </c>
      <c r="AD49" s="209">
        <v>109.34708612686953</v>
      </c>
    </row>
    <row r="50" spans="1:30" ht="13.5" thickBot="1" x14ac:dyDescent="0.25">
      <c r="A50" s="48" t="s">
        <v>612</v>
      </c>
      <c r="B50" s="47" t="s">
        <v>611</v>
      </c>
      <c r="C50" s="48" t="s">
        <v>34</v>
      </c>
      <c r="D50" s="48" t="s">
        <v>2010</v>
      </c>
      <c r="E50" s="129" t="s">
        <v>61</v>
      </c>
      <c r="F50" s="129" t="s">
        <v>62</v>
      </c>
      <c r="G50" s="108">
        <v>3739</v>
      </c>
      <c r="H50" s="87" t="s">
        <v>1649</v>
      </c>
      <c r="I50" s="205">
        <v>0</v>
      </c>
      <c r="J50" s="207">
        <v>3739</v>
      </c>
      <c r="K50" s="208">
        <v>3878</v>
      </c>
      <c r="L50" s="208">
        <v>62715</v>
      </c>
      <c r="M50" s="208">
        <v>0</v>
      </c>
      <c r="N50" s="208">
        <v>17014</v>
      </c>
      <c r="O50" s="208">
        <v>83607</v>
      </c>
      <c r="P50" s="208">
        <v>3816</v>
      </c>
      <c r="Q50" s="210">
        <v>0</v>
      </c>
      <c r="R50" s="208">
        <v>0</v>
      </c>
      <c r="S50" s="208">
        <v>0</v>
      </c>
      <c r="T50" s="208">
        <v>0</v>
      </c>
      <c r="U50" s="208">
        <v>0</v>
      </c>
      <c r="V50" s="208">
        <v>0</v>
      </c>
      <c r="W50" s="208">
        <v>0</v>
      </c>
      <c r="X50" s="208">
        <v>83607</v>
      </c>
      <c r="Y50" s="208">
        <v>3816</v>
      </c>
      <c r="Z50" s="208">
        <v>87423</v>
      </c>
      <c r="AA50" s="208">
        <v>0</v>
      </c>
      <c r="AB50" s="208">
        <v>0</v>
      </c>
      <c r="AC50" s="208">
        <v>87423</v>
      </c>
      <c r="AD50" s="209">
        <v>23.381385397165019</v>
      </c>
    </row>
    <row r="51" spans="1:30" ht="13.5" thickBot="1" x14ac:dyDescent="0.25">
      <c r="A51" s="48" t="s">
        <v>622</v>
      </c>
      <c r="B51" s="47" t="s">
        <v>621</v>
      </c>
      <c r="C51" s="48" t="s">
        <v>34</v>
      </c>
      <c r="D51" s="48" t="s">
        <v>2349</v>
      </c>
      <c r="E51" s="129" t="s">
        <v>20</v>
      </c>
      <c r="F51" s="129" t="s">
        <v>21</v>
      </c>
      <c r="G51" s="108">
        <v>1508</v>
      </c>
      <c r="H51" s="87" t="s">
        <v>1649</v>
      </c>
      <c r="I51" s="205">
        <v>0</v>
      </c>
      <c r="J51" s="207">
        <v>1508</v>
      </c>
      <c r="K51" s="208">
        <v>3183</v>
      </c>
      <c r="L51" s="203">
        <v>0</v>
      </c>
      <c r="M51" s="208">
        <v>24203</v>
      </c>
      <c r="N51" s="208">
        <v>6000</v>
      </c>
      <c r="O51" s="208">
        <v>33386</v>
      </c>
      <c r="P51" s="208">
        <v>779</v>
      </c>
      <c r="Q51" s="210">
        <v>0</v>
      </c>
      <c r="R51" s="203">
        <v>0</v>
      </c>
      <c r="S51" s="203">
        <v>0</v>
      </c>
      <c r="T51" s="203">
        <v>0</v>
      </c>
      <c r="U51" s="203">
        <v>0</v>
      </c>
      <c r="V51" s="203">
        <v>0</v>
      </c>
      <c r="W51" s="203">
        <v>0</v>
      </c>
      <c r="X51" s="208">
        <v>33386</v>
      </c>
      <c r="Y51" s="208">
        <v>779</v>
      </c>
      <c r="Z51" s="208">
        <v>34165</v>
      </c>
      <c r="AA51" s="208">
        <v>1208</v>
      </c>
      <c r="AB51" s="208">
        <v>0</v>
      </c>
      <c r="AC51" s="208">
        <v>35373</v>
      </c>
      <c r="AD51" s="209">
        <v>23.456896551724139</v>
      </c>
    </row>
    <row r="52" spans="1:30" ht="13.5" thickBot="1" x14ac:dyDescent="0.25">
      <c r="A52" s="48" t="s">
        <v>624</v>
      </c>
      <c r="B52" s="47" t="s">
        <v>623</v>
      </c>
      <c r="C52" s="48" t="s">
        <v>34</v>
      </c>
      <c r="D52" s="48" t="s">
        <v>2478</v>
      </c>
      <c r="E52" s="129" t="s">
        <v>61</v>
      </c>
      <c r="F52" s="129" t="s">
        <v>62</v>
      </c>
      <c r="G52" s="108">
        <v>3731</v>
      </c>
      <c r="H52" s="87" t="s">
        <v>1649</v>
      </c>
      <c r="I52" s="205">
        <v>0</v>
      </c>
      <c r="J52" s="207">
        <v>3731</v>
      </c>
      <c r="K52" s="208">
        <v>31992</v>
      </c>
      <c r="L52" s="208">
        <v>0</v>
      </c>
      <c r="M52" s="208">
        <v>9123</v>
      </c>
      <c r="N52" s="208">
        <v>4500</v>
      </c>
      <c r="O52" s="208">
        <v>45615</v>
      </c>
      <c r="P52" s="208">
        <v>6407</v>
      </c>
      <c r="Q52" s="210">
        <v>0</v>
      </c>
      <c r="R52" s="203">
        <v>0</v>
      </c>
      <c r="S52" s="203">
        <v>0</v>
      </c>
      <c r="T52" s="203">
        <v>0</v>
      </c>
      <c r="U52" s="203">
        <v>0</v>
      </c>
      <c r="V52" s="203">
        <v>0</v>
      </c>
      <c r="W52" s="203">
        <v>0</v>
      </c>
      <c r="X52" s="208">
        <v>45615</v>
      </c>
      <c r="Y52" s="208">
        <v>6407</v>
      </c>
      <c r="Z52" s="208">
        <v>52022</v>
      </c>
      <c r="AA52" s="208">
        <v>4500</v>
      </c>
      <c r="AB52" s="208">
        <v>0</v>
      </c>
      <c r="AC52" s="208">
        <v>56522</v>
      </c>
      <c r="AD52" s="209">
        <v>15.149289734655587</v>
      </c>
    </row>
    <row r="53" spans="1:30" ht="13.5" thickBot="1" x14ac:dyDescent="0.25">
      <c r="A53" s="48" t="s">
        <v>628</v>
      </c>
      <c r="B53" s="47" t="s">
        <v>627</v>
      </c>
      <c r="C53" s="48" t="s">
        <v>34</v>
      </c>
      <c r="D53" s="48" t="s">
        <v>2148</v>
      </c>
      <c r="E53" s="129" t="s">
        <v>61</v>
      </c>
      <c r="F53" s="129" t="s">
        <v>62</v>
      </c>
      <c r="G53" s="108">
        <v>3674</v>
      </c>
      <c r="H53" s="87" t="s">
        <v>1648</v>
      </c>
      <c r="I53" s="205">
        <v>2620</v>
      </c>
      <c r="J53" s="207">
        <v>2778</v>
      </c>
      <c r="K53" s="208">
        <v>14866</v>
      </c>
      <c r="L53" s="208">
        <v>39663</v>
      </c>
      <c r="M53" s="208">
        <v>0</v>
      </c>
      <c r="N53" s="208">
        <v>0</v>
      </c>
      <c r="O53" s="208">
        <v>54529</v>
      </c>
      <c r="P53" s="208">
        <v>11719</v>
      </c>
      <c r="Q53" s="207">
        <v>896</v>
      </c>
      <c r="R53" s="208">
        <v>4795</v>
      </c>
      <c r="S53" s="208">
        <v>12780</v>
      </c>
      <c r="T53" s="208">
        <v>0</v>
      </c>
      <c r="U53" s="208">
        <v>0</v>
      </c>
      <c r="V53" s="208">
        <v>17575</v>
      </c>
      <c r="W53" s="208">
        <v>0</v>
      </c>
      <c r="X53" s="208">
        <v>72104</v>
      </c>
      <c r="Y53" s="208">
        <v>11719</v>
      </c>
      <c r="Z53" s="208">
        <v>83823</v>
      </c>
      <c r="AA53" s="208">
        <v>4098</v>
      </c>
      <c r="AB53" s="208">
        <v>0</v>
      </c>
      <c r="AC53" s="208">
        <v>87921</v>
      </c>
      <c r="AD53" s="209">
        <v>23.93059335873707</v>
      </c>
    </row>
    <row r="54" spans="1:30" ht="13.5" thickBot="1" x14ac:dyDescent="0.25">
      <c r="A54" s="48" t="s">
        <v>630</v>
      </c>
      <c r="B54" s="47" t="s">
        <v>629</v>
      </c>
      <c r="C54" s="48" t="s">
        <v>34</v>
      </c>
      <c r="D54" s="48" t="s">
        <v>2349</v>
      </c>
      <c r="E54" s="129" t="s">
        <v>61</v>
      </c>
      <c r="F54" s="129" t="s">
        <v>62</v>
      </c>
      <c r="G54" s="108">
        <v>882</v>
      </c>
      <c r="H54" s="87" t="s">
        <v>1649</v>
      </c>
      <c r="I54" s="205">
        <v>0</v>
      </c>
      <c r="J54" s="207">
        <v>882</v>
      </c>
      <c r="K54" s="208">
        <v>2379</v>
      </c>
      <c r="L54" s="203">
        <v>0</v>
      </c>
      <c r="M54" s="208">
        <v>28456</v>
      </c>
      <c r="N54" s="203">
        <v>0</v>
      </c>
      <c r="O54" s="208">
        <v>30835</v>
      </c>
      <c r="P54" s="208">
        <v>2490</v>
      </c>
      <c r="Q54" s="210">
        <v>0</v>
      </c>
      <c r="R54" s="203">
        <v>0</v>
      </c>
      <c r="S54" s="203">
        <v>0</v>
      </c>
      <c r="T54" s="203">
        <v>0</v>
      </c>
      <c r="U54" s="203">
        <v>0</v>
      </c>
      <c r="V54" s="203">
        <v>0</v>
      </c>
      <c r="W54" s="203">
        <v>0</v>
      </c>
      <c r="X54" s="208">
        <v>30835</v>
      </c>
      <c r="Y54" s="208">
        <v>2490</v>
      </c>
      <c r="Z54" s="208">
        <v>33325</v>
      </c>
      <c r="AA54" s="208">
        <v>707</v>
      </c>
      <c r="AB54" s="208">
        <v>0</v>
      </c>
      <c r="AC54" s="208">
        <v>34032</v>
      </c>
      <c r="AD54" s="209">
        <v>38.585034013605444</v>
      </c>
    </row>
    <row r="55" spans="1:30" ht="13.5" thickBot="1" x14ac:dyDescent="0.25">
      <c r="A55" s="48" t="s">
        <v>674</v>
      </c>
      <c r="B55" s="47" t="s">
        <v>673</v>
      </c>
      <c r="C55" s="48" t="s">
        <v>34</v>
      </c>
      <c r="D55" s="48" t="s">
        <v>2022</v>
      </c>
      <c r="E55" s="129" t="s">
        <v>253</v>
      </c>
      <c r="F55" s="129" t="s">
        <v>254</v>
      </c>
      <c r="G55" s="108">
        <v>3775</v>
      </c>
      <c r="H55" s="87" t="s">
        <v>1649</v>
      </c>
      <c r="I55" s="205">
        <v>0</v>
      </c>
      <c r="J55" s="207">
        <v>1525</v>
      </c>
      <c r="K55" s="208">
        <v>7979</v>
      </c>
      <c r="L55" s="208">
        <v>39169</v>
      </c>
      <c r="M55" s="208">
        <v>403</v>
      </c>
      <c r="N55" s="208">
        <v>73937</v>
      </c>
      <c r="O55" s="208">
        <v>121488</v>
      </c>
      <c r="P55" s="208">
        <v>22784</v>
      </c>
      <c r="Q55" s="207">
        <v>2250</v>
      </c>
      <c r="R55" s="208">
        <v>0</v>
      </c>
      <c r="S55" s="208">
        <v>49198</v>
      </c>
      <c r="T55" s="208">
        <v>0</v>
      </c>
      <c r="U55" s="208">
        <v>0</v>
      </c>
      <c r="V55" s="208">
        <v>49198</v>
      </c>
      <c r="W55" s="208">
        <v>0</v>
      </c>
      <c r="X55" s="208">
        <v>170686</v>
      </c>
      <c r="Y55" s="208">
        <v>22784</v>
      </c>
      <c r="Z55" s="208">
        <v>193470</v>
      </c>
      <c r="AA55" s="208">
        <v>4796</v>
      </c>
      <c r="AB55" s="208">
        <v>0</v>
      </c>
      <c r="AC55" s="208">
        <v>198266</v>
      </c>
      <c r="AD55" s="209">
        <v>52.520794701986752</v>
      </c>
    </row>
    <row r="56" spans="1:30" ht="13.5" thickBot="1" x14ac:dyDescent="0.25">
      <c r="A56" s="48" t="s">
        <v>680</v>
      </c>
      <c r="B56" s="47" t="s">
        <v>679</v>
      </c>
      <c r="C56" s="48" t="s">
        <v>34</v>
      </c>
      <c r="D56" s="48" t="s">
        <v>1984</v>
      </c>
      <c r="E56" s="129" t="s">
        <v>61</v>
      </c>
      <c r="F56" s="129" t="s">
        <v>62</v>
      </c>
      <c r="G56" s="108">
        <v>3138</v>
      </c>
      <c r="H56" s="87" t="s">
        <v>1649</v>
      </c>
      <c r="I56" s="205">
        <v>0</v>
      </c>
      <c r="J56" s="207">
        <v>2173</v>
      </c>
      <c r="K56" s="208">
        <v>21168</v>
      </c>
      <c r="L56" s="208">
        <v>55746</v>
      </c>
      <c r="M56" s="203">
        <v>0</v>
      </c>
      <c r="N56" s="203">
        <v>0</v>
      </c>
      <c r="O56" s="208">
        <v>76914</v>
      </c>
      <c r="P56" s="208">
        <v>3358</v>
      </c>
      <c r="Q56" s="207">
        <v>965</v>
      </c>
      <c r="R56" s="208">
        <v>6531</v>
      </c>
      <c r="S56" s="203">
        <v>0</v>
      </c>
      <c r="T56" s="203">
        <v>0</v>
      </c>
      <c r="U56" s="203">
        <v>0</v>
      </c>
      <c r="V56" s="208">
        <v>6531</v>
      </c>
      <c r="W56" s="203">
        <v>0</v>
      </c>
      <c r="X56" s="208">
        <v>83445</v>
      </c>
      <c r="Y56" s="208">
        <v>3358</v>
      </c>
      <c r="Z56" s="208">
        <v>86803</v>
      </c>
      <c r="AA56" s="208">
        <v>2515</v>
      </c>
      <c r="AB56" s="208">
        <v>0</v>
      </c>
      <c r="AC56" s="208">
        <v>89318</v>
      </c>
      <c r="AD56" s="209">
        <v>28.463352453792226</v>
      </c>
    </row>
    <row r="57" spans="1:30" ht="13.5" thickBot="1" x14ac:dyDescent="0.25">
      <c r="A57" s="48" t="s">
        <v>690</v>
      </c>
      <c r="B57" s="47" t="s">
        <v>689</v>
      </c>
      <c r="C57" s="48" t="s">
        <v>34</v>
      </c>
      <c r="D57" s="48" t="s">
        <v>2028</v>
      </c>
      <c r="E57" s="129" t="s">
        <v>253</v>
      </c>
      <c r="F57" s="129" t="s">
        <v>254</v>
      </c>
      <c r="G57" s="108">
        <v>3428</v>
      </c>
      <c r="H57" s="87" t="s">
        <v>1649</v>
      </c>
      <c r="I57" s="205">
        <v>0</v>
      </c>
      <c r="J57" s="207">
        <v>858</v>
      </c>
      <c r="K57" s="208">
        <v>3507</v>
      </c>
      <c r="L57" s="208">
        <v>29783</v>
      </c>
      <c r="M57" s="203">
        <v>0</v>
      </c>
      <c r="N57" s="208">
        <v>5500</v>
      </c>
      <c r="O57" s="208">
        <v>38790</v>
      </c>
      <c r="P57" s="208">
        <v>26837</v>
      </c>
      <c r="Q57" s="207">
        <v>2570</v>
      </c>
      <c r="R57" s="208">
        <v>9489</v>
      </c>
      <c r="S57" s="208">
        <v>12777</v>
      </c>
      <c r="T57" s="203">
        <v>0</v>
      </c>
      <c r="U57" s="208">
        <v>7495</v>
      </c>
      <c r="V57" s="208">
        <v>29761</v>
      </c>
      <c r="W57" s="208">
        <v>3859</v>
      </c>
      <c r="X57" s="208">
        <v>68551</v>
      </c>
      <c r="Y57" s="208">
        <v>30696</v>
      </c>
      <c r="Z57" s="208">
        <v>99247</v>
      </c>
      <c r="AA57" s="208">
        <v>2748</v>
      </c>
      <c r="AB57" s="208">
        <v>0</v>
      </c>
      <c r="AC57" s="208">
        <v>101995</v>
      </c>
      <c r="AD57" s="209">
        <v>29.753500583430572</v>
      </c>
    </row>
    <row r="58" spans="1:30" ht="13.5" thickBot="1" x14ac:dyDescent="0.25">
      <c r="A58" s="48" t="s">
        <v>692</v>
      </c>
      <c r="B58" s="47" t="s">
        <v>691</v>
      </c>
      <c r="C58" s="48" t="s">
        <v>34</v>
      </c>
      <c r="D58" s="48" t="s">
        <v>2057</v>
      </c>
      <c r="E58" s="129" t="s">
        <v>61</v>
      </c>
      <c r="F58" s="129" t="s">
        <v>62</v>
      </c>
      <c r="G58" s="108">
        <v>1932</v>
      </c>
      <c r="H58" s="87" t="s">
        <v>1648</v>
      </c>
      <c r="I58" s="205">
        <v>4000</v>
      </c>
      <c r="J58" s="207">
        <v>1932</v>
      </c>
      <c r="K58" s="208">
        <v>14188</v>
      </c>
      <c r="L58" s="208">
        <v>28391</v>
      </c>
      <c r="M58" s="208">
        <v>1730</v>
      </c>
      <c r="N58" s="208">
        <v>4332</v>
      </c>
      <c r="O58" s="208">
        <v>48641</v>
      </c>
      <c r="P58" s="208">
        <v>5360</v>
      </c>
      <c r="Q58" s="210">
        <v>0</v>
      </c>
      <c r="R58" s="203">
        <v>0</v>
      </c>
      <c r="S58" s="203">
        <v>0</v>
      </c>
      <c r="T58" s="203">
        <v>0</v>
      </c>
      <c r="U58" s="203">
        <v>0</v>
      </c>
      <c r="V58" s="203">
        <v>0</v>
      </c>
      <c r="W58" s="203">
        <v>0</v>
      </c>
      <c r="X58" s="208">
        <v>48641</v>
      </c>
      <c r="Y58" s="208">
        <v>5360</v>
      </c>
      <c r="Z58" s="208">
        <v>54001</v>
      </c>
      <c r="AA58" s="208">
        <v>1548</v>
      </c>
      <c r="AB58" s="208">
        <v>0</v>
      </c>
      <c r="AC58" s="208">
        <v>55549</v>
      </c>
      <c r="AD58" s="209">
        <v>28.752070393374741</v>
      </c>
    </row>
    <row r="59" spans="1:30" ht="13.5" thickBot="1" x14ac:dyDescent="0.25">
      <c r="A59" s="48" t="s">
        <v>714</v>
      </c>
      <c r="B59" s="47" t="s">
        <v>713</v>
      </c>
      <c r="C59" s="48" t="s">
        <v>34</v>
      </c>
      <c r="D59" s="48" t="s">
        <v>2055</v>
      </c>
      <c r="E59" s="129" t="s">
        <v>15</v>
      </c>
      <c r="F59" s="129" t="s">
        <v>16</v>
      </c>
      <c r="G59" s="108">
        <v>2387</v>
      </c>
      <c r="H59" s="87" t="s">
        <v>1649</v>
      </c>
      <c r="I59" s="205">
        <v>0</v>
      </c>
      <c r="J59" s="207">
        <v>1997</v>
      </c>
      <c r="K59" s="208">
        <v>4470</v>
      </c>
      <c r="L59" s="208">
        <v>44252</v>
      </c>
      <c r="M59" s="208">
        <v>1500</v>
      </c>
      <c r="N59" s="208">
        <v>0</v>
      </c>
      <c r="O59" s="208">
        <v>50222</v>
      </c>
      <c r="P59" s="208">
        <v>7569</v>
      </c>
      <c r="Q59" s="207">
        <v>390</v>
      </c>
      <c r="R59" s="208">
        <v>2386</v>
      </c>
      <c r="S59" s="208">
        <v>0</v>
      </c>
      <c r="T59" s="208">
        <v>0</v>
      </c>
      <c r="U59" s="208">
        <v>0</v>
      </c>
      <c r="V59" s="208">
        <v>2386</v>
      </c>
      <c r="W59" s="208">
        <v>0</v>
      </c>
      <c r="X59" s="208">
        <v>52608</v>
      </c>
      <c r="Y59" s="208">
        <v>7569</v>
      </c>
      <c r="Z59" s="208">
        <v>60177</v>
      </c>
      <c r="AA59" s="208">
        <v>1913</v>
      </c>
      <c r="AB59" s="208">
        <v>1745</v>
      </c>
      <c r="AC59" s="208">
        <v>63835</v>
      </c>
      <c r="AD59" s="209">
        <v>26.742773355676583</v>
      </c>
    </row>
    <row r="60" spans="1:30" ht="13.5" thickBot="1" x14ac:dyDescent="0.25">
      <c r="A60" s="48" t="s">
        <v>732</v>
      </c>
      <c r="B60" s="47" t="s">
        <v>731</v>
      </c>
      <c r="C60" s="48" t="s">
        <v>34</v>
      </c>
      <c r="D60" s="48" t="s">
        <v>1960</v>
      </c>
      <c r="E60" s="129" t="s">
        <v>61</v>
      </c>
      <c r="F60" s="129" t="s">
        <v>62</v>
      </c>
      <c r="G60" s="108">
        <v>1873</v>
      </c>
      <c r="H60" s="87" t="s">
        <v>1649</v>
      </c>
      <c r="I60" s="205">
        <v>0</v>
      </c>
      <c r="J60" s="207">
        <v>1645</v>
      </c>
      <c r="K60" s="208">
        <v>3311</v>
      </c>
      <c r="L60" s="208">
        <v>48701</v>
      </c>
      <c r="M60" s="203">
        <v>0</v>
      </c>
      <c r="N60" s="203">
        <v>0</v>
      </c>
      <c r="O60" s="208">
        <v>52012</v>
      </c>
      <c r="P60" s="208">
        <v>5959</v>
      </c>
      <c r="Q60" s="207">
        <v>228</v>
      </c>
      <c r="R60" s="208">
        <v>459</v>
      </c>
      <c r="S60" s="208">
        <v>12838</v>
      </c>
      <c r="T60" s="203">
        <v>0</v>
      </c>
      <c r="U60" s="203">
        <v>0</v>
      </c>
      <c r="V60" s="208">
        <v>13297</v>
      </c>
      <c r="W60" s="203">
        <v>0</v>
      </c>
      <c r="X60" s="208">
        <v>65309</v>
      </c>
      <c r="Y60" s="208">
        <v>5959</v>
      </c>
      <c r="Z60" s="208">
        <v>71268</v>
      </c>
      <c r="AA60" s="208">
        <v>1501</v>
      </c>
      <c r="AB60" s="208">
        <v>0</v>
      </c>
      <c r="AC60" s="208">
        <v>72769</v>
      </c>
      <c r="AD60" s="209">
        <v>38.851575013347571</v>
      </c>
    </row>
    <row r="61" spans="1:30" ht="13.5" thickBot="1" x14ac:dyDescent="0.25">
      <c r="A61" s="48" t="s">
        <v>750</v>
      </c>
      <c r="B61" s="47" t="s">
        <v>749</v>
      </c>
      <c r="C61" s="48" t="s">
        <v>34</v>
      </c>
      <c r="D61" s="48" t="s">
        <v>2178</v>
      </c>
      <c r="E61" s="129" t="s">
        <v>61</v>
      </c>
      <c r="F61" s="129" t="s">
        <v>62</v>
      </c>
      <c r="G61" s="108">
        <v>2294</v>
      </c>
      <c r="H61" s="87" t="s">
        <v>1649</v>
      </c>
      <c r="I61" s="205">
        <v>0</v>
      </c>
      <c r="J61" s="207">
        <v>1312</v>
      </c>
      <c r="K61" s="208">
        <v>7199</v>
      </c>
      <c r="L61" s="208">
        <v>0</v>
      </c>
      <c r="M61" s="208">
        <v>35000</v>
      </c>
      <c r="N61" s="208">
        <v>0</v>
      </c>
      <c r="O61" s="208">
        <v>42199</v>
      </c>
      <c r="P61" s="208">
        <v>0</v>
      </c>
      <c r="Q61" s="207">
        <v>982</v>
      </c>
      <c r="R61" s="208">
        <v>25452</v>
      </c>
      <c r="S61" s="208">
        <v>0</v>
      </c>
      <c r="T61" s="208">
        <v>0</v>
      </c>
      <c r="U61" s="208">
        <v>0</v>
      </c>
      <c r="V61" s="208">
        <v>25452</v>
      </c>
      <c r="W61" s="203">
        <v>0</v>
      </c>
      <c r="X61" s="208">
        <v>67651</v>
      </c>
      <c r="Y61" s="208">
        <v>0</v>
      </c>
      <c r="Z61" s="208">
        <v>67651</v>
      </c>
      <c r="AA61" s="208">
        <v>1052</v>
      </c>
      <c r="AB61" s="208">
        <v>0</v>
      </c>
      <c r="AC61" s="208">
        <v>68703</v>
      </c>
      <c r="AD61" s="209">
        <v>29.948997384481256</v>
      </c>
    </row>
    <row r="62" spans="1:30" ht="13.5" thickBot="1" x14ac:dyDescent="0.25">
      <c r="A62" s="48" t="s">
        <v>762</v>
      </c>
      <c r="B62" s="47" t="s">
        <v>761</v>
      </c>
      <c r="C62" s="48" t="s">
        <v>34</v>
      </c>
      <c r="D62" s="48" t="s">
        <v>2055</v>
      </c>
      <c r="E62" s="129" t="s">
        <v>61</v>
      </c>
      <c r="F62" s="129" t="s">
        <v>62</v>
      </c>
      <c r="G62" s="108">
        <v>3895</v>
      </c>
      <c r="H62" s="87" t="s">
        <v>1649</v>
      </c>
      <c r="I62" s="205">
        <v>0</v>
      </c>
      <c r="J62" s="207">
        <v>2053</v>
      </c>
      <c r="K62" s="208">
        <v>3521</v>
      </c>
      <c r="L62" s="208">
        <v>57000</v>
      </c>
      <c r="M62" s="203">
        <v>0</v>
      </c>
      <c r="N62" s="208">
        <v>500</v>
      </c>
      <c r="O62" s="208">
        <v>61021</v>
      </c>
      <c r="P62" s="208">
        <v>9622</v>
      </c>
      <c r="Q62" s="207">
        <v>1842</v>
      </c>
      <c r="R62" s="208">
        <v>2886</v>
      </c>
      <c r="S62" s="208">
        <v>0</v>
      </c>
      <c r="T62" s="208">
        <v>0</v>
      </c>
      <c r="U62" s="208">
        <v>6520</v>
      </c>
      <c r="V62" s="208">
        <v>9406</v>
      </c>
      <c r="W62" s="203">
        <v>0</v>
      </c>
      <c r="X62" s="208">
        <v>70427</v>
      </c>
      <c r="Y62" s="208">
        <v>9622</v>
      </c>
      <c r="Z62" s="208">
        <v>80049</v>
      </c>
      <c r="AA62" s="208">
        <v>3118</v>
      </c>
      <c r="AB62" s="208">
        <v>0</v>
      </c>
      <c r="AC62" s="208">
        <v>83167</v>
      </c>
      <c r="AD62" s="209">
        <v>21.352246469833119</v>
      </c>
    </row>
    <row r="63" spans="1:30" ht="13.5" thickBot="1" x14ac:dyDescent="0.25">
      <c r="A63" s="48" t="s">
        <v>768</v>
      </c>
      <c r="B63" s="47" t="s">
        <v>767</v>
      </c>
      <c r="C63" s="48" t="s">
        <v>34</v>
      </c>
      <c r="D63" s="48" t="s">
        <v>2072</v>
      </c>
      <c r="E63" s="129" t="s">
        <v>20</v>
      </c>
      <c r="F63" s="129" t="s">
        <v>21</v>
      </c>
      <c r="G63" s="108">
        <v>2156</v>
      </c>
      <c r="H63" s="87" t="s">
        <v>1649</v>
      </c>
      <c r="I63" s="205">
        <v>0</v>
      </c>
      <c r="J63" s="207">
        <v>1851</v>
      </c>
      <c r="K63" s="208">
        <v>8963</v>
      </c>
      <c r="L63" s="208">
        <v>47670</v>
      </c>
      <c r="M63" s="208">
        <v>18000</v>
      </c>
      <c r="N63" s="208">
        <v>3231</v>
      </c>
      <c r="O63" s="208">
        <v>77864</v>
      </c>
      <c r="P63" s="208">
        <v>4826</v>
      </c>
      <c r="Q63" s="207">
        <v>305</v>
      </c>
      <c r="R63" s="208">
        <v>1477</v>
      </c>
      <c r="S63" s="203">
        <v>0</v>
      </c>
      <c r="T63" s="203">
        <v>0</v>
      </c>
      <c r="U63" s="208">
        <v>3141</v>
      </c>
      <c r="V63" s="208">
        <v>4618</v>
      </c>
      <c r="W63" s="203">
        <v>0</v>
      </c>
      <c r="X63" s="208">
        <v>82482</v>
      </c>
      <c r="Y63" s="208">
        <v>4826</v>
      </c>
      <c r="Z63" s="208">
        <v>87308</v>
      </c>
      <c r="AA63" s="208">
        <v>1728</v>
      </c>
      <c r="AB63" s="208">
        <v>0</v>
      </c>
      <c r="AC63" s="208">
        <v>89036</v>
      </c>
      <c r="AD63" s="209">
        <v>41.296846011131727</v>
      </c>
    </row>
    <row r="64" spans="1:30" ht="13.5" thickBot="1" x14ac:dyDescent="0.25">
      <c r="A64" s="48" t="s">
        <v>770</v>
      </c>
      <c r="B64" s="47" t="s">
        <v>769</v>
      </c>
      <c r="C64" s="48" t="s">
        <v>34</v>
      </c>
      <c r="D64" s="48" t="s">
        <v>2134</v>
      </c>
      <c r="E64" s="129" t="s">
        <v>247</v>
      </c>
      <c r="F64" s="129" t="s">
        <v>248</v>
      </c>
      <c r="G64" s="108">
        <v>2475</v>
      </c>
      <c r="H64" s="87" t="s">
        <v>1649</v>
      </c>
      <c r="I64" s="205">
        <v>0</v>
      </c>
      <c r="J64" s="207">
        <v>1655</v>
      </c>
      <c r="K64" s="208">
        <v>6096</v>
      </c>
      <c r="L64" s="208">
        <v>51092</v>
      </c>
      <c r="M64" s="203">
        <v>0</v>
      </c>
      <c r="N64" s="208">
        <v>0</v>
      </c>
      <c r="O64" s="208">
        <v>57188</v>
      </c>
      <c r="P64" s="208">
        <v>14440</v>
      </c>
      <c r="Q64" s="207">
        <v>820</v>
      </c>
      <c r="R64" s="208">
        <v>0</v>
      </c>
      <c r="S64" s="208">
        <v>350</v>
      </c>
      <c r="T64" s="208">
        <v>350</v>
      </c>
      <c r="U64" s="203">
        <v>0</v>
      </c>
      <c r="V64" s="208">
        <v>700</v>
      </c>
      <c r="W64" s="203">
        <v>0</v>
      </c>
      <c r="X64" s="208">
        <v>57888</v>
      </c>
      <c r="Y64" s="208">
        <v>14440</v>
      </c>
      <c r="Z64" s="208">
        <v>72328</v>
      </c>
      <c r="AA64" s="208">
        <v>1981</v>
      </c>
      <c r="AB64" s="208">
        <v>0</v>
      </c>
      <c r="AC64" s="208">
        <v>74309</v>
      </c>
      <c r="AD64" s="209">
        <v>30.023838383838385</v>
      </c>
    </row>
    <row r="65" spans="1:30" ht="13.5" thickBot="1" x14ac:dyDescent="0.25">
      <c r="A65" s="48" t="s">
        <v>772</v>
      </c>
      <c r="B65" s="47" t="s">
        <v>771</v>
      </c>
      <c r="C65" s="48" t="s">
        <v>34</v>
      </c>
      <c r="D65" s="48" t="s">
        <v>2442</v>
      </c>
      <c r="E65" s="129" t="s">
        <v>20</v>
      </c>
      <c r="F65" s="129" t="s">
        <v>21</v>
      </c>
      <c r="G65" s="108">
        <v>1968</v>
      </c>
      <c r="H65" s="87" t="s">
        <v>1649</v>
      </c>
      <c r="I65" s="205">
        <v>0</v>
      </c>
      <c r="J65" s="207">
        <v>1560</v>
      </c>
      <c r="K65" s="208">
        <v>9025</v>
      </c>
      <c r="L65" s="208">
        <v>0</v>
      </c>
      <c r="M65" s="208">
        <v>9341</v>
      </c>
      <c r="N65" s="208">
        <v>4303</v>
      </c>
      <c r="O65" s="208">
        <v>22669</v>
      </c>
      <c r="P65" s="208">
        <v>0</v>
      </c>
      <c r="Q65" s="207">
        <v>408</v>
      </c>
      <c r="R65" s="203">
        <v>0</v>
      </c>
      <c r="S65" s="203">
        <v>0</v>
      </c>
      <c r="T65" s="203">
        <v>0</v>
      </c>
      <c r="U65" s="203">
        <v>0</v>
      </c>
      <c r="V65" s="203">
        <v>0</v>
      </c>
      <c r="W65" s="203">
        <v>0</v>
      </c>
      <c r="X65" s="208">
        <v>22669</v>
      </c>
      <c r="Y65" s="208">
        <v>0</v>
      </c>
      <c r="Z65" s="208">
        <v>22669</v>
      </c>
      <c r="AA65" s="208">
        <v>1542</v>
      </c>
      <c r="AB65" s="208">
        <v>0</v>
      </c>
      <c r="AC65" s="208">
        <v>24211</v>
      </c>
      <c r="AD65" s="209">
        <v>12.302337398373984</v>
      </c>
    </row>
    <row r="66" spans="1:30" ht="13.5" thickBot="1" x14ac:dyDescent="0.25">
      <c r="A66" s="48" t="s">
        <v>782</v>
      </c>
      <c r="B66" s="47" t="s">
        <v>781</v>
      </c>
      <c r="C66" s="48" t="s">
        <v>34</v>
      </c>
      <c r="D66" s="48" t="s">
        <v>2122</v>
      </c>
      <c r="E66" s="129" t="s">
        <v>61</v>
      </c>
      <c r="F66" s="129" t="s">
        <v>62</v>
      </c>
      <c r="G66" s="108">
        <v>2202</v>
      </c>
      <c r="H66" s="87" t="s">
        <v>1649</v>
      </c>
      <c r="I66" s="205">
        <v>0</v>
      </c>
      <c r="J66" s="207">
        <v>2202</v>
      </c>
      <c r="K66" s="208">
        <v>11013</v>
      </c>
      <c r="L66" s="208">
        <v>0</v>
      </c>
      <c r="M66" s="208">
        <v>0</v>
      </c>
      <c r="N66" s="208">
        <v>7700</v>
      </c>
      <c r="O66" s="208">
        <v>18713</v>
      </c>
      <c r="P66" s="208">
        <v>4612</v>
      </c>
      <c r="Q66" s="210">
        <v>0</v>
      </c>
      <c r="R66" s="208">
        <v>0</v>
      </c>
      <c r="S66" s="208">
        <v>0</v>
      </c>
      <c r="T66" s="208">
        <v>0</v>
      </c>
      <c r="U66" s="208">
        <v>0</v>
      </c>
      <c r="V66" s="208">
        <v>0</v>
      </c>
      <c r="W66" s="208">
        <v>0</v>
      </c>
      <c r="X66" s="208">
        <v>18713</v>
      </c>
      <c r="Y66" s="208">
        <v>4612</v>
      </c>
      <c r="Z66" s="208">
        <v>23325</v>
      </c>
      <c r="AA66" s="208">
        <v>1700</v>
      </c>
      <c r="AB66" s="208">
        <v>0</v>
      </c>
      <c r="AC66" s="208">
        <v>25025</v>
      </c>
      <c r="AD66" s="209">
        <v>11.364668483197093</v>
      </c>
    </row>
    <row r="67" spans="1:30" ht="13.5" thickBot="1" x14ac:dyDescent="0.25">
      <c r="A67" s="48" t="s">
        <v>794</v>
      </c>
      <c r="B67" s="47" t="s">
        <v>793</v>
      </c>
      <c r="C67" s="48" t="s">
        <v>34</v>
      </c>
      <c r="D67" s="48" t="s">
        <v>2034</v>
      </c>
      <c r="E67" s="129" t="s">
        <v>20</v>
      </c>
      <c r="F67" s="129" t="s">
        <v>21</v>
      </c>
      <c r="G67" s="108">
        <v>2913</v>
      </c>
      <c r="H67" s="87" t="s">
        <v>1649</v>
      </c>
      <c r="I67" s="205">
        <v>0</v>
      </c>
      <c r="J67" s="207">
        <v>1403</v>
      </c>
      <c r="K67" s="208">
        <v>13858</v>
      </c>
      <c r="L67" s="208">
        <v>72749</v>
      </c>
      <c r="M67" s="203">
        <v>0</v>
      </c>
      <c r="N67" s="203">
        <v>0</v>
      </c>
      <c r="O67" s="208">
        <v>86607</v>
      </c>
      <c r="P67" s="208">
        <v>2157</v>
      </c>
      <c r="Q67" s="207">
        <v>1510</v>
      </c>
      <c r="R67" s="203">
        <v>0</v>
      </c>
      <c r="S67" s="203">
        <v>0</v>
      </c>
      <c r="T67" s="203">
        <v>0</v>
      </c>
      <c r="U67" s="203">
        <v>0</v>
      </c>
      <c r="V67" s="203">
        <v>0</v>
      </c>
      <c r="W67" s="203">
        <v>0</v>
      </c>
      <c r="X67" s="208">
        <v>86607</v>
      </c>
      <c r="Y67" s="208">
        <v>2157</v>
      </c>
      <c r="Z67" s="208">
        <v>88764</v>
      </c>
      <c r="AA67" s="208">
        <v>2334</v>
      </c>
      <c r="AB67" s="208">
        <v>0</v>
      </c>
      <c r="AC67" s="208">
        <v>91098</v>
      </c>
      <c r="AD67" s="209">
        <v>31.272914521112256</v>
      </c>
    </row>
    <row r="68" spans="1:30" ht="13.5" thickBot="1" x14ac:dyDescent="0.25">
      <c r="A68" s="48" t="s">
        <v>806</v>
      </c>
      <c r="B68" s="47" t="s">
        <v>805</v>
      </c>
      <c r="C68" s="48" t="s">
        <v>34</v>
      </c>
      <c r="D68" s="48" t="s">
        <v>2266</v>
      </c>
      <c r="E68" s="129" t="s">
        <v>20</v>
      </c>
      <c r="F68" s="129" t="s">
        <v>21</v>
      </c>
      <c r="G68" s="108">
        <v>575</v>
      </c>
      <c r="H68" s="87" t="s">
        <v>1649</v>
      </c>
      <c r="I68" s="205">
        <v>0</v>
      </c>
      <c r="J68" s="207">
        <v>575</v>
      </c>
      <c r="K68" s="208">
        <v>456</v>
      </c>
      <c r="L68" s="208">
        <v>37918</v>
      </c>
      <c r="M68" s="203">
        <v>0</v>
      </c>
      <c r="N68" s="208">
        <v>689</v>
      </c>
      <c r="O68" s="208">
        <v>39063</v>
      </c>
      <c r="P68" s="208">
        <v>1956</v>
      </c>
      <c r="Q68" s="210">
        <v>0</v>
      </c>
      <c r="R68" s="208">
        <v>0</v>
      </c>
      <c r="S68" s="208">
        <v>0</v>
      </c>
      <c r="T68" s="203">
        <v>0</v>
      </c>
      <c r="U68" s="203">
        <v>0</v>
      </c>
      <c r="V68" s="208">
        <v>0</v>
      </c>
      <c r="W68" s="203">
        <v>0</v>
      </c>
      <c r="X68" s="208">
        <v>39063</v>
      </c>
      <c r="Y68" s="208">
        <v>1956</v>
      </c>
      <c r="Z68" s="208">
        <v>41019</v>
      </c>
      <c r="AA68" s="208">
        <v>456</v>
      </c>
      <c r="AB68" s="208">
        <v>0</v>
      </c>
      <c r="AC68" s="208">
        <v>41475</v>
      </c>
      <c r="AD68" s="209">
        <v>72.130434782608702</v>
      </c>
    </row>
    <row r="69" spans="1:30" ht="13.5" thickBot="1" x14ac:dyDescent="0.25">
      <c r="A69" s="48" t="s">
        <v>814</v>
      </c>
      <c r="B69" s="47" t="s">
        <v>813</v>
      </c>
      <c r="C69" s="48" t="s">
        <v>34</v>
      </c>
      <c r="D69" s="48" t="s">
        <v>2178</v>
      </c>
      <c r="E69" s="129" t="s">
        <v>20</v>
      </c>
      <c r="F69" s="129" t="s">
        <v>21</v>
      </c>
      <c r="G69" s="108">
        <v>2738</v>
      </c>
      <c r="H69" s="87" t="s">
        <v>1649</v>
      </c>
      <c r="I69" s="205">
        <v>0</v>
      </c>
      <c r="J69" s="207">
        <v>2738</v>
      </c>
      <c r="K69" s="208">
        <v>16286</v>
      </c>
      <c r="L69" s="208">
        <v>55778</v>
      </c>
      <c r="M69" s="203">
        <v>0</v>
      </c>
      <c r="N69" s="208">
        <v>8476</v>
      </c>
      <c r="O69" s="208">
        <v>80540</v>
      </c>
      <c r="P69" s="208">
        <v>4823</v>
      </c>
      <c r="Q69" s="210">
        <v>0</v>
      </c>
      <c r="R69" s="203">
        <v>0</v>
      </c>
      <c r="S69" s="203">
        <v>0</v>
      </c>
      <c r="T69" s="203">
        <v>0</v>
      </c>
      <c r="U69" s="203">
        <v>0</v>
      </c>
      <c r="V69" s="203">
        <v>0</v>
      </c>
      <c r="W69" s="203">
        <v>0</v>
      </c>
      <c r="X69" s="208">
        <v>80540</v>
      </c>
      <c r="Y69" s="208">
        <v>4823</v>
      </c>
      <c r="Z69" s="208">
        <v>85363</v>
      </c>
      <c r="AA69" s="208">
        <v>2195</v>
      </c>
      <c r="AB69" s="208">
        <v>0</v>
      </c>
      <c r="AC69" s="208">
        <v>87558</v>
      </c>
      <c r="AD69" s="209">
        <v>31.978816654492331</v>
      </c>
    </row>
    <row r="70" spans="1:30" ht="13.5" thickBot="1" x14ac:dyDescent="0.25">
      <c r="A70" s="48" t="s">
        <v>14</v>
      </c>
      <c r="B70" s="47" t="s">
        <v>13</v>
      </c>
      <c r="C70" s="48" t="s">
        <v>17</v>
      </c>
      <c r="D70" s="48" t="s">
        <v>1940</v>
      </c>
      <c r="E70" s="129" t="s">
        <v>15</v>
      </c>
      <c r="F70" s="129" t="s">
        <v>16</v>
      </c>
      <c r="G70" s="108">
        <v>6351</v>
      </c>
      <c r="H70" s="87" t="s">
        <v>1649</v>
      </c>
      <c r="I70" s="205">
        <v>0</v>
      </c>
      <c r="J70" s="207">
        <v>6351</v>
      </c>
      <c r="K70" s="208">
        <v>10937</v>
      </c>
      <c r="L70" s="208">
        <v>259998</v>
      </c>
      <c r="M70" s="203">
        <v>0</v>
      </c>
      <c r="N70" s="208">
        <v>23634</v>
      </c>
      <c r="O70" s="208">
        <v>294569</v>
      </c>
      <c r="P70" s="208">
        <v>23485</v>
      </c>
      <c r="Q70" s="210">
        <v>0</v>
      </c>
      <c r="R70" s="208">
        <v>0</v>
      </c>
      <c r="S70" s="208">
        <v>0</v>
      </c>
      <c r="T70" s="208">
        <v>0</v>
      </c>
      <c r="U70" s="208">
        <v>0</v>
      </c>
      <c r="V70" s="208">
        <v>0</v>
      </c>
      <c r="W70" s="208">
        <v>0</v>
      </c>
      <c r="X70" s="208">
        <v>294569</v>
      </c>
      <c r="Y70" s="208">
        <v>23485</v>
      </c>
      <c r="Z70" s="208">
        <v>318054</v>
      </c>
      <c r="AA70" s="208">
        <v>5018</v>
      </c>
      <c r="AB70" s="208">
        <v>0</v>
      </c>
      <c r="AC70" s="208">
        <v>323072</v>
      </c>
      <c r="AD70" s="209">
        <v>50.869469374901591</v>
      </c>
    </row>
    <row r="71" spans="1:30" ht="13.5" thickBot="1" x14ac:dyDescent="0.25">
      <c r="A71" s="48" t="s">
        <v>45</v>
      </c>
      <c r="B71" s="47" t="s">
        <v>44</v>
      </c>
      <c r="C71" s="48" t="s">
        <v>17</v>
      </c>
      <c r="D71" s="48" t="s">
        <v>1992</v>
      </c>
      <c r="E71" s="129" t="s">
        <v>46</v>
      </c>
      <c r="F71" s="129" t="s">
        <v>47</v>
      </c>
      <c r="G71" s="108">
        <v>6583</v>
      </c>
      <c r="H71" s="87" t="s">
        <v>1649</v>
      </c>
      <c r="I71" s="205">
        <v>0</v>
      </c>
      <c r="J71" s="207">
        <v>6583</v>
      </c>
      <c r="K71" s="208">
        <v>18752</v>
      </c>
      <c r="L71" s="208">
        <v>303145</v>
      </c>
      <c r="M71" s="203">
        <v>0</v>
      </c>
      <c r="N71" s="208">
        <v>5150</v>
      </c>
      <c r="O71" s="208">
        <v>327047</v>
      </c>
      <c r="P71" s="208">
        <v>16091</v>
      </c>
      <c r="Q71" s="210">
        <v>0</v>
      </c>
      <c r="R71" s="203">
        <v>0</v>
      </c>
      <c r="S71" s="203">
        <v>0</v>
      </c>
      <c r="T71" s="203">
        <v>0</v>
      </c>
      <c r="U71" s="203">
        <v>0</v>
      </c>
      <c r="V71" s="203">
        <v>0</v>
      </c>
      <c r="W71" s="203">
        <v>0</v>
      </c>
      <c r="X71" s="208">
        <v>327047</v>
      </c>
      <c r="Y71" s="208">
        <v>16091</v>
      </c>
      <c r="Z71" s="208">
        <v>343138</v>
      </c>
      <c r="AA71" s="208">
        <v>5276</v>
      </c>
      <c r="AB71" s="208">
        <v>0</v>
      </c>
      <c r="AC71" s="208">
        <v>348414</v>
      </c>
      <c r="AD71" s="209">
        <v>52.926325383563722</v>
      </c>
    </row>
    <row r="72" spans="1:30" ht="13.5" thickBot="1" x14ac:dyDescent="0.25">
      <c r="A72" s="48" t="s">
        <v>56</v>
      </c>
      <c r="B72" s="47" t="s">
        <v>55</v>
      </c>
      <c r="C72" s="48" t="s">
        <v>17</v>
      </c>
      <c r="D72" s="48" t="s">
        <v>2010</v>
      </c>
      <c r="E72" s="129" t="s">
        <v>15</v>
      </c>
      <c r="F72" s="129" t="s">
        <v>16</v>
      </c>
      <c r="G72" s="108">
        <v>5379</v>
      </c>
      <c r="H72" s="87" t="s">
        <v>1649</v>
      </c>
      <c r="I72" s="205">
        <v>0</v>
      </c>
      <c r="J72" s="207">
        <v>5379</v>
      </c>
      <c r="K72" s="208">
        <v>5579</v>
      </c>
      <c r="L72" s="208">
        <v>325411</v>
      </c>
      <c r="M72" s="203">
        <v>0</v>
      </c>
      <c r="N72" s="208">
        <v>3720</v>
      </c>
      <c r="O72" s="208">
        <v>334710</v>
      </c>
      <c r="P72" s="208">
        <v>18046</v>
      </c>
      <c r="Q72" s="210">
        <v>0</v>
      </c>
      <c r="R72" s="208">
        <v>0</v>
      </c>
      <c r="S72" s="208">
        <v>0</v>
      </c>
      <c r="T72" s="208">
        <v>0</v>
      </c>
      <c r="U72" s="208">
        <v>0</v>
      </c>
      <c r="V72" s="208">
        <v>0</v>
      </c>
      <c r="W72" s="208">
        <v>0</v>
      </c>
      <c r="X72" s="208">
        <v>334710</v>
      </c>
      <c r="Y72" s="208">
        <v>18046</v>
      </c>
      <c r="Z72" s="208">
        <v>352756</v>
      </c>
      <c r="AA72" s="208">
        <v>4311</v>
      </c>
      <c r="AB72" s="208">
        <v>0</v>
      </c>
      <c r="AC72" s="208">
        <v>357067</v>
      </c>
      <c r="AD72" s="209">
        <v>66.381669455289085</v>
      </c>
    </row>
    <row r="73" spans="1:30" ht="13.5" thickBot="1" x14ac:dyDescent="0.25">
      <c r="A73" s="48" t="s">
        <v>60</v>
      </c>
      <c r="B73" s="47" t="s">
        <v>59</v>
      </c>
      <c r="C73" s="48" t="s">
        <v>17</v>
      </c>
      <c r="D73" s="48" t="s">
        <v>1960</v>
      </c>
      <c r="E73" s="129" t="s">
        <v>61</v>
      </c>
      <c r="F73" s="129" t="s">
        <v>62</v>
      </c>
      <c r="G73" s="108">
        <v>4265</v>
      </c>
      <c r="H73" s="87" t="s">
        <v>1648</v>
      </c>
      <c r="I73" s="205">
        <v>2919</v>
      </c>
      <c r="J73" s="207">
        <v>2554</v>
      </c>
      <c r="K73" s="208">
        <v>5141</v>
      </c>
      <c r="L73" s="203">
        <v>0</v>
      </c>
      <c r="M73" s="208">
        <v>36973</v>
      </c>
      <c r="N73" s="208">
        <v>1675</v>
      </c>
      <c r="O73" s="208">
        <v>43789</v>
      </c>
      <c r="P73" s="208">
        <v>5949</v>
      </c>
      <c r="Q73" s="207">
        <v>1711</v>
      </c>
      <c r="R73" s="208">
        <v>3444</v>
      </c>
      <c r="S73" s="203">
        <v>0</v>
      </c>
      <c r="T73" s="203">
        <v>0</v>
      </c>
      <c r="U73" s="203">
        <v>0</v>
      </c>
      <c r="V73" s="208">
        <v>3444</v>
      </c>
      <c r="W73" s="203">
        <v>0</v>
      </c>
      <c r="X73" s="208">
        <v>47233</v>
      </c>
      <c r="Y73" s="208">
        <v>5949</v>
      </c>
      <c r="Z73" s="208">
        <v>53182</v>
      </c>
      <c r="AA73" s="208">
        <v>5111</v>
      </c>
      <c r="AB73" s="208">
        <v>0</v>
      </c>
      <c r="AC73" s="208">
        <v>58293</v>
      </c>
      <c r="AD73" s="209">
        <v>13.667760844079719</v>
      </c>
    </row>
    <row r="74" spans="1:30" ht="13.5" thickBot="1" x14ac:dyDescent="0.25">
      <c r="A74" s="48" t="s">
        <v>70</v>
      </c>
      <c r="B74" s="47" t="s">
        <v>69</v>
      </c>
      <c r="C74" s="48" t="s">
        <v>17</v>
      </c>
      <c r="D74" s="48" t="s">
        <v>2028</v>
      </c>
      <c r="E74" s="129" t="s">
        <v>20</v>
      </c>
      <c r="F74" s="129" t="s">
        <v>21</v>
      </c>
      <c r="G74" s="108">
        <v>6621</v>
      </c>
      <c r="H74" s="87" t="s">
        <v>1649</v>
      </c>
      <c r="I74" s="205">
        <v>0</v>
      </c>
      <c r="J74" s="207">
        <v>6621</v>
      </c>
      <c r="K74" s="208">
        <v>21909</v>
      </c>
      <c r="L74" s="208">
        <v>213132.57</v>
      </c>
      <c r="M74" s="208">
        <v>0</v>
      </c>
      <c r="N74" s="208">
        <v>5593</v>
      </c>
      <c r="O74" s="208">
        <v>240634.57</v>
      </c>
      <c r="P74" s="208">
        <v>20677</v>
      </c>
      <c r="Q74" s="210">
        <v>0</v>
      </c>
      <c r="R74" s="203">
        <v>0</v>
      </c>
      <c r="S74" s="203">
        <v>0</v>
      </c>
      <c r="T74" s="203">
        <v>0</v>
      </c>
      <c r="U74" s="203">
        <v>0</v>
      </c>
      <c r="V74" s="203">
        <v>0</v>
      </c>
      <c r="W74" s="203">
        <v>0</v>
      </c>
      <c r="X74" s="208">
        <v>240634.57</v>
      </c>
      <c r="Y74" s="208">
        <v>20677</v>
      </c>
      <c r="Z74" s="208">
        <v>261311.57</v>
      </c>
      <c r="AA74" s="208">
        <v>5307</v>
      </c>
      <c r="AB74" s="208">
        <v>0</v>
      </c>
      <c r="AC74" s="208">
        <v>266618.57</v>
      </c>
      <c r="AD74" s="209">
        <v>40.268625585259024</v>
      </c>
    </row>
    <row r="75" spans="1:30" ht="13.5" thickBot="1" x14ac:dyDescent="0.25">
      <c r="A75" s="48" t="s">
        <v>74</v>
      </c>
      <c r="B75" s="47" t="s">
        <v>73</v>
      </c>
      <c r="C75" s="48" t="s">
        <v>17</v>
      </c>
      <c r="D75" s="48" t="s">
        <v>2034</v>
      </c>
      <c r="E75" s="129" t="s">
        <v>20</v>
      </c>
      <c r="F75" s="129" t="s">
        <v>21</v>
      </c>
      <c r="G75" s="108">
        <v>4075</v>
      </c>
      <c r="H75" s="87" t="s">
        <v>1648</v>
      </c>
      <c r="I75" s="205">
        <v>4000</v>
      </c>
      <c r="J75" s="207">
        <v>2816</v>
      </c>
      <c r="K75" s="208">
        <v>13397</v>
      </c>
      <c r="L75" s="208">
        <v>106964</v>
      </c>
      <c r="M75" s="203">
        <v>0</v>
      </c>
      <c r="N75" s="203">
        <v>0</v>
      </c>
      <c r="O75" s="208">
        <v>120361</v>
      </c>
      <c r="P75" s="208">
        <v>11760</v>
      </c>
      <c r="Q75" s="207">
        <v>1259</v>
      </c>
      <c r="R75" s="208">
        <v>5378</v>
      </c>
      <c r="S75" s="203">
        <v>0</v>
      </c>
      <c r="T75" s="203">
        <v>0</v>
      </c>
      <c r="U75" s="203">
        <v>0</v>
      </c>
      <c r="V75" s="208">
        <v>5378</v>
      </c>
      <c r="W75" s="203">
        <v>0</v>
      </c>
      <c r="X75" s="208">
        <v>125739</v>
      </c>
      <c r="Y75" s="208">
        <v>11760</v>
      </c>
      <c r="Z75" s="208">
        <v>137499</v>
      </c>
      <c r="AA75" s="208">
        <v>3266</v>
      </c>
      <c r="AB75" s="208">
        <v>0</v>
      </c>
      <c r="AC75" s="208">
        <v>140765</v>
      </c>
      <c r="AD75" s="209">
        <v>34.543558282208586</v>
      </c>
    </row>
    <row r="76" spans="1:30" ht="13.5" thickBot="1" x14ac:dyDescent="0.25">
      <c r="A76" s="48" t="s">
        <v>98</v>
      </c>
      <c r="B76" s="47" t="s">
        <v>97</v>
      </c>
      <c r="C76" s="48" t="s">
        <v>17</v>
      </c>
      <c r="D76" s="48" t="s">
        <v>2072</v>
      </c>
      <c r="E76" s="129" t="s">
        <v>20</v>
      </c>
      <c r="F76" s="129" t="s">
        <v>21</v>
      </c>
      <c r="G76" s="108">
        <v>5414</v>
      </c>
      <c r="H76" s="87" t="s">
        <v>1648</v>
      </c>
      <c r="I76" s="205">
        <v>10135</v>
      </c>
      <c r="J76" s="207">
        <v>1905</v>
      </c>
      <c r="K76" s="208">
        <v>9224</v>
      </c>
      <c r="L76" s="208">
        <v>29386</v>
      </c>
      <c r="M76" s="208">
        <v>36075</v>
      </c>
      <c r="N76" s="208">
        <v>0</v>
      </c>
      <c r="O76" s="208">
        <v>74685</v>
      </c>
      <c r="P76" s="208">
        <v>3616</v>
      </c>
      <c r="Q76" s="207">
        <v>3509</v>
      </c>
      <c r="R76" s="208">
        <v>16990</v>
      </c>
      <c r="S76" s="208">
        <v>0</v>
      </c>
      <c r="T76" s="208">
        <v>0</v>
      </c>
      <c r="U76" s="208">
        <v>0</v>
      </c>
      <c r="V76" s="208">
        <v>16990</v>
      </c>
      <c r="W76" s="208">
        <v>0</v>
      </c>
      <c r="X76" s="208">
        <v>91675</v>
      </c>
      <c r="Y76" s="208">
        <v>3616</v>
      </c>
      <c r="Z76" s="208">
        <v>95291</v>
      </c>
      <c r="AA76" s="208">
        <v>4339</v>
      </c>
      <c r="AB76" s="208">
        <v>0</v>
      </c>
      <c r="AC76" s="208">
        <v>99630</v>
      </c>
      <c r="AD76" s="209">
        <v>18.402290358330255</v>
      </c>
    </row>
    <row r="77" spans="1:30" ht="13.5" thickBot="1" x14ac:dyDescent="0.25">
      <c r="A77" s="48" t="s">
        <v>120</v>
      </c>
      <c r="B77" s="47" t="s">
        <v>119</v>
      </c>
      <c r="C77" s="48" t="s">
        <v>17</v>
      </c>
      <c r="D77" s="48" t="s">
        <v>2057</v>
      </c>
      <c r="E77" s="129" t="s">
        <v>20</v>
      </c>
      <c r="F77" s="129" t="s">
        <v>21</v>
      </c>
      <c r="G77" s="108">
        <v>6296</v>
      </c>
      <c r="H77" s="87" t="s">
        <v>1649</v>
      </c>
      <c r="I77" s="205">
        <v>0</v>
      </c>
      <c r="J77" s="207">
        <v>2291</v>
      </c>
      <c r="K77" s="208">
        <v>1682</v>
      </c>
      <c r="L77" s="208">
        <v>189425</v>
      </c>
      <c r="M77" s="208">
        <v>0</v>
      </c>
      <c r="N77" s="203">
        <v>0</v>
      </c>
      <c r="O77" s="208">
        <v>191107</v>
      </c>
      <c r="P77" s="208">
        <v>28134</v>
      </c>
      <c r="Q77" s="207">
        <v>4005</v>
      </c>
      <c r="R77" s="208">
        <v>29396</v>
      </c>
      <c r="S77" s="208">
        <v>0</v>
      </c>
      <c r="T77" s="208">
        <v>0</v>
      </c>
      <c r="U77" s="208">
        <v>148295</v>
      </c>
      <c r="V77" s="208">
        <v>177691</v>
      </c>
      <c r="W77" s="208">
        <v>0</v>
      </c>
      <c r="X77" s="208">
        <v>368798</v>
      </c>
      <c r="Y77" s="208">
        <v>28134</v>
      </c>
      <c r="Z77" s="208">
        <v>396932</v>
      </c>
      <c r="AA77" s="208">
        <v>3259</v>
      </c>
      <c r="AB77" s="208">
        <v>0</v>
      </c>
      <c r="AC77" s="208">
        <v>400191</v>
      </c>
      <c r="AD77" s="209">
        <v>63.562738246505717</v>
      </c>
    </row>
    <row r="78" spans="1:30" ht="13.5" thickBot="1" x14ac:dyDescent="0.25">
      <c r="A78" s="48" t="s">
        <v>126</v>
      </c>
      <c r="B78" s="47" t="s">
        <v>125</v>
      </c>
      <c r="C78" s="48" t="s">
        <v>17</v>
      </c>
      <c r="D78" s="48" t="s">
        <v>1953</v>
      </c>
      <c r="E78" s="129" t="s">
        <v>111</v>
      </c>
      <c r="F78" s="129" t="s">
        <v>112</v>
      </c>
      <c r="G78" s="108">
        <v>4005</v>
      </c>
      <c r="H78" s="87" t="s">
        <v>1649</v>
      </c>
      <c r="I78" s="205">
        <v>0</v>
      </c>
      <c r="J78" s="207">
        <v>1325</v>
      </c>
      <c r="K78" s="208">
        <v>7796</v>
      </c>
      <c r="L78" s="208">
        <v>6317</v>
      </c>
      <c r="M78" s="208">
        <v>0</v>
      </c>
      <c r="N78" s="208">
        <v>0</v>
      </c>
      <c r="O78" s="208">
        <v>14113</v>
      </c>
      <c r="P78" s="208">
        <v>15336</v>
      </c>
      <c r="Q78" s="207">
        <v>2680</v>
      </c>
      <c r="R78" s="208">
        <v>8386</v>
      </c>
      <c r="S78" s="208">
        <v>12755</v>
      </c>
      <c r="T78" s="203">
        <v>0</v>
      </c>
      <c r="U78" s="203">
        <v>0</v>
      </c>
      <c r="V78" s="208">
        <v>21141</v>
      </c>
      <c r="W78" s="203">
        <v>0</v>
      </c>
      <c r="X78" s="208">
        <v>35254</v>
      </c>
      <c r="Y78" s="208">
        <v>15336</v>
      </c>
      <c r="Z78" s="208">
        <v>50590</v>
      </c>
      <c r="AA78" s="208">
        <v>3210</v>
      </c>
      <c r="AB78" s="208">
        <v>0</v>
      </c>
      <c r="AC78" s="208">
        <v>53800</v>
      </c>
      <c r="AD78" s="209">
        <v>13.433208489388266</v>
      </c>
    </row>
    <row r="79" spans="1:30" ht="13.5" thickBot="1" x14ac:dyDescent="0.25">
      <c r="A79" s="48" t="s">
        <v>138</v>
      </c>
      <c r="B79" s="47" t="s">
        <v>137</v>
      </c>
      <c r="C79" s="48" t="s">
        <v>17</v>
      </c>
      <c r="D79" s="48" t="s">
        <v>2134</v>
      </c>
      <c r="E79" s="129" t="s">
        <v>61</v>
      </c>
      <c r="F79" s="129" t="s">
        <v>62</v>
      </c>
      <c r="G79" s="108">
        <v>4191</v>
      </c>
      <c r="H79" s="87" t="s">
        <v>1648</v>
      </c>
      <c r="I79" s="205">
        <v>2000</v>
      </c>
      <c r="J79" s="207">
        <v>2047</v>
      </c>
      <c r="K79" s="208">
        <v>4749</v>
      </c>
      <c r="L79" s="208">
        <v>32357</v>
      </c>
      <c r="M79" s="208">
        <v>0</v>
      </c>
      <c r="N79" s="208">
        <v>600</v>
      </c>
      <c r="O79" s="208">
        <v>37706</v>
      </c>
      <c r="P79" s="208">
        <v>2908</v>
      </c>
      <c r="Q79" s="207">
        <v>2144</v>
      </c>
      <c r="R79" s="208">
        <v>4973</v>
      </c>
      <c r="S79" s="203">
        <v>0</v>
      </c>
      <c r="T79" s="203">
        <v>0</v>
      </c>
      <c r="U79" s="208">
        <v>600</v>
      </c>
      <c r="V79" s="208">
        <v>5573</v>
      </c>
      <c r="W79" s="203">
        <v>0</v>
      </c>
      <c r="X79" s="208">
        <v>43279</v>
      </c>
      <c r="Y79" s="208">
        <v>2908</v>
      </c>
      <c r="Z79" s="208">
        <v>46187</v>
      </c>
      <c r="AA79" s="208">
        <v>3359</v>
      </c>
      <c r="AB79" s="208">
        <v>0</v>
      </c>
      <c r="AC79" s="208">
        <v>49546</v>
      </c>
      <c r="AD79" s="209">
        <v>11.821999522786925</v>
      </c>
    </row>
    <row r="80" spans="1:30" ht="13.5" thickBot="1" x14ac:dyDescent="0.25">
      <c r="A80" s="48" t="s">
        <v>180</v>
      </c>
      <c r="B80" s="47" t="s">
        <v>179</v>
      </c>
      <c r="C80" s="48" t="s">
        <v>17</v>
      </c>
      <c r="D80" s="48" t="s">
        <v>2198</v>
      </c>
      <c r="E80" s="129" t="s">
        <v>15</v>
      </c>
      <c r="F80" s="129" t="s">
        <v>16</v>
      </c>
      <c r="G80" s="108">
        <v>4622</v>
      </c>
      <c r="H80" s="87" t="s">
        <v>1648</v>
      </c>
      <c r="I80" s="205">
        <v>2100</v>
      </c>
      <c r="J80" s="207">
        <v>4418</v>
      </c>
      <c r="K80" s="208">
        <v>7337</v>
      </c>
      <c r="L80" s="208">
        <v>111589</v>
      </c>
      <c r="M80" s="208">
        <v>7374</v>
      </c>
      <c r="N80" s="208">
        <v>0</v>
      </c>
      <c r="O80" s="208">
        <v>126300</v>
      </c>
      <c r="P80" s="208">
        <v>14616</v>
      </c>
      <c r="Q80" s="207">
        <v>204</v>
      </c>
      <c r="R80" s="208">
        <v>339</v>
      </c>
      <c r="S80" s="208">
        <v>0</v>
      </c>
      <c r="T80" s="208">
        <v>341</v>
      </c>
      <c r="U80" s="208">
        <v>1949</v>
      </c>
      <c r="V80" s="208">
        <v>2629</v>
      </c>
      <c r="W80" s="208">
        <v>850</v>
      </c>
      <c r="X80" s="208">
        <v>128929</v>
      </c>
      <c r="Y80" s="208">
        <v>15466</v>
      </c>
      <c r="Z80" s="208">
        <v>144395</v>
      </c>
      <c r="AA80" s="208">
        <v>3705</v>
      </c>
      <c r="AB80" s="208">
        <v>0</v>
      </c>
      <c r="AC80" s="208">
        <v>148100</v>
      </c>
      <c r="AD80" s="209">
        <v>32.042405884898315</v>
      </c>
    </row>
    <row r="81" spans="1:30" ht="13.5" thickBot="1" x14ac:dyDescent="0.25">
      <c r="A81" s="48" t="s">
        <v>194</v>
      </c>
      <c r="B81" s="47" t="s">
        <v>193</v>
      </c>
      <c r="C81" s="48" t="s">
        <v>17</v>
      </c>
      <c r="D81" s="48" t="s">
        <v>2126</v>
      </c>
      <c r="E81" s="129" t="s">
        <v>15</v>
      </c>
      <c r="F81" s="129" t="s">
        <v>16</v>
      </c>
      <c r="G81" s="108">
        <v>4986</v>
      </c>
      <c r="H81" s="87" t="s">
        <v>1649</v>
      </c>
      <c r="I81" s="205">
        <v>0</v>
      </c>
      <c r="J81" s="207">
        <v>4217</v>
      </c>
      <c r="K81" s="208">
        <v>11421</v>
      </c>
      <c r="L81" s="208">
        <v>153739</v>
      </c>
      <c r="M81" s="208">
        <v>0</v>
      </c>
      <c r="N81" s="208">
        <v>6146</v>
      </c>
      <c r="O81" s="208">
        <v>171306</v>
      </c>
      <c r="P81" s="208">
        <v>15333</v>
      </c>
      <c r="Q81" s="207">
        <v>769</v>
      </c>
      <c r="R81" s="208">
        <v>2083</v>
      </c>
      <c r="S81" s="208">
        <v>0</v>
      </c>
      <c r="T81" s="208">
        <v>2125</v>
      </c>
      <c r="U81" s="208">
        <v>0</v>
      </c>
      <c r="V81" s="208">
        <v>4208</v>
      </c>
      <c r="W81" s="208">
        <v>0</v>
      </c>
      <c r="X81" s="208">
        <v>175514</v>
      </c>
      <c r="Y81" s="208">
        <v>15333</v>
      </c>
      <c r="Z81" s="208">
        <v>190847</v>
      </c>
      <c r="AA81" s="208">
        <v>3996</v>
      </c>
      <c r="AB81" s="208">
        <v>0</v>
      </c>
      <c r="AC81" s="208">
        <v>194843</v>
      </c>
      <c r="AD81" s="209">
        <v>39.078018451664661</v>
      </c>
    </row>
    <row r="82" spans="1:30" ht="13.5" thickBot="1" x14ac:dyDescent="0.25">
      <c r="A82" s="48" t="s">
        <v>216</v>
      </c>
      <c r="B82" s="47" t="s">
        <v>215</v>
      </c>
      <c r="C82" s="48" t="s">
        <v>17</v>
      </c>
      <c r="D82" s="48" t="s">
        <v>1953</v>
      </c>
      <c r="E82" s="129" t="s">
        <v>61</v>
      </c>
      <c r="F82" s="129" t="s">
        <v>62</v>
      </c>
      <c r="G82" s="108">
        <v>4514</v>
      </c>
      <c r="H82" s="87" t="s">
        <v>1649</v>
      </c>
      <c r="I82" s="205">
        <v>0</v>
      </c>
      <c r="J82" s="207">
        <v>830</v>
      </c>
      <c r="K82" s="208">
        <v>2605.38</v>
      </c>
      <c r="L82" s="208">
        <v>11026.32568</v>
      </c>
      <c r="M82" s="208">
        <v>0</v>
      </c>
      <c r="N82" s="208">
        <v>0</v>
      </c>
      <c r="O82" s="208">
        <v>13631.705679999999</v>
      </c>
      <c r="P82" s="208">
        <v>869.36707999999999</v>
      </c>
      <c r="Q82" s="207">
        <v>3684</v>
      </c>
      <c r="R82" s="208">
        <v>11564.11191</v>
      </c>
      <c r="S82" s="208">
        <v>48940.944340000002</v>
      </c>
      <c r="T82" s="203">
        <v>0</v>
      </c>
      <c r="U82" s="203">
        <v>0</v>
      </c>
      <c r="V82" s="208">
        <v>60505.056250000001</v>
      </c>
      <c r="W82" s="208">
        <v>3858.7329199999999</v>
      </c>
      <c r="X82" s="208">
        <v>74136.761929999993</v>
      </c>
      <c r="Y82" s="208">
        <v>4728.1000000000004</v>
      </c>
      <c r="Z82" s="208">
        <v>78864.861929999999</v>
      </c>
      <c r="AA82" s="208">
        <v>3618</v>
      </c>
      <c r="AB82" s="208">
        <v>0</v>
      </c>
      <c r="AC82" s="208">
        <v>82482.861929999999</v>
      </c>
      <c r="AD82" s="209">
        <v>18.272676546300399</v>
      </c>
    </row>
    <row r="83" spans="1:30" ht="13.5" thickBot="1" x14ac:dyDescent="0.25">
      <c r="A83" s="48" t="s">
        <v>230</v>
      </c>
      <c r="B83" s="47" t="s">
        <v>229</v>
      </c>
      <c r="C83" s="48" t="s">
        <v>17</v>
      </c>
      <c r="D83" s="48" t="s">
        <v>2055</v>
      </c>
      <c r="E83" s="129" t="s">
        <v>15</v>
      </c>
      <c r="F83" s="129" t="s">
        <v>16</v>
      </c>
      <c r="G83" s="108">
        <v>6838</v>
      </c>
      <c r="H83" s="87" t="s">
        <v>1649</v>
      </c>
      <c r="I83" s="205">
        <v>0</v>
      </c>
      <c r="J83" s="207">
        <v>6838</v>
      </c>
      <c r="K83" s="208">
        <v>15306</v>
      </c>
      <c r="L83" s="203">
        <v>0</v>
      </c>
      <c r="M83" s="208">
        <v>57400</v>
      </c>
      <c r="N83" s="208">
        <v>55387</v>
      </c>
      <c r="O83" s="208">
        <v>128093</v>
      </c>
      <c r="P83" s="208">
        <v>8046</v>
      </c>
      <c r="Q83" s="210">
        <v>0</v>
      </c>
      <c r="R83" s="203">
        <v>0</v>
      </c>
      <c r="S83" s="203">
        <v>0</v>
      </c>
      <c r="T83" s="203">
        <v>0</v>
      </c>
      <c r="U83" s="203">
        <v>0</v>
      </c>
      <c r="V83" s="203">
        <v>0</v>
      </c>
      <c r="W83" s="203">
        <v>0</v>
      </c>
      <c r="X83" s="208">
        <v>128093</v>
      </c>
      <c r="Y83" s="208">
        <v>8046</v>
      </c>
      <c r="Z83" s="208">
        <v>136139</v>
      </c>
      <c r="AA83" s="208">
        <v>5014</v>
      </c>
      <c r="AB83" s="208">
        <v>0</v>
      </c>
      <c r="AC83" s="208">
        <v>141153</v>
      </c>
      <c r="AD83" s="209">
        <v>20.642439309739689</v>
      </c>
    </row>
    <row r="84" spans="1:30" ht="13.5" thickBot="1" x14ac:dyDescent="0.25">
      <c r="A84" s="48" t="s">
        <v>236</v>
      </c>
      <c r="B84" s="47" t="s">
        <v>235</v>
      </c>
      <c r="C84" s="48" t="s">
        <v>17</v>
      </c>
      <c r="D84" s="48" t="s">
        <v>2264</v>
      </c>
      <c r="E84" s="129" t="s">
        <v>61</v>
      </c>
      <c r="F84" s="129" t="s">
        <v>62</v>
      </c>
      <c r="G84" s="108">
        <v>4869</v>
      </c>
      <c r="H84" s="87" t="s">
        <v>1649</v>
      </c>
      <c r="I84" s="205">
        <v>0</v>
      </c>
      <c r="J84" s="207">
        <v>1861</v>
      </c>
      <c r="K84" s="208">
        <v>1162</v>
      </c>
      <c r="L84" s="208">
        <v>9445</v>
      </c>
      <c r="M84" s="208">
        <v>0</v>
      </c>
      <c r="N84" s="208">
        <v>0</v>
      </c>
      <c r="O84" s="208">
        <v>10607</v>
      </c>
      <c r="P84" s="208">
        <v>7605</v>
      </c>
      <c r="Q84" s="207">
        <v>3008</v>
      </c>
      <c r="R84" s="208">
        <v>1666</v>
      </c>
      <c r="S84" s="208">
        <v>31719</v>
      </c>
      <c r="T84" s="208">
        <v>0</v>
      </c>
      <c r="U84" s="208">
        <v>0</v>
      </c>
      <c r="V84" s="208">
        <v>33385</v>
      </c>
      <c r="W84" s="208">
        <v>0</v>
      </c>
      <c r="X84" s="208">
        <v>43992</v>
      </c>
      <c r="Y84" s="208">
        <v>7605</v>
      </c>
      <c r="Z84" s="208">
        <v>51597</v>
      </c>
      <c r="AA84" s="208">
        <v>3903</v>
      </c>
      <c r="AB84" s="208">
        <v>0</v>
      </c>
      <c r="AC84" s="208">
        <v>55500</v>
      </c>
      <c r="AD84" s="209">
        <v>11.398644485520641</v>
      </c>
    </row>
    <row r="85" spans="1:30" ht="13.5" thickBot="1" x14ac:dyDescent="0.25">
      <c r="A85" s="48" t="s">
        <v>238</v>
      </c>
      <c r="B85" s="47" t="s">
        <v>237</v>
      </c>
      <c r="C85" s="48" t="s">
        <v>17</v>
      </c>
      <c r="D85" s="48" t="s">
        <v>1992</v>
      </c>
      <c r="E85" s="129" t="s">
        <v>20</v>
      </c>
      <c r="F85" s="129" t="s">
        <v>21</v>
      </c>
      <c r="G85" s="108">
        <v>4768</v>
      </c>
      <c r="H85" s="87" t="s">
        <v>1649</v>
      </c>
      <c r="I85" s="205">
        <v>0</v>
      </c>
      <c r="J85" s="207">
        <v>4768</v>
      </c>
      <c r="K85" s="208">
        <v>11782</v>
      </c>
      <c r="L85" s="208">
        <v>74820</v>
      </c>
      <c r="M85" s="203">
        <v>0</v>
      </c>
      <c r="N85" s="203">
        <v>0</v>
      </c>
      <c r="O85" s="208">
        <v>86602</v>
      </c>
      <c r="P85" s="208">
        <v>9654</v>
      </c>
      <c r="Q85" s="210">
        <v>0</v>
      </c>
      <c r="R85" s="208">
        <v>0</v>
      </c>
      <c r="S85" s="208">
        <v>0</v>
      </c>
      <c r="T85" s="208">
        <v>0</v>
      </c>
      <c r="U85" s="208">
        <v>0</v>
      </c>
      <c r="V85" s="208">
        <v>0</v>
      </c>
      <c r="W85" s="208">
        <v>0</v>
      </c>
      <c r="X85" s="208">
        <v>86602</v>
      </c>
      <c r="Y85" s="208">
        <v>9654</v>
      </c>
      <c r="Z85" s="208">
        <v>96256</v>
      </c>
      <c r="AA85" s="208">
        <v>3817</v>
      </c>
      <c r="AB85" s="208">
        <v>0</v>
      </c>
      <c r="AC85" s="208">
        <v>100073</v>
      </c>
      <c r="AD85" s="209">
        <v>20.988464765100669</v>
      </c>
    </row>
    <row r="86" spans="1:30" ht="13.5" thickBot="1" x14ac:dyDescent="0.25">
      <c r="A86" s="48" t="s">
        <v>252</v>
      </c>
      <c r="B86" s="47" t="s">
        <v>251</v>
      </c>
      <c r="C86" s="48" t="s">
        <v>17</v>
      </c>
      <c r="D86" s="48" t="s">
        <v>1969</v>
      </c>
      <c r="E86" s="129" t="s">
        <v>253</v>
      </c>
      <c r="F86" s="129" t="s">
        <v>254</v>
      </c>
      <c r="G86" s="108">
        <v>5432</v>
      </c>
      <c r="H86" s="87" t="s">
        <v>1649</v>
      </c>
      <c r="I86" s="205">
        <v>0</v>
      </c>
      <c r="J86" s="207">
        <v>4835</v>
      </c>
      <c r="K86" s="208">
        <v>12329</v>
      </c>
      <c r="L86" s="208">
        <v>314846</v>
      </c>
      <c r="M86" s="208">
        <v>0</v>
      </c>
      <c r="N86" s="208">
        <v>7436</v>
      </c>
      <c r="O86" s="208">
        <v>334611</v>
      </c>
      <c r="P86" s="208">
        <v>9125</v>
      </c>
      <c r="Q86" s="207">
        <v>597</v>
      </c>
      <c r="R86" s="208">
        <v>1522</v>
      </c>
      <c r="S86" s="208">
        <v>0</v>
      </c>
      <c r="T86" s="208">
        <v>0</v>
      </c>
      <c r="U86" s="208">
        <v>3500</v>
      </c>
      <c r="V86" s="208">
        <v>5022</v>
      </c>
      <c r="W86" s="208">
        <v>0</v>
      </c>
      <c r="X86" s="208">
        <v>339633</v>
      </c>
      <c r="Y86" s="208">
        <v>9125</v>
      </c>
      <c r="Z86" s="208">
        <v>348758</v>
      </c>
      <c r="AA86" s="208">
        <v>4354</v>
      </c>
      <c r="AB86" s="208">
        <v>0</v>
      </c>
      <c r="AC86" s="208">
        <v>353112</v>
      </c>
      <c r="AD86" s="209">
        <v>65.005891016200295</v>
      </c>
    </row>
    <row r="87" spans="1:30" ht="13.5" thickBot="1" x14ac:dyDescent="0.25">
      <c r="A87" s="48" t="s">
        <v>280</v>
      </c>
      <c r="B87" s="47" t="s">
        <v>279</v>
      </c>
      <c r="C87" s="48" t="s">
        <v>17</v>
      </c>
      <c r="D87" s="48" t="s">
        <v>2349</v>
      </c>
      <c r="E87" s="129" t="s">
        <v>61</v>
      </c>
      <c r="F87" s="129" t="s">
        <v>62</v>
      </c>
      <c r="G87" s="108">
        <v>6164</v>
      </c>
      <c r="H87" s="87" t="s">
        <v>1648</v>
      </c>
      <c r="I87" s="205">
        <v>10000</v>
      </c>
      <c r="J87" s="207">
        <v>6164</v>
      </c>
      <c r="K87" s="208">
        <v>15344</v>
      </c>
      <c r="L87" s="208">
        <v>92998</v>
      </c>
      <c r="M87" s="208">
        <v>50000</v>
      </c>
      <c r="N87" s="208">
        <v>6813</v>
      </c>
      <c r="O87" s="208">
        <v>165155</v>
      </c>
      <c r="P87" s="208">
        <v>5920</v>
      </c>
      <c r="Q87" s="210">
        <v>0</v>
      </c>
      <c r="R87" s="203">
        <v>0</v>
      </c>
      <c r="S87" s="203">
        <v>0</v>
      </c>
      <c r="T87" s="203">
        <v>0</v>
      </c>
      <c r="U87" s="203">
        <v>0</v>
      </c>
      <c r="V87" s="203">
        <v>0</v>
      </c>
      <c r="W87" s="203">
        <v>0</v>
      </c>
      <c r="X87" s="208">
        <v>165155</v>
      </c>
      <c r="Y87" s="208">
        <v>5920</v>
      </c>
      <c r="Z87" s="208">
        <v>171075</v>
      </c>
      <c r="AA87" s="208">
        <v>4941</v>
      </c>
      <c r="AB87" s="208">
        <v>0</v>
      </c>
      <c r="AC87" s="208">
        <v>176016</v>
      </c>
      <c r="AD87" s="209">
        <v>28.555483452303697</v>
      </c>
    </row>
    <row r="88" spans="1:30" ht="13.5" thickBot="1" x14ac:dyDescent="0.25">
      <c r="A88" s="48" t="s">
        <v>290</v>
      </c>
      <c r="B88" s="47" t="s">
        <v>289</v>
      </c>
      <c r="C88" s="48" t="s">
        <v>17</v>
      </c>
      <c r="D88" s="48" t="s">
        <v>2264</v>
      </c>
      <c r="E88" s="129" t="s">
        <v>20</v>
      </c>
      <c r="F88" s="129" t="s">
        <v>21</v>
      </c>
      <c r="G88" s="108">
        <v>5641</v>
      </c>
      <c r="H88" s="87" t="s">
        <v>1649</v>
      </c>
      <c r="I88" s="205">
        <v>0</v>
      </c>
      <c r="J88" s="207">
        <v>5641</v>
      </c>
      <c r="K88" s="208">
        <v>3796</v>
      </c>
      <c r="L88" s="208">
        <v>100232</v>
      </c>
      <c r="M88" s="203">
        <v>0</v>
      </c>
      <c r="N88" s="203">
        <v>0</v>
      </c>
      <c r="O88" s="208">
        <v>104028</v>
      </c>
      <c r="P88" s="208">
        <v>6086</v>
      </c>
      <c r="Q88" s="210">
        <v>0</v>
      </c>
      <c r="R88" s="203">
        <v>0</v>
      </c>
      <c r="S88" s="203">
        <v>0</v>
      </c>
      <c r="T88" s="203">
        <v>0</v>
      </c>
      <c r="U88" s="203">
        <v>0</v>
      </c>
      <c r="V88" s="203">
        <v>0</v>
      </c>
      <c r="W88" s="203">
        <v>0</v>
      </c>
      <c r="X88" s="208">
        <v>104028</v>
      </c>
      <c r="Y88" s="208">
        <v>6086</v>
      </c>
      <c r="Z88" s="208">
        <v>110114</v>
      </c>
      <c r="AA88" s="208">
        <v>4516</v>
      </c>
      <c r="AB88" s="208">
        <v>0</v>
      </c>
      <c r="AC88" s="208">
        <v>114630</v>
      </c>
      <c r="AD88" s="209">
        <v>20.320865094841341</v>
      </c>
    </row>
    <row r="89" spans="1:30" ht="13.5" thickBot="1" x14ac:dyDescent="0.25">
      <c r="A89" s="48" t="s">
        <v>334</v>
      </c>
      <c r="B89" s="47" t="s">
        <v>333</v>
      </c>
      <c r="C89" s="48" t="s">
        <v>17</v>
      </c>
      <c r="D89" s="48" t="s">
        <v>2028</v>
      </c>
      <c r="E89" s="129" t="s">
        <v>20</v>
      </c>
      <c r="F89" s="129" t="s">
        <v>21</v>
      </c>
      <c r="G89" s="108">
        <v>6119</v>
      </c>
      <c r="H89" s="87" t="s">
        <v>1648</v>
      </c>
      <c r="I89" s="205">
        <v>4550</v>
      </c>
      <c r="J89" s="207">
        <v>4585</v>
      </c>
      <c r="K89" s="208">
        <v>14152</v>
      </c>
      <c r="L89" s="208">
        <v>453988</v>
      </c>
      <c r="M89" s="203">
        <v>0</v>
      </c>
      <c r="N89" s="208">
        <v>91125</v>
      </c>
      <c r="O89" s="208">
        <v>559265</v>
      </c>
      <c r="P89" s="203">
        <v>0</v>
      </c>
      <c r="Q89" s="207">
        <v>1534</v>
      </c>
      <c r="R89" s="208">
        <v>4727</v>
      </c>
      <c r="S89" s="203">
        <v>0</v>
      </c>
      <c r="T89" s="203">
        <v>0</v>
      </c>
      <c r="U89" s="203">
        <v>0</v>
      </c>
      <c r="V89" s="208">
        <v>4727</v>
      </c>
      <c r="W89" s="203">
        <v>0</v>
      </c>
      <c r="X89" s="208">
        <v>563992</v>
      </c>
      <c r="Y89" s="203">
        <v>0</v>
      </c>
      <c r="Z89" s="208">
        <v>563992</v>
      </c>
      <c r="AA89" s="208">
        <v>4905</v>
      </c>
      <c r="AB89" s="208">
        <v>0</v>
      </c>
      <c r="AC89" s="208">
        <v>568897</v>
      </c>
      <c r="AD89" s="209">
        <v>92.972217682627885</v>
      </c>
    </row>
    <row r="90" spans="1:30" ht="13.5" thickBot="1" x14ac:dyDescent="0.25">
      <c r="A90" s="48" t="s">
        <v>344</v>
      </c>
      <c r="B90" s="47" t="s">
        <v>343</v>
      </c>
      <c r="C90" s="48" t="s">
        <v>17</v>
      </c>
      <c r="D90" s="48" t="s">
        <v>2446</v>
      </c>
      <c r="E90" s="129" t="s">
        <v>15</v>
      </c>
      <c r="F90" s="129" t="s">
        <v>16</v>
      </c>
      <c r="G90" s="108">
        <v>6582</v>
      </c>
      <c r="H90" s="87" t="s">
        <v>1649</v>
      </c>
      <c r="I90" s="205">
        <v>0</v>
      </c>
      <c r="J90" s="207">
        <v>5962</v>
      </c>
      <c r="K90" s="208">
        <v>23974</v>
      </c>
      <c r="L90" s="208">
        <v>167910</v>
      </c>
      <c r="M90" s="203">
        <v>0</v>
      </c>
      <c r="N90" s="208">
        <v>27521</v>
      </c>
      <c r="O90" s="208">
        <v>219405</v>
      </c>
      <c r="P90" s="208">
        <v>35615</v>
      </c>
      <c r="Q90" s="207">
        <v>620</v>
      </c>
      <c r="R90" s="208">
        <v>2499</v>
      </c>
      <c r="S90" s="208">
        <v>0</v>
      </c>
      <c r="T90" s="208">
        <v>0</v>
      </c>
      <c r="U90" s="208">
        <v>0</v>
      </c>
      <c r="V90" s="208">
        <v>2499</v>
      </c>
      <c r="W90" s="208">
        <v>0</v>
      </c>
      <c r="X90" s="208">
        <v>221904</v>
      </c>
      <c r="Y90" s="208">
        <v>35615</v>
      </c>
      <c r="Z90" s="208">
        <v>257519</v>
      </c>
      <c r="AA90" s="208">
        <v>5276</v>
      </c>
      <c r="AB90" s="208">
        <v>0</v>
      </c>
      <c r="AC90" s="208">
        <v>262795</v>
      </c>
      <c r="AD90" s="209">
        <v>39.926314190215741</v>
      </c>
    </row>
    <row r="91" spans="1:30" ht="13.5" thickBot="1" x14ac:dyDescent="0.25">
      <c r="A91" s="48" t="s">
        <v>354</v>
      </c>
      <c r="B91" s="47" t="s">
        <v>353</v>
      </c>
      <c r="C91" s="48" t="s">
        <v>17</v>
      </c>
      <c r="D91" s="48" t="s">
        <v>2237</v>
      </c>
      <c r="E91" s="129" t="s">
        <v>20</v>
      </c>
      <c r="F91" s="129" t="s">
        <v>21</v>
      </c>
      <c r="G91" s="108">
        <v>5933</v>
      </c>
      <c r="H91" s="87" t="s">
        <v>1649</v>
      </c>
      <c r="I91" s="205">
        <v>0</v>
      </c>
      <c r="J91" s="207">
        <v>5933</v>
      </c>
      <c r="K91" s="208">
        <v>31738</v>
      </c>
      <c r="L91" s="208">
        <v>155022</v>
      </c>
      <c r="M91" s="203">
        <v>0</v>
      </c>
      <c r="N91" s="203">
        <v>0</v>
      </c>
      <c r="O91" s="208">
        <v>186760</v>
      </c>
      <c r="P91" s="208">
        <v>500</v>
      </c>
      <c r="Q91" s="210">
        <v>0</v>
      </c>
      <c r="R91" s="203">
        <v>0</v>
      </c>
      <c r="S91" s="203">
        <v>0</v>
      </c>
      <c r="T91" s="203">
        <v>0</v>
      </c>
      <c r="U91" s="203">
        <v>0</v>
      </c>
      <c r="V91" s="203">
        <v>0</v>
      </c>
      <c r="W91" s="203">
        <v>0</v>
      </c>
      <c r="X91" s="208">
        <v>186760</v>
      </c>
      <c r="Y91" s="208">
        <v>500</v>
      </c>
      <c r="Z91" s="208">
        <v>187260</v>
      </c>
      <c r="AA91" s="208">
        <v>2355</v>
      </c>
      <c r="AB91" s="208">
        <v>0</v>
      </c>
      <c r="AC91" s="208">
        <v>189615</v>
      </c>
      <c r="AD91" s="209">
        <v>31.959379740434855</v>
      </c>
    </row>
    <row r="92" spans="1:30" ht="13.5" thickBot="1" x14ac:dyDescent="0.25">
      <c r="A92" s="48" t="s">
        <v>362</v>
      </c>
      <c r="B92" s="47" t="s">
        <v>361</v>
      </c>
      <c r="C92" s="48" t="s">
        <v>17</v>
      </c>
      <c r="D92" s="48" t="s">
        <v>2148</v>
      </c>
      <c r="E92" s="129" t="s">
        <v>20</v>
      </c>
      <c r="F92" s="129" t="s">
        <v>21</v>
      </c>
      <c r="G92" s="108">
        <v>4220</v>
      </c>
      <c r="H92" s="87" t="s">
        <v>1649</v>
      </c>
      <c r="I92" s="205">
        <v>0</v>
      </c>
      <c r="J92" s="207">
        <v>2542</v>
      </c>
      <c r="K92" s="208">
        <v>13604</v>
      </c>
      <c r="L92" s="208">
        <v>38017</v>
      </c>
      <c r="M92" s="203">
        <v>0</v>
      </c>
      <c r="N92" s="208">
        <v>1324</v>
      </c>
      <c r="O92" s="208">
        <v>52945</v>
      </c>
      <c r="P92" s="208">
        <v>22008</v>
      </c>
      <c r="Q92" s="207">
        <v>1678</v>
      </c>
      <c r="R92" s="208">
        <v>8980</v>
      </c>
      <c r="S92" s="208">
        <v>25096</v>
      </c>
      <c r="T92" s="203">
        <v>0</v>
      </c>
      <c r="U92" s="203">
        <v>0</v>
      </c>
      <c r="V92" s="208">
        <v>34076</v>
      </c>
      <c r="W92" s="203">
        <v>0</v>
      </c>
      <c r="X92" s="208">
        <v>87021</v>
      </c>
      <c r="Y92" s="208">
        <v>22008</v>
      </c>
      <c r="Z92" s="208">
        <v>109029</v>
      </c>
      <c r="AA92" s="208">
        <v>3382</v>
      </c>
      <c r="AB92" s="208">
        <v>0</v>
      </c>
      <c r="AC92" s="208">
        <v>112411</v>
      </c>
      <c r="AD92" s="209">
        <v>26.637677725118483</v>
      </c>
    </row>
    <row r="93" spans="1:30" ht="13.5" thickBot="1" x14ac:dyDescent="0.25">
      <c r="A93" s="48" t="s">
        <v>366</v>
      </c>
      <c r="B93" s="47" t="s">
        <v>365</v>
      </c>
      <c r="C93" s="48" t="s">
        <v>17</v>
      </c>
      <c r="D93" s="48" t="s">
        <v>1973</v>
      </c>
      <c r="E93" s="129" t="s">
        <v>15</v>
      </c>
      <c r="F93" s="129" t="s">
        <v>16</v>
      </c>
      <c r="G93" s="108">
        <v>4610</v>
      </c>
      <c r="H93" s="87" t="s">
        <v>1649</v>
      </c>
      <c r="I93" s="205">
        <v>0</v>
      </c>
      <c r="J93" s="207">
        <v>4610</v>
      </c>
      <c r="K93" s="208">
        <v>28656</v>
      </c>
      <c r="L93" s="208">
        <v>111089</v>
      </c>
      <c r="M93" s="208">
        <v>0</v>
      </c>
      <c r="N93" s="208">
        <v>0</v>
      </c>
      <c r="O93" s="208">
        <v>139745</v>
      </c>
      <c r="P93" s="208">
        <v>5351</v>
      </c>
      <c r="Q93" s="210">
        <v>0</v>
      </c>
      <c r="R93" s="203">
        <v>0</v>
      </c>
      <c r="S93" s="203">
        <v>0</v>
      </c>
      <c r="T93" s="203">
        <v>0</v>
      </c>
      <c r="U93" s="203">
        <v>0</v>
      </c>
      <c r="V93" s="203">
        <v>0</v>
      </c>
      <c r="W93" s="203">
        <v>0</v>
      </c>
      <c r="X93" s="208">
        <v>139745</v>
      </c>
      <c r="Y93" s="208">
        <v>5351</v>
      </c>
      <c r="Z93" s="208">
        <v>145096</v>
      </c>
      <c r="AA93" s="208">
        <v>3695</v>
      </c>
      <c r="AB93" s="208">
        <v>0</v>
      </c>
      <c r="AC93" s="208">
        <v>148791</v>
      </c>
      <c r="AD93" s="209">
        <v>32.275704989154015</v>
      </c>
    </row>
    <row r="94" spans="1:30" ht="13.5" thickBot="1" x14ac:dyDescent="0.25">
      <c r="A94" s="48" t="s">
        <v>372</v>
      </c>
      <c r="B94" s="47" t="s">
        <v>371</v>
      </c>
      <c r="C94" s="48" t="s">
        <v>17</v>
      </c>
      <c r="D94" s="48" t="s">
        <v>1984</v>
      </c>
      <c r="E94" s="129" t="s">
        <v>253</v>
      </c>
      <c r="F94" s="129" t="s">
        <v>254</v>
      </c>
      <c r="G94" s="108">
        <v>5531</v>
      </c>
      <c r="H94" s="87" t="s">
        <v>1649</v>
      </c>
      <c r="I94" s="205">
        <v>0</v>
      </c>
      <c r="J94" s="207">
        <v>1328</v>
      </c>
      <c r="K94" s="208">
        <v>10942</v>
      </c>
      <c r="L94" s="208">
        <v>23424</v>
      </c>
      <c r="M94" s="203">
        <v>0</v>
      </c>
      <c r="N94" s="203">
        <v>0</v>
      </c>
      <c r="O94" s="208">
        <v>34366</v>
      </c>
      <c r="P94" s="208">
        <v>34986</v>
      </c>
      <c r="Q94" s="207">
        <v>4203</v>
      </c>
      <c r="R94" s="208">
        <v>23126</v>
      </c>
      <c r="S94" s="208">
        <v>43763</v>
      </c>
      <c r="T94" s="203">
        <v>0</v>
      </c>
      <c r="U94" s="203">
        <v>0</v>
      </c>
      <c r="V94" s="208">
        <v>66889</v>
      </c>
      <c r="W94" s="203">
        <v>0</v>
      </c>
      <c r="X94" s="208">
        <v>101255</v>
      </c>
      <c r="Y94" s="208">
        <v>34986</v>
      </c>
      <c r="Z94" s="208">
        <v>136241</v>
      </c>
      <c r="AA94" s="208">
        <v>4433</v>
      </c>
      <c r="AB94" s="208">
        <v>0</v>
      </c>
      <c r="AC94" s="208">
        <v>140674</v>
      </c>
      <c r="AD94" s="209">
        <v>25.433737118061835</v>
      </c>
    </row>
    <row r="95" spans="1:30" ht="13.5" thickBot="1" x14ac:dyDescent="0.25">
      <c r="A95" s="48" t="s">
        <v>376</v>
      </c>
      <c r="B95" s="47" t="s">
        <v>375</v>
      </c>
      <c r="C95" s="48" t="s">
        <v>17</v>
      </c>
      <c r="D95" s="48" t="s">
        <v>1947</v>
      </c>
      <c r="E95" s="129" t="s">
        <v>101</v>
      </c>
      <c r="F95" s="129" t="s">
        <v>102</v>
      </c>
      <c r="G95" s="108">
        <v>5107</v>
      </c>
      <c r="H95" s="87" t="s">
        <v>1649</v>
      </c>
      <c r="I95" s="205">
        <v>0</v>
      </c>
      <c r="J95" s="207">
        <v>4978</v>
      </c>
      <c r="K95" s="208">
        <v>9937</v>
      </c>
      <c r="L95" s="208">
        <v>116532</v>
      </c>
      <c r="M95" s="203">
        <v>0</v>
      </c>
      <c r="N95" s="208">
        <v>5295</v>
      </c>
      <c r="O95" s="208">
        <v>131764</v>
      </c>
      <c r="P95" s="208">
        <v>7112</v>
      </c>
      <c r="Q95" s="207">
        <v>129</v>
      </c>
      <c r="R95" s="203">
        <v>0</v>
      </c>
      <c r="S95" s="203">
        <v>0</v>
      </c>
      <c r="T95" s="203">
        <v>0</v>
      </c>
      <c r="U95" s="203">
        <v>0</v>
      </c>
      <c r="V95" s="203">
        <v>0</v>
      </c>
      <c r="W95" s="203">
        <v>0</v>
      </c>
      <c r="X95" s="208">
        <v>131764</v>
      </c>
      <c r="Y95" s="208">
        <v>7112</v>
      </c>
      <c r="Z95" s="208">
        <v>138876</v>
      </c>
      <c r="AA95" s="208">
        <v>4088</v>
      </c>
      <c r="AB95" s="208">
        <v>0</v>
      </c>
      <c r="AC95" s="208">
        <v>142964</v>
      </c>
      <c r="AD95" s="209">
        <v>27.99373409046407</v>
      </c>
    </row>
    <row r="96" spans="1:30" ht="13.5" thickBot="1" x14ac:dyDescent="0.25">
      <c r="A96" s="48" t="s">
        <v>382</v>
      </c>
      <c r="B96" s="47" t="s">
        <v>381</v>
      </c>
      <c r="C96" s="48" t="s">
        <v>17</v>
      </c>
      <c r="D96" s="48" t="s">
        <v>2334</v>
      </c>
      <c r="E96" s="129" t="s">
        <v>15</v>
      </c>
      <c r="F96" s="129" t="s">
        <v>16</v>
      </c>
      <c r="G96" s="108">
        <v>5784</v>
      </c>
      <c r="H96" s="87" t="s">
        <v>1649</v>
      </c>
      <c r="I96" s="205">
        <v>0</v>
      </c>
      <c r="J96" s="207">
        <v>5784</v>
      </c>
      <c r="K96" s="208">
        <v>13227</v>
      </c>
      <c r="L96" s="208">
        <v>0</v>
      </c>
      <c r="M96" s="203">
        <v>0</v>
      </c>
      <c r="N96" s="208">
        <v>188969</v>
      </c>
      <c r="O96" s="208">
        <v>202196</v>
      </c>
      <c r="P96" s="208">
        <v>44636</v>
      </c>
      <c r="Q96" s="210">
        <v>0</v>
      </c>
      <c r="R96" s="203">
        <v>0</v>
      </c>
      <c r="S96" s="203">
        <v>0</v>
      </c>
      <c r="T96" s="203">
        <v>0</v>
      </c>
      <c r="U96" s="203">
        <v>0</v>
      </c>
      <c r="V96" s="203">
        <v>0</v>
      </c>
      <c r="W96" s="203">
        <v>0</v>
      </c>
      <c r="X96" s="208">
        <v>202196</v>
      </c>
      <c r="Y96" s="208">
        <v>44636</v>
      </c>
      <c r="Z96" s="208">
        <v>246832</v>
      </c>
      <c r="AA96" s="208">
        <v>4636</v>
      </c>
      <c r="AB96" s="208">
        <v>0</v>
      </c>
      <c r="AC96" s="208">
        <v>251468</v>
      </c>
      <c r="AD96" s="209">
        <v>43.476486860304284</v>
      </c>
    </row>
    <row r="97" spans="1:30" ht="13.5" thickBot="1" x14ac:dyDescent="0.25">
      <c r="A97" s="48" t="s">
        <v>388</v>
      </c>
      <c r="B97" s="47" t="s">
        <v>387</v>
      </c>
      <c r="C97" s="48" t="s">
        <v>17</v>
      </c>
      <c r="D97" s="48" t="s">
        <v>2072</v>
      </c>
      <c r="E97" s="129" t="s">
        <v>20</v>
      </c>
      <c r="F97" s="129" t="s">
        <v>21</v>
      </c>
      <c r="G97" s="108">
        <v>5713</v>
      </c>
      <c r="H97" s="87" t="s">
        <v>1648</v>
      </c>
      <c r="I97" s="205">
        <v>20000</v>
      </c>
      <c r="J97" s="207">
        <v>5387</v>
      </c>
      <c r="K97" s="208">
        <v>26161</v>
      </c>
      <c r="L97" s="208">
        <v>90956</v>
      </c>
      <c r="M97" s="208">
        <v>481</v>
      </c>
      <c r="N97" s="208">
        <v>346</v>
      </c>
      <c r="O97" s="208">
        <v>117944</v>
      </c>
      <c r="P97" s="208">
        <v>35739</v>
      </c>
      <c r="Q97" s="207">
        <v>326</v>
      </c>
      <c r="R97" s="208">
        <v>1583</v>
      </c>
      <c r="S97" s="203">
        <v>0</v>
      </c>
      <c r="T97" s="203">
        <v>0</v>
      </c>
      <c r="U97" s="208">
        <v>1000</v>
      </c>
      <c r="V97" s="208">
        <v>2583</v>
      </c>
      <c r="W97" s="203">
        <v>0</v>
      </c>
      <c r="X97" s="208">
        <v>120527</v>
      </c>
      <c r="Y97" s="208">
        <v>35739</v>
      </c>
      <c r="Z97" s="208">
        <v>156266</v>
      </c>
      <c r="AA97" s="208">
        <v>4579</v>
      </c>
      <c r="AB97" s="208">
        <v>0</v>
      </c>
      <c r="AC97" s="208">
        <v>160845</v>
      </c>
      <c r="AD97" s="209">
        <v>28.154209697181866</v>
      </c>
    </row>
    <row r="98" spans="1:30" ht="13.5" thickBot="1" x14ac:dyDescent="0.25">
      <c r="A98" s="48" t="s">
        <v>392</v>
      </c>
      <c r="B98" s="47" t="s">
        <v>391</v>
      </c>
      <c r="C98" s="48" t="s">
        <v>17</v>
      </c>
      <c r="D98" s="48" t="s">
        <v>1973</v>
      </c>
      <c r="E98" s="129" t="s">
        <v>20</v>
      </c>
      <c r="F98" s="129" t="s">
        <v>21</v>
      </c>
      <c r="G98" s="108">
        <v>6443</v>
      </c>
      <c r="H98" s="87" t="s">
        <v>1649</v>
      </c>
      <c r="I98" s="205">
        <v>0</v>
      </c>
      <c r="J98" s="207">
        <v>2629</v>
      </c>
      <c r="K98" s="208">
        <v>19697</v>
      </c>
      <c r="L98" s="203">
        <v>0</v>
      </c>
      <c r="M98" s="208">
        <v>0</v>
      </c>
      <c r="N98" s="208">
        <v>5164</v>
      </c>
      <c r="O98" s="208">
        <v>24861</v>
      </c>
      <c r="P98" s="208">
        <v>42092</v>
      </c>
      <c r="Q98" s="207">
        <v>3814</v>
      </c>
      <c r="R98" s="208">
        <v>2105</v>
      </c>
      <c r="S98" s="203">
        <v>0</v>
      </c>
      <c r="T98" s="203">
        <v>0</v>
      </c>
      <c r="U98" s="208">
        <v>7200</v>
      </c>
      <c r="V98" s="208">
        <v>9305</v>
      </c>
      <c r="W98" s="203">
        <v>0</v>
      </c>
      <c r="X98" s="208">
        <v>34166</v>
      </c>
      <c r="Y98" s="208">
        <v>42092</v>
      </c>
      <c r="Z98" s="208">
        <v>76258</v>
      </c>
      <c r="AA98" s="208">
        <v>0</v>
      </c>
      <c r="AB98" s="208">
        <v>0</v>
      </c>
      <c r="AC98" s="208">
        <v>76258</v>
      </c>
      <c r="AD98" s="209">
        <v>11.835790780692225</v>
      </c>
    </row>
    <row r="99" spans="1:30" ht="13.5" thickBot="1" x14ac:dyDescent="0.25">
      <c r="A99" s="48" t="s">
        <v>396</v>
      </c>
      <c r="B99" s="47" t="s">
        <v>395</v>
      </c>
      <c r="C99" s="48" t="s">
        <v>17</v>
      </c>
      <c r="D99" s="48" t="s">
        <v>2122</v>
      </c>
      <c r="E99" s="129" t="s">
        <v>20</v>
      </c>
      <c r="F99" s="129" t="s">
        <v>21</v>
      </c>
      <c r="G99" s="108">
        <v>4080</v>
      </c>
      <c r="H99" s="87" t="s">
        <v>1649</v>
      </c>
      <c r="I99" s="205">
        <v>0</v>
      </c>
      <c r="J99" s="207">
        <v>3581</v>
      </c>
      <c r="K99" s="208">
        <v>17262</v>
      </c>
      <c r="L99" s="208">
        <v>0</v>
      </c>
      <c r="M99" s="208">
        <v>0</v>
      </c>
      <c r="N99" s="208">
        <v>2845</v>
      </c>
      <c r="O99" s="208">
        <v>20107</v>
      </c>
      <c r="P99" s="208">
        <v>19587</v>
      </c>
      <c r="Q99" s="207">
        <v>499</v>
      </c>
      <c r="R99" s="208">
        <v>2579</v>
      </c>
      <c r="S99" s="208">
        <v>0</v>
      </c>
      <c r="T99" s="208">
        <v>0</v>
      </c>
      <c r="U99" s="208">
        <v>426</v>
      </c>
      <c r="V99" s="208">
        <v>3005</v>
      </c>
      <c r="W99" s="208">
        <v>2927</v>
      </c>
      <c r="X99" s="208">
        <v>23112</v>
      </c>
      <c r="Y99" s="208">
        <v>22514</v>
      </c>
      <c r="Z99" s="208">
        <v>45626</v>
      </c>
      <c r="AA99" s="208">
        <v>3270</v>
      </c>
      <c r="AB99" s="208">
        <v>0</v>
      </c>
      <c r="AC99" s="208">
        <v>48896</v>
      </c>
      <c r="AD99" s="209">
        <v>11.984313725490196</v>
      </c>
    </row>
    <row r="100" spans="1:30" ht="13.5" thickBot="1" x14ac:dyDescent="0.25">
      <c r="A100" s="48" t="s">
        <v>398</v>
      </c>
      <c r="B100" s="47" t="s">
        <v>397</v>
      </c>
      <c r="C100" s="48" t="s">
        <v>17</v>
      </c>
      <c r="D100" s="48" t="s">
        <v>2134</v>
      </c>
      <c r="E100" s="129" t="s">
        <v>15</v>
      </c>
      <c r="F100" s="129" t="s">
        <v>16</v>
      </c>
      <c r="G100" s="108">
        <v>5210</v>
      </c>
      <c r="H100" s="87" t="s">
        <v>1649</v>
      </c>
      <c r="I100" s="205">
        <v>0</v>
      </c>
      <c r="J100" s="207">
        <v>3326</v>
      </c>
      <c r="K100" s="208">
        <v>9023</v>
      </c>
      <c r="L100" s="208">
        <v>98026</v>
      </c>
      <c r="M100" s="203">
        <v>0</v>
      </c>
      <c r="N100" s="208">
        <v>9714</v>
      </c>
      <c r="O100" s="208">
        <v>116763</v>
      </c>
      <c r="P100" s="208">
        <v>30382</v>
      </c>
      <c r="Q100" s="207">
        <v>1884</v>
      </c>
      <c r="R100" s="208">
        <v>5112</v>
      </c>
      <c r="S100" s="203">
        <v>0</v>
      </c>
      <c r="T100" s="203">
        <v>0</v>
      </c>
      <c r="U100" s="208">
        <v>1000</v>
      </c>
      <c r="V100" s="208">
        <v>6112</v>
      </c>
      <c r="W100" s="203">
        <v>0</v>
      </c>
      <c r="X100" s="208">
        <v>122875</v>
      </c>
      <c r="Y100" s="208">
        <v>30382</v>
      </c>
      <c r="Z100" s="208">
        <v>153257</v>
      </c>
      <c r="AA100" s="208">
        <v>4176</v>
      </c>
      <c r="AB100" s="208">
        <v>0</v>
      </c>
      <c r="AC100" s="208">
        <v>157433</v>
      </c>
      <c r="AD100" s="209">
        <v>30.21746641074856</v>
      </c>
    </row>
    <row r="101" spans="1:30" ht="13.5" thickBot="1" x14ac:dyDescent="0.25">
      <c r="A101" s="48" t="s">
        <v>400</v>
      </c>
      <c r="B101" s="47" t="s">
        <v>399</v>
      </c>
      <c r="C101" s="48" t="s">
        <v>17</v>
      </c>
      <c r="D101" s="48" t="s">
        <v>2045</v>
      </c>
      <c r="E101" s="129" t="s">
        <v>20</v>
      </c>
      <c r="F101" s="129" t="s">
        <v>21</v>
      </c>
      <c r="G101" s="108">
        <v>6997</v>
      </c>
      <c r="H101" s="87" t="s">
        <v>1648</v>
      </c>
      <c r="I101" s="205">
        <v>1200</v>
      </c>
      <c r="J101" s="207">
        <v>6752</v>
      </c>
      <c r="K101" s="208">
        <v>23583</v>
      </c>
      <c r="L101" s="208">
        <v>321604</v>
      </c>
      <c r="M101" s="203">
        <v>0</v>
      </c>
      <c r="N101" s="208">
        <v>16348</v>
      </c>
      <c r="O101" s="208">
        <v>361535</v>
      </c>
      <c r="P101" s="208">
        <v>12488</v>
      </c>
      <c r="Q101" s="207">
        <v>245</v>
      </c>
      <c r="R101" s="208">
        <v>855</v>
      </c>
      <c r="S101" s="203">
        <v>0</v>
      </c>
      <c r="T101" s="203">
        <v>0</v>
      </c>
      <c r="U101" s="203">
        <v>0</v>
      </c>
      <c r="V101" s="208">
        <v>855</v>
      </c>
      <c r="W101" s="203">
        <v>0</v>
      </c>
      <c r="X101" s="208">
        <v>362390</v>
      </c>
      <c r="Y101" s="208">
        <v>12488</v>
      </c>
      <c r="Z101" s="208">
        <v>374878</v>
      </c>
      <c r="AA101" s="208">
        <v>16348</v>
      </c>
      <c r="AB101" s="208">
        <v>0</v>
      </c>
      <c r="AC101" s="208">
        <v>391226</v>
      </c>
      <c r="AD101" s="209">
        <v>55.91339145348006</v>
      </c>
    </row>
    <row r="102" spans="1:30" ht="13.5" thickBot="1" x14ac:dyDescent="0.25">
      <c r="A102" s="48" t="s">
        <v>414</v>
      </c>
      <c r="B102" s="47" t="s">
        <v>413</v>
      </c>
      <c r="C102" s="48" t="s">
        <v>17</v>
      </c>
      <c r="D102" s="48" t="s">
        <v>2002</v>
      </c>
      <c r="E102" s="129" t="s">
        <v>253</v>
      </c>
      <c r="F102" s="129" t="s">
        <v>415</v>
      </c>
      <c r="G102" s="108">
        <v>4168</v>
      </c>
      <c r="H102" s="87" t="s">
        <v>1648</v>
      </c>
      <c r="I102" s="205">
        <v>20086</v>
      </c>
      <c r="J102" s="207">
        <v>3778</v>
      </c>
      <c r="K102" s="208">
        <v>25503</v>
      </c>
      <c r="L102" s="208">
        <v>284142</v>
      </c>
      <c r="M102" s="203">
        <v>0</v>
      </c>
      <c r="N102" s="203">
        <v>0</v>
      </c>
      <c r="O102" s="208">
        <v>309645</v>
      </c>
      <c r="P102" s="208">
        <v>32141</v>
      </c>
      <c r="Q102" s="207">
        <v>390</v>
      </c>
      <c r="R102" s="203">
        <v>0</v>
      </c>
      <c r="S102" s="203">
        <v>0</v>
      </c>
      <c r="T102" s="203">
        <v>0</v>
      </c>
      <c r="U102" s="203">
        <v>0</v>
      </c>
      <c r="V102" s="203">
        <v>0</v>
      </c>
      <c r="W102" s="203">
        <v>0</v>
      </c>
      <c r="X102" s="208">
        <v>309645</v>
      </c>
      <c r="Y102" s="208">
        <v>32141</v>
      </c>
      <c r="Z102" s="208">
        <v>341786</v>
      </c>
      <c r="AA102" s="208">
        <v>3340</v>
      </c>
      <c r="AB102" s="208">
        <v>0</v>
      </c>
      <c r="AC102" s="208">
        <v>345126</v>
      </c>
      <c r="AD102" s="209">
        <v>82.803742802303262</v>
      </c>
    </row>
    <row r="103" spans="1:30" ht="13.5" thickBot="1" x14ac:dyDescent="0.25">
      <c r="A103" s="48" t="s">
        <v>427</v>
      </c>
      <c r="B103" s="47" t="s">
        <v>426</v>
      </c>
      <c r="C103" s="48" t="s">
        <v>17</v>
      </c>
      <c r="D103" s="48" t="s">
        <v>1973</v>
      </c>
      <c r="E103" s="129" t="s">
        <v>61</v>
      </c>
      <c r="F103" s="129" t="s">
        <v>62</v>
      </c>
      <c r="G103" s="108">
        <v>4934</v>
      </c>
      <c r="H103" s="87" t="s">
        <v>1648</v>
      </c>
      <c r="I103" s="205">
        <v>9500</v>
      </c>
      <c r="J103" s="207">
        <v>4934</v>
      </c>
      <c r="K103" s="208">
        <v>29112</v>
      </c>
      <c r="L103" s="208">
        <v>255685</v>
      </c>
      <c r="M103" s="203">
        <v>0</v>
      </c>
      <c r="N103" s="208">
        <v>6448</v>
      </c>
      <c r="O103" s="208">
        <v>291245</v>
      </c>
      <c r="P103" s="208">
        <v>11072</v>
      </c>
      <c r="Q103" s="210">
        <v>0</v>
      </c>
      <c r="R103" s="203">
        <v>0</v>
      </c>
      <c r="S103" s="203">
        <v>0</v>
      </c>
      <c r="T103" s="203">
        <v>0</v>
      </c>
      <c r="U103" s="203">
        <v>0</v>
      </c>
      <c r="V103" s="203">
        <v>0</v>
      </c>
      <c r="W103" s="203">
        <v>0</v>
      </c>
      <c r="X103" s="208">
        <v>291245</v>
      </c>
      <c r="Y103" s="208">
        <v>11072</v>
      </c>
      <c r="Z103" s="208">
        <v>302317</v>
      </c>
      <c r="AA103" s="208">
        <v>3954</v>
      </c>
      <c r="AB103" s="208">
        <v>5583</v>
      </c>
      <c r="AC103" s="208">
        <v>311854</v>
      </c>
      <c r="AD103" s="209">
        <v>63.205107417916494</v>
      </c>
    </row>
    <row r="104" spans="1:30" ht="13.5" thickBot="1" x14ac:dyDescent="0.25">
      <c r="A104" s="48" t="s">
        <v>429</v>
      </c>
      <c r="B104" s="47" t="s">
        <v>428</v>
      </c>
      <c r="C104" s="48" t="s">
        <v>17</v>
      </c>
      <c r="D104" s="48" t="s">
        <v>2393</v>
      </c>
      <c r="E104" s="129" t="s">
        <v>61</v>
      </c>
      <c r="F104" s="129" t="s">
        <v>62</v>
      </c>
      <c r="G104" s="108">
        <v>5857</v>
      </c>
      <c r="H104" s="87" t="s">
        <v>1649</v>
      </c>
      <c r="I104" s="205">
        <v>0</v>
      </c>
      <c r="J104" s="207">
        <v>2043</v>
      </c>
      <c r="K104" s="208">
        <v>3154</v>
      </c>
      <c r="L104" s="208">
        <v>181630</v>
      </c>
      <c r="M104" s="208">
        <v>0</v>
      </c>
      <c r="N104" s="208">
        <v>0</v>
      </c>
      <c r="O104" s="208">
        <v>184784</v>
      </c>
      <c r="P104" s="208">
        <v>54683</v>
      </c>
      <c r="Q104" s="207">
        <v>3814</v>
      </c>
      <c r="R104" s="208">
        <v>5889</v>
      </c>
      <c r="S104" s="203">
        <v>0</v>
      </c>
      <c r="T104" s="203">
        <v>0</v>
      </c>
      <c r="U104" s="203">
        <v>0</v>
      </c>
      <c r="V104" s="208">
        <v>5889</v>
      </c>
      <c r="W104" s="203">
        <v>0</v>
      </c>
      <c r="X104" s="208">
        <v>190673</v>
      </c>
      <c r="Y104" s="208">
        <v>54683</v>
      </c>
      <c r="Z104" s="208">
        <v>245356</v>
      </c>
      <c r="AA104" s="208">
        <v>4695</v>
      </c>
      <c r="AB104" s="208">
        <v>0</v>
      </c>
      <c r="AC104" s="208">
        <v>250051</v>
      </c>
      <c r="AD104" s="209">
        <v>42.692675431108078</v>
      </c>
    </row>
    <row r="105" spans="1:30" ht="13.5" thickBot="1" x14ac:dyDescent="0.25">
      <c r="A105" s="48" t="s">
        <v>450</v>
      </c>
      <c r="B105" s="47" t="s">
        <v>449</v>
      </c>
      <c r="C105" s="48" t="s">
        <v>17</v>
      </c>
      <c r="D105" s="48" t="s">
        <v>2105</v>
      </c>
      <c r="E105" s="129" t="s">
        <v>61</v>
      </c>
      <c r="F105" s="129" t="s">
        <v>62</v>
      </c>
      <c r="G105" s="108">
        <v>4141</v>
      </c>
      <c r="H105" s="87" t="s">
        <v>1649</v>
      </c>
      <c r="I105" s="205">
        <v>0</v>
      </c>
      <c r="J105" s="207">
        <v>1844</v>
      </c>
      <c r="K105" s="208">
        <v>8141</v>
      </c>
      <c r="L105" s="208">
        <v>56452</v>
      </c>
      <c r="M105" s="203">
        <v>0</v>
      </c>
      <c r="N105" s="208">
        <v>2500</v>
      </c>
      <c r="O105" s="208">
        <v>67093</v>
      </c>
      <c r="P105" s="208">
        <v>17129</v>
      </c>
      <c r="Q105" s="207">
        <v>2297</v>
      </c>
      <c r="R105" s="208">
        <v>10141</v>
      </c>
      <c r="S105" s="203">
        <v>0</v>
      </c>
      <c r="T105" s="203">
        <v>0</v>
      </c>
      <c r="U105" s="203">
        <v>0</v>
      </c>
      <c r="V105" s="208">
        <v>10141</v>
      </c>
      <c r="W105" s="203">
        <v>0</v>
      </c>
      <c r="X105" s="208">
        <v>77234</v>
      </c>
      <c r="Y105" s="208">
        <v>17129</v>
      </c>
      <c r="Z105" s="208">
        <v>94363</v>
      </c>
      <c r="AA105" s="208">
        <v>3319</v>
      </c>
      <c r="AB105" s="208">
        <v>0</v>
      </c>
      <c r="AC105" s="208">
        <v>97682</v>
      </c>
      <c r="AD105" s="209">
        <v>23.588988167109395</v>
      </c>
    </row>
    <row r="106" spans="1:30" ht="13.5" thickBot="1" x14ac:dyDescent="0.25">
      <c r="A106" s="48" t="s">
        <v>456</v>
      </c>
      <c r="B106" s="47" t="s">
        <v>455</v>
      </c>
      <c r="C106" s="48" t="s">
        <v>17</v>
      </c>
      <c r="D106" s="48" t="s">
        <v>2316</v>
      </c>
      <c r="E106" s="129" t="s">
        <v>253</v>
      </c>
      <c r="F106" s="129" t="s">
        <v>254</v>
      </c>
      <c r="G106" s="108">
        <v>4197</v>
      </c>
      <c r="H106" s="87" t="s">
        <v>1648</v>
      </c>
      <c r="I106" s="205">
        <v>3234</v>
      </c>
      <c r="J106" s="207">
        <v>872</v>
      </c>
      <c r="K106" s="208">
        <v>4467</v>
      </c>
      <c r="L106" s="208">
        <v>11421</v>
      </c>
      <c r="M106" s="208">
        <v>0</v>
      </c>
      <c r="N106" s="208">
        <v>0</v>
      </c>
      <c r="O106" s="208">
        <v>15888</v>
      </c>
      <c r="P106" s="208">
        <v>8681</v>
      </c>
      <c r="Q106" s="207">
        <v>3325</v>
      </c>
      <c r="R106" s="208">
        <v>19342</v>
      </c>
      <c r="S106" s="208">
        <v>0</v>
      </c>
      <c r="T106" s="208">
        <v>0</v>
      </c>
      <c r="U106" s="208">
        <v>2716</v>
      </c>
      <c r="V106" s="208">
        <v>22058</v>
      </c>
      <c r="W106" s="208">
        <v>0</v>
      </c>
      <c r="X106" s="208">
        <v>37946</v>
      </c>
      <c r="Y106" s="208">
        <v>8681</v>
      </c>
      <c r="Z106" s="208">
        <v>46627</v>
      </c>
      <c r="AA106" s="208">
        <v>3364</v>
      </c>
      <c r="AB106" s="208">
        <v>0</v>
      </c>
      <c r="AC106" s="208">
        <v>49991</v>
      </c>
      <c r="AD106" s="209">
        <v>11.911126995472957</v>
      </c>
    </row>
    <row r="107" spans="1:30" ht="13.5" thickBot="1" x14ac:dyDescent="0.25">
      <c r="A107" s="48" t="s">
        <v>462</v>
      </c>
      <c r="B107" s="47" t="s">
        <v>461</v>
      </c>
      <c r="C107" s="48" t="s">
        <v>17</v>
      </c>
      <c r="D107" s="48" t="s">
        <v>1958</v>
      </c>
      <c r="E107" s="129" t="s">
        <v>20</v>
      </c>
      <c r="F107" s="129" t="s">
        <v>21</v>
      </c>
      <c r="G107" s="108">
        <v>5068</v>
      </c>
      <c r="H107" s="87" t="s">
        <v>1649</v>
      </c>
      <c r="I107" s="205">
        <v>0</v>
      </c>
      <c r="J107" s="207">
        <v>2579</v>
      </c>
      <c r="K107" s="208">
        <v>12926</v>
      </c>
      <c r="L107" s="208">
        <v>120384</v>
      </c>
      <c r="M107" s="203">
        <v>0</v>
      </c>
      <c r="N107" s="208">
        <v>1538</v>
      </c>
      <c r="O107" s="208">
        <v>134848</v>
      </c>
      <c r="P107" s="208">
        <v>0</v>
      </c>
      <c r="Q107" s="207">
        <v>2489</v>
      </c>
      <c r="R107" s="208">
        <v>12057</v>
      </c>
      <c r="S107" s="208">
        <v>0</v>
      </c>
      <c r="T107" s="208">
        <v>6763</v>
      </c>
      <c r="U107" s="203">
        <v>0</v>
      </c>
      <c r="V107" s="208">
        <v>18820</v>
      </c>
      <c r="W107" s="203">
        <v>0</v>
      </c>
      <c r="X107" s="208">
        <v>153668</v>
      </c>
      <c r="Y107" s="208">
        <v>0</v>
      </c>
      <c r="Z107" s="208">
        <v>153668</v>
      </c>
      <c r="AA107" s="208">
        <v>12984</v>
      </c>
      <c r="AB107" s="208">
        <v>0</v>
      </c>
      <c r="AC107" s="208">
        <v>166652</v>
      </c>
      <c r="AD107" s="209">
        <v>32.883188634569848</v>
      </c>
    </row>
    <row r="108" spans="1:30" ht="13.5" thickBot="1" x14ac:dyDescent="0.25">
      <c r="A108" s="48" t="s">
        <v>466</v>
      </c>
      <c r="B108" s="47" t="s">
        <v>465</v>
      </c>
      <c r="C108" s="48" t="s">
        <v>17</v>
      </c>
      <c r="D108" s="48" t="s">
        <v>1969</v>
      </c>
      <c r="E108" s="129" t="s">
        <v>61</v>
      </c>
      <c r="F108" s="129" t="s">
        <v>62</v>
      </c>
      <c r="G108" s="108">
        <v>4968</v>
      </c>
      <c r="H108" s="87" t="s">
        <v>1649</v>
      </c>
      <c r="I108" s="205">
        <v>0</v>
      </c>
      <c r="J108" s="207">
        <v>4400</v>
      </c>
      <c r="K108" s="208">
        <v>11369</v>
      </c>
      <c r="L108" s="203">
        <v>0</v>
      </c>
      <c r="M108" s="203">
        <v>0</v>
      </c>
      <c r="N108" s="208">
        <v>65466</v>
      </c>
      <c r="O108" s="208">
        <v>76835</v>
      </c>
      <c r="P108" s="208">
        <v>2230</v>
      </c>
      <c r="Q108" s="207">
        <v>568</v>
      </c>
      <c r="R108" s="208">
        <v>1299</v>
      </c>
      <c r="S108" s="203">
        <v>0</v>
      </c>
      <c r="T108" s="203">
        <v>0</v>
      </c>
      <c r="U108" s="208">
        <v>4000</v>
      </c>
      <c r="V108" s="208">
        <v>5299</v>
      </c>
      <c r="W108" s="203">
        <v>0</v>
      </c>
      <c r="X108" s="208">
        <v>82134</v>
      </c>
      <c r="Y108" s="208">
        <v>2230</v>
      </c>
      <c r="Z108" s="208">
        <v>84364</v>
      </c>
      <c r="AA108" s="208">
        <v>3982</v>
      </c>
      <c r="AB108" s="208">
        <v>0</v>
      </c>
      <c r="AC108" s="208">
        <v>88346</v>
      </c>
      <c r="AD108" s="209">
        <v>17.783011272141707</v>
      </c>
    </row>
    <row r="109" spans="1:30" ht="13.5" thickBot="1" x14ac:dyDescent="0.25">
      <c r="A109" s="48" t="s">
        <v>478</v>
      </c>
      <c r="B109" s="47" t="s">
        <v>477</v>
      </c>
      <c r="C109" s="48" t="s">
        <v>17</v>
      </c>
      <c r="D109" s="48" t="s">
        <v>2152</v>
      </c>
      <c r="E109" s="129" t="s">
        <v>20</v>
      </c>
      <c r="F109" s="129" t="s">
        <v>21</v>
      </c>
      <c r="G109" s="108">
        <v>4101</v>
      </c>
      <c r="H109" s="87" t="s">
        <v>1649</v>
      </c>
      <c r="I109" s="205">
        <v>0</v>
      </c>
      <c r="J109" s="207">
        <v>2539</v>
      </c>
      <c r="K109" s="208">
        <v>9433</v>
      </c>
      <c r="L109" s="208">
        <v>181733</v>
      </c>
      <c r="M109" s="208">
        <v>0</v>
      </c>
      <c r="N109" s="208">
        <v>0</v>
      </c>
      <c r="O109" s="208">
        <v>191166</v>
      </c>
      <c r="P109" s="208">
        <v>20849</v>
      </c>
      <c r="Q109" s="207">
        <v>1562</v>
      </c>
      <c r="R109" s="208">
        <v>4230</v>
      </c>
      <c r="S109" s="208">
        <v>0</v>
      </c>
      <c r="T109" s="208">
        <v>0</v>
      </c>
      <c r="U109" s="208">
        <v>0</v>
      </c>
      <c r="V109" s="208">
        <v>4230</v>
      </c>
      <c r="W109" s="208">
        <v>0</v>
      </c>
      <c r="X109" s="208">
        <v>195396</v>
      </c>
      <c r="Y109" s="208">
        <v>20849</v>
      </c>
      <c r="Z109" s="208">
        <v>216245</v>
      </c>
      <c r="AA109" s="208">
        <v>6487</v>
      </c>
      <c r="AB109" s="208">
        <v>0</v>
      </c>
      <c r="AC109" s="208">
        <v>222732</v>
      </c>
      <c r="AD109" s="209">
        <v>54.31163130943672</v>
      </c>
    </row>
    <row r="110" spans="1:30" ht="13.5" thickBot="1" x14ac:dyDescent="0.25">
      <c r="A110" s="48" t="s">
        <v>480</v>
      </c>
      <c r="B110" s="47" t="s">
        <v>479</v>
      </c>
      <c r="C110" s="48" t="s">
        <v>17</v>
      </c>
      <c r="D110" s="48" t="s">
        <v>1953</v>
      </c>
      <c r="E110" s="129" t="s">
        <v>61</v>
      </c>
      <c r="F110" s="129" t="s">
        <v>62</v>
      </c>
      <c r="G110" s="108">
        <v>5241</v>
      </c>
      <c r="H110" s="87" t="s">
        <v>1649</v>
      </c>
      <c r="I110" s="205">
        <v>0</v>
      </c>
      <c r="J110" s="207">
        <v>3638</v>
      </c>
      <c r="K110" s="208">
        <v>11420</v>
      </c>
      <c r="L110" s="208">
        <v>25797</v>
      </c>
      <c r="M110" s="203">
        <v>0</v>
      </c>
      <c r="N110" s="203">
        <v>0</v>
      </c>
      <c r="O110" s="208">
        <v>37217</v>
      </c>
      <c r="P110" s="208">
        <v>21987</v>
      </c>
      <c r="Q110" s="207">
        <v>1603</v>
      </c>
      <c r="R110" s="208">
        <v>6107</v>
      </c>
      <c r="S110" s="203">
        <v>0</v>
      </c>
      <c r="T110" s="203">
        <v>0</v>
      </c>
      <c r="U110" s="203">
        <v>0</v>
      </c>
      <c r="V110" s="208">
        <v>6107</v>
      </c>
      <c r="W110" s="203">
        <v>0</v>
      </c>
      <c r="X110" s="208">
        <v>43324</v>
      </c>
      <c r="Y110" s="208">
        <v>21987</v>
      </c>
      <c r="Z110" s="208">
        <v>65311</v>
      </c>
      <c r="AA110" s="208">
        <v>4201</v>
      </c>
      <c r="AB110" s="208">
        <v>0</v>
      </c>
      <c r="AC110" s="208">
        <v>69512</v>
      </c>
      <c r="AD110" s="209">
        <v>13.26311772562488</v>
      </c>
    </row>
    <row r="111" spans="1:30" ht="13.5" thickBot="1" x14ac:dyDescent="0.25">
      <c r="A111" s="48" t="s">
        <v>488</v>
      </c>
      <c r="B111" s="47" t="s">
        <v>487</v>
      </c>
      <c r="C111" s="48" t="s">
        <v>17</v>
      </c>
      <c r="D111" s="48" t="s">
        <v>2122</v>
      </c>
      <c r="E111" s="129" t="s">
        <v>20</v>
      </c>
      <c r="F111" s="129" t="s">
        <v>21</v>
      </c>
      <c r="G111" s="108">
        <v>5160</v>
      </c>
      <c r="H111" s="87" t="s">
        <v>1648</v>
      </c>
      <c r="I111" s="205">
        <v>3800</v>
      </c>
      <c r="J111" s="207">
        <v>5160</v>
      </c>
      <c r="K111" s="208">
        <v>26479</v>
      </c>
      <c r="L111" s="208">
        <v>95914</v>
      </c>
      <c r="M111" s="203">
        <v>0</v>
      </c>
      <c r="N111" s="208">
        <v>3049</v>
      </c>
      <c r="O111" s="208">
        <v>125442</v>
      </c>
      <c r="P111" s="208">
        <v>12075</v>
      </c>
      <c r="Q111" s="210">
        <v>0</v>
      </c>
      <c r="R111" s="203">
        <v>0</v>
      </c>
      <c r="S111" s="203">
        <v>0</v>
      </c>
      <c r="T111" s="203">
        <v>0</v>
      </c>
      <c r="U111" s="203">
        <v>0</v>
      </c>
      <c r="V111" s="203">
        <v>0</v>
      </c>
      <c r="W111" s="203">
        <v>0</v>
      </c>
      <c r="X111" s="208">
        <v>125442</v>
      </c>
      <c r="Y111" s="208">
        <v>12075</v>
      </c>
      <c r="Z111" s="208">
        <v>137517</v>
      </c>
      <c r="AA111" s="208">
        <v>4136</v>
      </c>
      <c r="AB111" s="208">
        <v>0</v>
      </c>
      <c r="AC111" s="208">
        <v>141653</v>
      </c>
      <c r="AD111" s="209">
        <v>27.452131782945738</v>
      </c>
    </row>
    <row r="112" spans="1:30" ht="13.5" thickBot="1" x14ac:dyDescent="0.25">
      <c r="A112" s="48" t="s">
        <v>490</v>
      </c>
      <c r="B112" s="47" t="s">
        <v>489</v>
      </c>
      <c r="C112" s="48" t="s">
        <v>17</v>
      </c>
      <c r="D112" s="48" t="s">
        <v>2324</v>
      </c>
      <c r="E112" s="129" t="s">
        <v>20</v>
      </c>
      <c r="F112" s="129" t="s">
        <v>21</v>
      </c>
      <c r="G112" s="108">
        <v>5841</v>
      </c>
      <c r="H112" s="87" t="s">
        <v>1649</v>
      </c>
      <c r="I112" s="205">
        <v>0</v>
      </c>
      <c r="J112" s="207">
        <v>5841</v>
      </c>
      <c r="K112" s="208">
        <v>18393</v>
      </c>
      <c r="L112" s="203">
        <v>0</v>
      </c>
      <c r="M112" s="208">
        <v>117520</v>
      </c>
      <c r="N112" s="203">
        <v>0</v>
      </c>
      <c r="O112" s="208">
        <v>135913</v>
      </c>
      <c r="P112" s="208">
        <v>5499</v>
      </c>
      <c r="Q112" s="210">
        <v>0</v>
      </c>
      <c r="R112" s="203">
        <v>0</v>
      </c>
      <c r="S112" s="203">
        <v>0</v>
      </c>
      <c r="T112" s="203">
        <v>0</v>
      </c>
      <c r="U112" s="203">
        <v>0</v>
      </c>
      <c r="V112" s="203">
        <v>0</v>
      </c>
      <c r="W112" s="203">
        <v>0</v>
      </c>
      <c r="X112" s="208">
        <v>135913</v>
      </c>
      <c r="Y112" s="208">
        <v>5499</v>
      </c>
      <c r="Z112" s="208">
        <v>141412</v>
      </c>
      <c r="AA112" s="208">
        <v>2341</v>
      </c>
      <c r="AB112" s="208">
        <v>0</v>
      </c>
      <c r="AC112" s="208">
        <v>143753</v>
      </c>
      <c r="AD112" s="209">
        <v>24.611025509330595</v>
      </c>
    </row>
    <row r="113" spans="1:30" ht="13.5" thickBot="1" x14ac:dyDescent="0.25">
      <c r="A113" s="48" t="s">
        <v>494</v>
      </c>
      <c r="B113" s="47" t="s">
        <v>493</v>
      </c>
      <c r="C113" s="48" t="s">
        <v>17</v>
      </c>
      <c r="D113" s="48" t="s">
        <v>2126</v>
      </c>
      <c r="E113" s="129" t="s">
        <v>61</v>
      </c>
      <c r="F113" s="129" t="s">
        <v>62</v>
      </c>
      <c r="G113" s="108">
        <v>4730</v>
      </c>
      <c r="H113" s="87" t="s">
        <v>1649</v>
      </c>
      <c r="I113" s="205">
        <v>0</v>
      </c>
      <c r="J113" s="207">
        <v>2719</v>
      </c>
      <c r="K113" s="208">
        <v>9761</v>
      </c>
      <c r="L113" s="208">
        <v>106025</v>
      </c>
      <c r="M113" s="208">
        <v>3791</v>
      </c>
      <c r="N113" s="208">
        <v>0</v>
      </c>
      <c r="O113" s="208">
        <v>119577</v>
      </c>
      <c r="P113" s="208">
        <v>0</v>
      </c>
      <c r="Q113" s="207">
        <v>2011</v>
      </c>
      <c r="R113" s="208">
        <v>0</v>
      </c>
      <c r="S113" s="208">
        <v>400</v>
      </c>
      <c r="T113" s="208">
        <v>0</v>
      </c>
      <c r="U113" s="208">
        <v>0</v>
      </c>
      <c r="V113" s="208">
        <v>400</v>
      </c>
      <c r="W113" s="208">
        <v>0</v>
      </c>
      <c r="X113" s="208">
        <v>119977</v>
      </c>
      <c r="Y113" s="208">
        <v>0</v>
      </c>
      <c r="Z113" s="208">
        <v>119977</v>
      </c>
      <c r="AA113" s="208">
        <v>0</v>
      </c>
      <c r="AB113" s="208">
        <v>0</v>
      </c>
      <c r="AC113" s="208">
        <v>119977</v>
      </c>
      <c r="AD113" s="209">
        <v>25.365116279069767</v>
      </c>
    </row>
    <row r="114" spans="1:30" ht="13.5" thickBot="1" x14ac:dyDescent="0.25">
      <c r="A114" s="48" t="s">
        <v>512</v>
      </c>
      <c r="B114" s="47" t="s">
        <v>511</v>
      </c>
      <c r="C114" s="48" t="s">
        <v>17</v>
      </c>
      <c r="D114" s="48" t="s">
        <v>1953</v>
      </c>
      <c r="E114" s="129" t="s">
        <v>15</v>
      </c>
      <c r="F114" s="129" t="s">
        <v>16</v>
      </c>
      <c r="G114" s="108">
        <v>5072</v>
      </c>
      <c r="H114" s="87" t="s">
        <v>1648</v>
      </c>
      <c r="I114" s="205">
        <v>7280</v>
      </c>
      <c r="J114" s="207">
        <v>5072</v>
      </c>
      <c r="K114" s="208">
        <v>15920</v>
      </c>
      <c r="L114" s="208">
        <v>176098</v>
      </c>
      <c r="M114" s="208">
        <v>0</v>
      </c>
      <c r="N114" s="208">
        <v>0</v>
      </c>
      <c r="O114" s="208">
        <v>192018</v>
      </c>
      <c r="P114" s="208">
        <v>106950</v>
      </c>
      <c r="Q114" s="210">
        <v>0</v>
      </c>
      <c r="R114" s="203">
        <v>0</v>
      </c>
      <c r="S114" s="203">
        <v>0</v>
      </c>
      <c r="T114" s="203">
        <v>0</v>
      </c>
      <c r="U114" s="203">
        <v>0</v>
      </c>
      <c r="V114" s="203">
        <v>0</v>
      </c>
      <c r="W114" s="203">
        <v>0</v>
      </c>
      <c r="X114" s="208">
        <v>192018</v>
      </c>
      <c r="Y114" s="208">
        <v>106950</v>
      </c>
      <c r="Z114" s="208">
        <v>298968</v>
      </c>
      <c r="AA114" s="208">
        <v>4065</v>
      </c>
      <c r="AB114" s="208">
        <v>0</v>
      </c>
      <c r="AC114" s="208">
        <v>303033</v>
      </c>
      <c r="AD114" s="209">
        <v>59.746253943217667</v>
      </c>
    </row>
    <row r="115" spans="1:30" ht="13.5" thickBot="1" x14ac:dyDescent="0.25">
      <c r="A115" s="48" t="s">
        <v>514</v>
      </c>
      <c r="B115" s="47" t="s">
        <v>513</v>
      </c>
      <c r="C115" s="48" t="s">
        <v>17</v>
      </c>
      <c r="D115" s="48" t="s">
        <v>2034</v>
      </c>
      <c r="E115" s="129" t="s">
        <v>20</v>
      </c>
      <c r="F115" s="129" t="s">
        <v>21</v>
      </c>
      <c r="G115" s="108">
        <v>6634</v>
      </c>
      <c r="H115" s="87" t="s">
        <v>1648</v>
      </c>
      <c r="I115" s="205">
        <v>20000</v>
      </c>
      <c r="J115" s="207">
        <v>4311</v>
      </c>
      <c r="K115" s="208">
        <v>20510</v>
      </c>
      <c r="L115" s="208">
        <v>226075</v>
      </c>
      <c r="M115" s="208">
        <v>0</v>
      </c>
      <c r="N115" s="208">
        <v>0</v>
      </c>
      <c r="O115" s="208">
        <v>246585</v>
      </c>
      <c r="P115" s="208">
        <v>48007</v>
      </c>
      <c r="Q115" s="207">
        <v>2323</v>
      </c>
      <c r="R115" s="208">
        <v>11052</v>
      </c>
      <c r="S115" s="208">
        <v>0</v>
      </c>
      <c r="T115" s="203">
        <v>0</v>
      </c>
      <c r="U115" s="203">
        <v>0</v>
      </c>
      <c r="V115" s="208">
        <v>11052</v>
      </c>
      <c r="W115" s="208">
        <v>1100</v>
      </c>
      <c r="X115" s="208">
        <v>257637</v>
      </c>
      <c r="Y115" s="208">
        <v>49107</v>
      </c>
      <c r="Z115" s="208">
        <v>306744</v>
      </c>
      <c r="AA115" s="208">
        <v>7117</v>
      </c>
      <c r="AB115" s="208">
        <v>0</v>
      </c>
      <c r="AC115" s="208">
        <v>313861</v>
      </c>
      <c r="AD115" s="209">
        <v>47.310973771480256</v>
      </c>
    </row>
    <row r="116" spans="1:30" ht="13.5" thickBot="1" x14ac:dyDescent="0.25">
      <c r="A116" s="48" t="s">
        <v>526</v>
      </c>
      <c r="B116" s="47" t="s">
        <v>525</v>
      </c>
      <c r="C116" s="48" t="s">
        <v>17</v>
      </c>
      <c r="D116" s="48" t="s">
        <v>2057</v>
      </c>
      <c r="E116" s="129" t="s">
        <v>15</v>
      </c>
      <c r="F116" s="129" t="s">
        <v>16</v>
      </c>
      <c r="G116" s="108">
        <v>5302</v>
      </c>
      <c r="H116" s="87" t="s">
        <v>1648</v>
      </c>
      <c r="I116" s="205">
        <v>40000</v>
      </c>
      <c r="J116" s="207">
        <v>2386</v>
      </c>
      <c r="K116" s="208">
        <v>31364</v>
      </c>
      <c r="L116" s="208">
        <v>201762</v>
      </c>
      <c r="M116" s="203">
        <v>0</v>
      </c>
      <c r="N116" s="203">
        <v>0</v>
      </c>
      <c r="O116" s="208">
        <v>233126</v>
      </c>
      <c r="P116" s="203">
        <v>0</v>
      </c>
      <c r="Q116" s="207">
        <v>2916</v>
      </c>
      <c r="R116" s="208">
        <v>166809</v>
      </c>
      <c r="S116" s="203">
        <v>0</v>
      </c>
      <c r="T116" s="203">
        <v>0</v>
      </c>
      <c r="U116" s="203">
        <v>0</v>
      </c>
      <c r="V116" s="208">
        <v>166809</v>
      </c>
      <c r="W116" s="208">
        <v>10000</v>
      </c>
      <c r="X116" s="208">
        <v>399935</v>
      </c>
      <c r="Y116" s="208">
        <v>10000</v>
      </c>
      <c r="Z116" s="208">
        <v>409935</v>
      </c>
      <c r="AA116" s="208">
        <v>4249</v>
      </c>
      <c r="AB116" s="208">
        <v>0</v>
      </c>
      <c r="AC116" s="208">
        <v>414184</v>
      </c>
      <c r="AD116" s="209">
        <v>78.11844586948321</v>
      </c>
    </row>
    <row r="117" spans="1:30" ht="13.5" thickBot="1" x14ac:dyDescent="0.25">
      <c r="A117" s="48" t="s">
        <v>528</v>
      </c>
      <c r="B117" s="47" t="s">
        <v>527</v>
      </c>
      <c r="C117" s="48" t="s">
        <v>17</v>
      </c>
      <c r="D117" s="48" t="s">
        <v>2237</v>
      </c>
      <c r="E117" s="129" t="s">
        <v>15</v>
      </c>
      <c r="F117" s="129" t="s">
        <v>16</v>
      </c>
      <c r="G117" s="108">
        <v>6834</v>
      </c>
      <c r="H117" s="87" t="s">
        <v>1649</v>
      </c>
      <c r="I117" s="205">
        <v>0</v>
      </c>
      <c r="J117" s="207">
        <v>6834</v>
      </c>
      <c r="K117" s="208">
        <v>26263</v>
      </c>
      <c r="L117" s="208">
        <v>216044</v>
      </c>
      <c r="M117" s="208">
        <v>0</v>
      </c>
      <c r="N117" s="208">
        <v>24000</v>
      </c>
      <c r="O117" s="208">
        <v>266307</v>
      </c>
      <c r="P117" s="208">
        <v>75711</v>
      </c>
      <c r="Q117" s="210">
        <v>0</v>
      </c>
      <c r="R117" s="208">
        <v>0</v>
      </c>
      <c r="S117" s="208">
        <v>0</v>
      </c>
      <c r="T117" s="208">
        <v>0</v>
      </c>
      <c r="U117" s="208">
        <v>0</v>
      </c>
      <c r="V117" s="208">
        <v>0</v>
      </c>
      <c r="W117" s="208">
        <v>0</v>
      </c>
      <c r="X117" s="208">
        <v>266307</v>
      </c>
      <c r="Y117" s="208">
        <v>75711</v>
      </c>
      <c r="Z117" s="208">
        <v>342018</v>
      </c>
      <c r="AA117" s="208">
        <v>5477</v>
      </c>
      <c r="AB117" s="208">
        <v>0</v>
      </c>
      <c r="AC117" s="208">
        <v>347495</v>
      </c>
      <c r="AD117" s="209">
        <v>50.847966052092481</v>
      </c>
    </row>
    <row r="118" spans="1:30" ht="13.5" thickBot="1" x14ac:dyDescent="0.25">
      <c r="A118" s="48" t="s">
        <v>532</v>
      </c>
      <c r="B118" s="47" t="s">
        <v>531</v>
      </c>
      <c r="C118" s="48" t="s">
        <v>17</v>
      </c>
      <c r="D118" s="48" t="s">
        <v>2134</v>
      </c>
      <c r="E118" s="129" t="s">
        <v>20</v>
      </c>
      <c r="F118" s="129" t="s">
        <v>21</v>
      </c>
      <c r="G118" s="108">
        <v>4469</v>
      </c>
      <c r="H118" s="87" t="s">
        <v>1649</v>
      </c>
      <c r="I118" s="205">
        <v>0</v>
      </c>
      <c r="J118" s="207">
        <v>3963</v>
      </c>
      <c r="K118" s="208">
        <v>12124</v>
      </c>
      <c r="L118" s="208">
        <v>101859</v>
      </c>
      <c r="M118" s="208">
        <v>0</v>
      </c>
      <c r="N118" s="208">
        <v>20693</v>
      </c>
      <c r="O118" s="208">
        <v>134676</v>
      </c>
      <c r="P118" s="208">
        <v>2443</v>
      </c>
      <c r="Q118" s="207">
        <v>506</v>
      </c>
      <c r="R118" s="208">
        <v>0</v>
      </c>
      <c r="S118" s="208">
        <v>0</v>
      </c>
      <c r="T118" s="208">
        <v>0</v>
      </c>
      <c r="U118" s="208">
        <v>500</v>
      </c>
      <c r="V118" s="208">
        <v>500</v>
      </c>
      <c r="W118" s="203">
        <v>0</v>
      </c>
      <c r="X118" s="208">
        <v>135176</v>
      </c>
      <c r="Y118" s="208">
        <v>2443</v>
      </c>
      <c r="Z118" s="208">
        <v>137619</v>
      </c>
      <c r="AA118" s="208">
        <v>3582</v>
      </c>
      <c r="AB118" s="208">
        <v>0</v>
      </c>
      <c r="AC118" s="208">
        <v>141201</v>
      </c>
      <c r="AD118" s="209">
        <v>31.595658984112777</v>
      </c>
    </row>
    <row r="119" spans="1:30" ht="13.5" thickBot="1" x14ac:dyDescent="0.25">
      <c r="A119" s="48" t="s">
        <v>540</v>
      </c>
      <c r="B119" s="47" t="s">
        <v>539</v>
      </c>
      <c r="C119" s="48" t="s">
        <v>17</v>
      </c>
      <c r="D119" s="48" t="s">
        <v>2126</v>
      </c>
      <c r="E119" s="129" t="s">
        <v>20</v>
      </c>
      <c r="F119" s="129" t="s">
        <v>21</v>
      </c>
      <c r="G119" s="108">
        <v>6174</v>
      </c>
      <c r="H119" s="87" t="s">
        <v>1649</v>
      </c>
      <c r="I119" s="205">
        <v>0</v>
      </c>
      <c r="J119" s="207">
        <v>3858</v>
      </c>
      <c r="K119" s="208">
        <v>12742</v>
      </c>
      <c r="L119" s="208">
        <v>206804</v>
      </c>
      <c r="M119" s="203">
        <v>0</v>
      </c>
      <c r="N119" s="208">
        <v>4927</v>
      </c>
      <c r="O119" s="208">
        <v>224473</v>
      </c>
      <c r="P119" s="208">
        <v>5315</v>
      </c>
      <c r="Q119" s="207">
        <v>2316</v>
      </c>
      <c r="R119" s="203">
        <v>0</v>
      </c>
      <c r="S119" s="203">
        <v>0</v>
      </c>
      <c r="T119" s="203">
        <v>0</v>
      </c>
      <c r="U119" s="208">
        <v>18100</v>
      </c>
      <c r="V119" s="208">
        <v>18100</v>
      </c>
      <c r="W119" s="203">
        <v>0</v>
      </c>
      <c r="X119" s="208">
        <v>242573</v>
      </c>
      <c r="Y119" s="208">
        <v>5315</v>
      </c>
      <c r="Z119" s="208">
        <v>247888</v>
      </c>
      <c r="AA119" s="208">
        <v>5883</v>
      </c>
      <c r="AB119" s="208">
        <v>0</v>
      </c>
      <c r="AC119" s="208">
        <v>253771</v>
      </c>
      <c r="AD119" s="209">
        <v>41.103174603174601</v>
      </c>
    </row>
    <row r="120" spans="1:30" ht="13.5" thickBot="1" x14ac:dyDescent="0.25">
      <c r="A120" s="48" t="s">
        <v>560</v>
      </c>
      <c r="B120" s="47" t="s">
        <v>559</v>
      </c>
      <c r="C120" s="48" t="s">
        <v>17</v>
      </c>
      <c r="D120" s="48" t="s">
        <v>2037</v>
      </c>
      <c r="E120" s="129" t="s">
        <v>20</v>
      </c>
      <c r="F120" s="129" t="s">
        <v>21</v>
      </c>
      <c r="G120" s="108">
        <v>5305</v>
      </c>
      <c r="H120" s="87" t="s">
        <v>1649</v>
      </c>
      <c r="I120" s="205">
        <v>0</v>
      </c>
      <c r="J120" s="207">
        <v>5305</v>
      </c>
      <c r="K120" s="208">
        <v>24594</v>
      </c>
      <c r="L120" s="208">
        <v>106815</v>
      </c>
      <c r="M120" s="208">
        <v>0</v>
      </c>
      <c r="N120" s="208">
        <v>2891</v>
      </c>
      <c r="O120" s="208">
        <v>134300</v>
      </c>
      <c r="P120" s="208">
        <v>1440</v>
      </c>
      <c r="Q120" s="210">
        <v>0</v>
      </c>
      <c r="R120" s="203">
        <v>0</v>
      </c>
      <c r="S120" s="203">
        <v>0</v>
      </c>
      <c r="T120" s="203">
        <v>0</v>
      </c>
      <c r="U120" s="203">
        <v>0</v>
      </c>
      <c r="V120" s="203">
        <v>0</v>
      </c>
      <c r="W120" s="203">
        <v>0</v>
      </c>
      <c r="X120" s="208">
        <v>134300</v>
      </c>
      <c r="Y120" s="208">
        <v>1440</v>
      </c>
      <c r="Z120" s="208">
        <v>135740</v>
      </c>
      <c r="AA120" s="208">
        <v>7887</v>
      </c>
      <c r="AB120" s="208">
        <v>0</v>
      </c>
      <c r="AC120" s="208">
        <v>143627</v>
      </c>
      <c r="AD120" s="209">
        <v>27.073892554194156</v>
      </c>
    </row>
    <row r="121" spans="1:30" ht="13.5" thickBot="1" x14ac:dyDescent="0.25">
      <c r="A121" s="48" t="s">
        <v>566</v>
      </c>
      <c r="B121" s="47" t="s">
        <v>565</v>
      </c>
      <c r="C121" s="48" t="s">
        <v>17</v>
      </c>
      <c r="D121" s="48" t="s">
        <v>2105</v>
      </c>
      <c r="E121" s="129" t="s">
        <v>61</v>
      </c>
      <c r="F121" s="129" t="s">
        <v>62</v>
      </c>
      <c r="G121" s="108">
        <v>6341</v>
      </c>
      <c r="H121" s="87" t="s">
        <v>1649</v>
      </c>
      <c r="I121" s="205">
        <v>0</v>
      </c>
      <c r="J121" s="207">
        <v>2229</v>
      </c>
      <c r="K121" s="208">
        <v>30082</v>
      </c>
      <c r="L121" s="208">
        <v>127202</v>
      </c>
      <c r="M121" s="208">
        <v>0</v>
      </c>
      <c r="N121" s="208">
        <v>47453</v>
      </c>
      <c r="O121" s="208">
        <v>204737</v>
      </c>
      <c r="P121" s="208">
        <v>15110</v>
      </c>
      <c r="Q121" s="207">
        <v>4112</v>
      </c>
      <c r="R121" s="208">
        <v>2742</v>
      </c>
      <c r="S121" s="208">
        <v>0</v>
      </c>
      <c r="T121" s="208">
        <v>0</v>
      </c>
      <c r="U121" s="208">
        <v>0</v>
      </c>
      <c r="V121" s="208">
        <v>2742</v>
      </c>
      <c r="W121" s="208">
        <v>0</v>
      </c>
      <c r="X121" s="208">
        <v>207479</v>
      </c>
      <c r="Y121" s="208">
        <v>15110</v>
      </c>
      <c r="Z121" s="208">
        <v>222589</v>
      </c>
      <c r="AA121" s="208">
        <v>5076</v>
      </c>
      <c r="AB121" s="208">
        <v>0</v>
      </c>
      <c r="AC121" s="208">
        <v>227665</v>
      </c>
      <c r="AD121" s="209">
        <v>35.903642958523889</v>
      </c>
    </row>
    <row r="122" spans="1:30" ht="13.5" thickBot="1" x14ac:dyDescent="0.25">
      <c r="A122" s="48" t="s">
        <v>572</v>
      </c>
      <c r="B122" s="47" t="s">
        <v>571</v>
      </c>
      <c r="C122" s="48" t="s">
        <v>17</v>
      </c>
      <c r="D122" s="48" t="s">
        <v>2334</v>
      </c>
      <c r="E122" s="129" t="s">
        <v>20</v>
      </c>
      <c r="F122" s="129" t="s">
        <v>21</v>
      </c>
      <c r="G122" s="108">
        <v>5433</v>
      </c>
      <c r="H122" s="87" t="s">
        <v>1649</v>
      </c>
      <c r="I122" s="205">
        <v>0</v>
      </c>
      <c r="J122" s="207">
        <v>5433</v>
      </c>
      <c r="K122" s="208">
        <v>10508</v>
      </c>
      <c r="L122" s="208">
        <v>0</v>
      </c>
      <c r="M122" s="208">
        <v>0</v>
      </c>
      <c r="N122" s="208">
        <v>0</v>
      </c>
      <c r="O122" s="208">
        <v>10508</v>
      </c>
      <c r="P122" s="208">
        <v>67961</v>
      </c>
      <c r="Q122" s="210">
        <v>0</v>
      </c>
      <c r="R122" s="208">
        <v>0</v>
      </c>
      <c r="S122" s="208">
        <v>0</v>
      </c>
      <c r="T122" s="208">
        <v>0</v>
      </c>
      <c r="U122" s="208">
        <v>196415</v>
      </c>
      <c r="V122" s="208">
        <v>196415</v>
      </c>
      <c r="W122" s="208">
        <v>0</v>
      </c>
      <c r="X122" s="208">
        <v>206923</v>
      </c>
      <c r="Y122" s="208">
        <v>67961</v>
      </c>
      <c r="Z122" s="208">
        <v>274884</v>
      </c>
      <c r="AA122" s="208">
        <v>4355</v>
      </c>
      <c r="AB122" s="208">
        <v>0</v>
      </c>
      <c r="AC122" s="208">
        <v>279239</v>
      </c>
      <c r="AD122" s="209">
        <v>51.396834161605007</v>
      </c>
    </row>
    <row r="123" spans="1:30" ht="13.5" thickBot="1" x14ac:dyDescent="0.25">
      <c r="A123" s="48" t="s">
        <v>582</v>
      </c>
      <c r="B123" s="47" t="s">
        <v>581</v>
      </c>
      <c r="C123" s="48" t="s">
        <v>17</v>
      </c>
      <c r="D123" s="48" t="s">
        <v>2028</v>
      </c>
      <c r="E123" s="129" t="s">
        <v>20</v>
      </c>
      <c r="F123" s="129" t="s">
        <v>21</v>
      </c>
      <c r="G123" s="108">
        <v>6654</v>
      </c>
      <c r="H123" s="87" t="s">
        <v>1649</v>
      </c>
      <c r="I123" s="205">
        <v>0</v>
      </c>
      <c r="J123" s="207">
        <v>2824</v>
      </c>
      <c r="K123" s="208">
        <v>9344</v>
      </c>
      <c r="L123" s="208">
        <v>248947</v>
      </c>
      <c r="M123" s="203">
        <v>0</v>
      </c>
      <c r="N123" s="208">
        <v>0</v>
      </c>
      <c r="O123" s="208">
        <v>258291</v>
      </c>
      <c r="P123" s="208">
        <v>36274</v>
      </c>
      <c r="Q123" s="207">
        <v>3830</v>
      </c>
      <c r="R123" s="208">
        <v>12673</v>
      </c>
      <c r="S123" s="208">
        <v>65995</v>
      </c>
      <c r="T123" s="203">
        <v>0</v>
      </c>
      <c r="U123" s="203">
        <v>0</v>
      </c>
      <c r="V123" s="208">
        <v>78668</v>
      </c>
      <c r="W123" s="208">
        <v>0</v>
      </c>
      <c r="X123" s="208">
        <v>336959</v>
      </c>
      <c r="Y123" s="208">
        <v>36274</v>
      </c>
      <c r="Z123" s="208">
        <v>373233</v>
      </c>
      <c r="AA123" s="208">
        <v>5333</v>
      </c>
      <c r="AB123" s="208">
        <v>0</v>
      </c>
      <c r="AC123" s="208">
        <v>378566</v>
      </c>
      <c r="AD123" s="209">
        <v>56.892996693718061</v>
      </c>
    </row>
    <row r="124" spans="1:30" ht="13.5" thickBot="1" x14ac:dyDescent="0.25">
      <c r="A124" s="48" t="s">
        <v>586</v>
      </c>
      <c r="B124" s="47" t="s">
        <v>585</v>
      </c>
      <c r="C124" s="48" t="s">
        <v>17</v>
      </c>
      <c r="D124" s="48" t="s">
        <v>2134</v>
      </c>
      <c r="E124" s="129" t="s">
        <v>20</v>
      </c>
      <c r="F124" s="129" t="s">
        <v>21</v>
      </c>
      <c r="G124" s="108">
        <v>4105</v>
      </c>
      <c r="H124" s="87" t="s">
        <v>1649</v>
      </c>
      <c r="I124" s="205">
        <v>0</v>
      </c>
      <c r="J124" s="207">
        <v>1603</v>
      </c>
      <c r="K124" s="208">
        <v>3948</v>
      </c>
      <c r="L124" s="208">
        <v>44919</v>
      </c>
      <c r="M124" s="208">
        <v>0</v>
      </c>
      <c r="N124" s="208">
        <v>7400</v>
      </c>
      <c r="O124" s="208">
        <v>56267</v>
      </c>
      <c r="P124" s="208">
        <v>1512</v>
      </c>
      <c r="Q124" s="207">
        <v>2502</v>
      </c>
      <c r="R124" s="208">
        <v>6163</v>
      </c>
      <c r="S124" s="203">
        <v>0</v>
      </c>
      <c r="T124" s="208">
        <v>0</v>
      </c>
      <c r="U124" s="208">
        <v>6000</v>
      </c>
      <c r="V124" s="208">
        <v>12163</v>
      </c>
      <c r="W124" s="208">
        <v>0</v>
      </c>
      <c r="X124" s="208">
        <v>68430</v>
      </c>
      <c r="Y124" s="208">
        <v>1512</v>
      </c>
      <c r="Z124" s="208">
        <v>69942</v>
      </c>
      <c r="AA124" s="208">
        <v>1629</v>
      </c>
      <c r="AB124" s="208">
        <v>0</v>
      </c>
      <c r="AC124" s="208">
        <v>71571</v>
      </c>
      <c r="AD124" s="209">
        <v>17.43507917174178</v>
      </c>
    </row>
    <row r="125" spans="1:30" ht="13.5" thickBot="1" x14ac:dyDescent="0.25">
      <c r="A125" s="48" t="s">
        <v>592</v>
      </c>
      <c r="B125" s="47" t="s">
        <v>591</v>
      </c>
      <c r="C125" s="48" t="s">
        <v>17</v>
      </c>
      <c r="D125" s="48" t="s">
        <v>2028</v>
      </c>
      <c r="E125" s="129" t="s">
        <v>61</v>
      </c>
      <c r="F125" s="129" t="s">
        <v>62</v>
      </c>
      <c r="G125" s="108">
        <v>5033</v>
      </c>
      <c r="H125" s="87" t="s">
        <v>1649</v>
      </c>
      <c r="I125" s="205">
        <v>0</v>
      </c>
      <c r="J125" s="207">
        <v>1424</v>
      </c>
      <c r="K125" s="208">
        <v>5824</v>
      </c>
      <c r="L125" s="208">
        <v>88500</v>
      </c>
      <c r="M125" s="203">
        <v>0</v>
      </c>
      <c r="N125" s="203">
        <v>0</v>
      </c>
      <c r="O125" s="208">
        <v>94324</v>
      </c>
      <c r="P125" s="203">
        <v>0</v>
      </c>
      <c r="Q125" s="207">
        <v>3609</v>
      </c>
      <c r="R125" s="208">
        <v>14749</v>
      </c>
      <c r="S125" s="203">
        <v>0</v>
      </c>
      <c r="T125" s="203">
        <v>0</v>
      </c>
      <c r="U125" s="208">
        <v>7500</v>
      </c>
      <c r="V125" s="208">
        <v>22249</v>
      </c>
      <c r="W125" s="203">
        <v>0</v>
      </c>
      <c r="X125" s="208">
        <v>116573</v>
      </c>
      <c r="Y125" s="203">
        <v>0</v>
      </c>
      <c r="Z125" s="208">
        <v>116573</v>
      </c>
      <c r="AA125" s="208">
        <v>3000</v>
      </c>
      <c r="AB125" s="208">
        <v>0</v>
      </c>
      <c r="AC125" s="208">
        <v>119573</v>
      </c>
      <c r="AD125" s="209">
        <v>23.757798529703955</v>
      </c>
    </row>
    <row r="126" spans="1:30" ht="13.5" thickBot="1" x14ac:dyDescent="0.25">
      <c r="A126" s="48" t="s">
        <v>600</v>
      </c>
      <c r="B126" s="47" t="s">
        <v>599</v>
      </c>
      <c r="C126" s="48" t="s">
        <v>17</v>
      </c>
      <c r="D126" s="48" t="s">
        <v>2055</v>
      </c>
      <c r="E126" s="129" t="s">
        <v>20</v>
      </c>
      <c r="F126" s="129" t="s">
        <v>21</v>
      </c>
      <c r="G126" s="108">
        <v>5413</v>
      </c>
      <c r="H126" s="87" t="s">
        <v>1649</v>
      </c>
      <c r="I126" s="205">
        <v>0</v>
      </c>
      <c r="J126" s="207">
        <v>5413</v>
      </c>
      <c r="K126" s="208">
        <v>8906</v>
      </c>
      <c r="L126" s="208">
        <v>72771</v>
      </c>
      <c r="M126" s="208">
        <v>0</v>
      </c>
      <c r="N126" s="208">
        <v>4793</v>
      </c>
      <c r="O126" s="208">
        <v>86470</v>
      </c>
      <c r="P126" s="208">
        <v>19533</v>
      </c>
      <c r="Q126" s="210">
        <v>0</v>
      </c>
      <c r="R126" s="208">
        <v>0</v>
      </c>
      <c r="S126" s="208">
        <v>0</v>
      </c>
      <c r="T126" s="208">
        <v>0</v>
      </c>
      <c r="U126" s="208">
        <v>0</v>
      </c>
      <c r="V126" s="208">
        <v>0</v>
      </c>
      <c r="W126" s="208">
        <v>0</v>
      </c>
      <c r="X126" s="208">
        <v>86470</v>
      </c>
      <c r="Y126" s="208">
        <v>19533</v>
      </c>
      <c r="Z126" s="208">
        <v>106003</v>
      </c>
      <c r="AA126" s="208">
        <v>7170</v>
      </c>
      <c r="AB126" s="208">
        <v>0</v>
      </c>
      <c r="AC126" s="208">
        <v>113173</v>
      </c>
      <c r="AD126" s="209">
        <v>20.907629780158878</v>
      </c>
    </row>
    <row r="127" spans="1:30" ht="13.5" thickBot="1" x14ac:dyDescent="0.25">
      <c r="A127" s="48" t="s">
        <v>606</v>
      </c>
      <c r="B127" s="47" t="s">
        <v>605</v>
      </c>
      <c r="C127" s="48" t="s">
        <v>17</v>
      </c>
      <c r="D127" s="48" t="s">
        <v>2264</v>
      </c>
      <c r="E127" s="129" t="s">
        <v>61</v>
      </c>
      <c r="F127" s="129" t="s">
        <v>62</v>
      </c>
      <c r="G127" s="108">
        <v>6847</v>
      </c>
      <c r="H127" s="87" t="s">
        <v>1649</v>
      </c>
      <c r="I127" s="205">
        <v>0</v>
      </c>
      <c r="J127" s="207">
        <v>5064</v>
      </c>
      <c r="K127" s="208">
        <v>2805</v>
      </c>
      <c r="L127" s="208">
        <v>114880</v>
      </c>
      <c r="M127" s="203">
        <v>0</v>
      </c>
      <c r="N127" s="203">
        <v>0</v>
      </c>
      <c r="O127" s="208">
        <v>117685</v>
      </c>
      <c r="P127" s="208">
        <v>32598</v>
      </c>
      <c r="Q127" s="207">
        <v>1783</v>
      </c>
      <c r="R127" s="208">
        <v>987</v>
      </c>
      <c r="S127" s="203">
        <v>0</v>
      </c>
      <c r="T127" s="203">
        <v>0</v>
      </c>
      <c r="U127" s="203">
        <v>0</v>
      </c>
      <c r="V127" s="208">
        <v>987</v>
      </c>
      <c r="W127" s="203">
        <v>0</v>
      </c>
      <c r="X127" s="208">
        <v>118672</v>
      </c>
      <c r="Y127" s="208">
        <v>32598</v>
      </c>
      <c r="Z127" s="208">
        <v>151270</v>
      </c>
      <c r="AA127" s="208">
        <v>5488</v>
      </c>
      <c r="AB127" s="208">
        <v>0</v>
      </c>
      <c r="AC127" s="208">
        <v>156758</v>
      </c>
      <c r="AD127" s="209">
        <v>22.894406309332556</v>
      </c>
    </row>
    <row r="128" spans="1:30" ht="13.5" thickBot="1" x14ac:dyDescent="0.25">
      <c r="A128" s="48" t="s">
        <v>608</v>
      </c>
      <c r="B128" s="47" t="s">
        <v>607</v>
      </c>
      <c r="C128" s="48" t="s">
        <v>17</v>
      </c>
      <c r="D128" s="48" t="s">
        <v>2101</v>
      </c>
      <c r="E128" s="129" t="s">
        <v>61</v>
      </c>
      <c r="F128" s="129" t="s">
        <v>62</v>
      </c>
      <c r="G128" s="108">
        <v>6240</v>
      </c>
      <c r="H128" s="87" t="s">
        <v>1649</v>
      </c>
      <c r="I128" s="205">
        <v>0</v>
      </c>
      <c r="J128" s="207">
        <v>4144</v>
      </c>
      <c r="K128" s="208">
        <v>10151</v>
      </c>
      <c r="L128" s="208">
        <v>111113</v>
      </c>
      <c r="M128" s="208">
        <v>0</v>
      </c>
      <c r="N128" s="208">
        <v>0</v>
      </c>
      <c r="O128" s="208">
        <v>121264</v>
      </c>
      <c r="P128" s="208">
        <v>73920</v>
      </c>
      <c r="Q128" s="207">
        <v>2096</v>
      </c>
      <c r="R128" s="208">
        <v>5134</v>
      </c>
      <c r="S128" s="208">
        <v>0</v>
      </c>
      <c r="T128" s="208">
        <v>0</v>
      </c>
      <c r="U128" s="208">
        <v>4590</v>
      </c>
      <c r="V128" s="208">
        <v>9724</v>
      </c>
      <c r="W128" s="208">
        <v>0</v>
      </c>
      <c r="X128" s="208">
        <v>130988</v>
      </c>
      <c r="Y128" s="208">
        <v>73920</v>
      </c>
      <c r="Z128" s="208">
        <v>204908</v>
      </c>
      <c r="AA128" s="208">
        <v>5002</v>
      </c>
      <c r="AB128" s="208">
        <v>0</v>
      </c>
      <c r="AC128" s="208">
        <v>209910</v>
      </c>
      <c r="AD128" s="209">
        <v>33.63942307692308</v>
      </c>
    </row>
    <row r="129" spans="1:30" ht="13.5" thickBot="1" x14ac:dyDescent="0.25">
      <c r="A129" s="48" t="s">
        <v>614</v>
      </c>
      <c r="B129" s="47" t="s">
        <v>613</v>
      </c>
      <c r="C129" s="48" t="s">
        <v>17</v>
      </c>
      <c r="D129" s="48" t="s">
        <v>2134</v>
      </c>
      <c r="E129" s="129" t="s">
        <v>20</v>
      </c>
      <c r="F129" s="129" t="s">
        <v>21</v>
      </c>
      <c r="G129" s="108">
        <v>5376</v>
      </c>
      <c r="H129" s="87" t="s">
        <v>1648</v>
      </c>
      <c r="I129" s="205">
        <v>1590</v>
      </c>
      <c r="J129" s="207">
        <v>2843</v>
      </c>
      <c r="K129" s="208">
        <v>7713</v>
      </c>
      <c r="L129" s="208">
        <v>88781</v>
      </c>
      <c r="M129" s="203">
        <v>0</v>
      </c>
      <c r="N129" s="208">
        <v>0</v>
      </c>
      <c r="O129" s="208">
        <v>96494</v>
      </c>
      <c r="P129" s="208">
        <v>9224</v>
      </c>
      <c r="Q129" s="207">
        <v>2533</v>
      </c>
      <c r="R129" s="208">
        <v>6872</v>
      </c>
      <c r="S129" s="203">
        <v>0</v>
      </c>
      <c r="T129" s="203">
        <v>0</v>
      </c>
      <c r="U129" s="208">
        <v>3000</v>
      </c>
      <c r="V129" s="208">
        <v>9872</v>
      </c>
      <c r="W129" s="203">
        <v>0</v>
      </c>
      <c r="X129" s="208">
        <v>106366</v>
      </c>
      <c r="Y129" s="208">
        <v>9224</v>
      </c>
      <c r="Z129" s="208">
        <v>115590</v>
      </c>
      <c r="AA129" s="208">
        <v>4309</v>
      </c>
      <c r="AB129" s="208">
        <v>0</v>
      </c>
      <c r="AC129" s="208">
        <v>119899</v>
      </c>
      <c r="AD129" s="209">
        <v>22.30264136904762</v>
      </c>
    </row>
    <row r="130" spans="1:30" ht="13.5" thickBot="1" x14ac:dyDescent="0.25">
      <c r="A130" s="48" t="s">
        <v>620</v>
      </c>
      <c r="B130" s="47" t="s">
        <v>619</v>
      </c>
      <c r="C130" s="48" t="s">
        <v>17</v>
      </c>
      <c r="D130" s="48" t="s">
        <v>2122</v>
      </c>
      <c r="E130" s="129" t="s">
        <v>15</v>
      </c>
      <c r="F130" s="129" t="s">
        <v>16</v>
      </c>
      <c r="G130" s="108">
        <v>5523</v>
      </c>
      <c r="H130" s="87" t="s">
        <v>1649</v>
      </c>
      <c r="I130" s="205">
        <v>0</v>
      </c>
      <c r="J130" s="207">
        <v>5523</v>
      </c>
      <c r="K130" s="208">
        <v>25721</v>
      </c>
      <c r="L130" s="208">
        <v>236727</v>
      </c>
      <c r="M130" s="203">
        <v>0</v>
      </c>
      <c r="N130" s="203">
        <v>0</v>
      </c>
      <c r="O130" s="208">
        <v>262448</v>
      </c>
      <c r="P130" s="208">
        <v>5761</v>
      </c>
      <c r="Q130" s="210">
        <v>0</v>
      </c>
      <c r="R130" s="203">
        <v>0</v>
      </c>
      <c r="S130" s="203">
        <v>0</v>
      </c>
      <c r="T130" s="203">
        <v>0</v>
      </c>
      <c r="U130" s="203">
        <v>0</v>
      </c>
      <c r="V130" s="203">
        <v>0</v>
      </c>
      <c r="W130" s="203">
        <v>0</v>
      </c>
      <c r="X130" s="208">
        <v>262448</v>
      </c>
      <c r="Y130" s="208">
        <v>5761</v>
      </c>
      <c r="Z130" s="208">
        <v>268209</v>
      </c>
      <c r="AA130" s="208">
        <v>12694</v>
      </c>
      <c r="AB130" s="208">
        <v>0</v>
      </c>
      <c r="AC130" s="208">
        <v>280903</v>
      </c>
      <c r="AD130" s="209">
        <v>50.860583016476554</v>
      </c>
    </row>
    <row r="131" spans="1:30" ht="13.5" thickBot="1" x14ac:dyDescent="0.25">
      <c r="A131" s="48" t="s">
        <v>632</v>
      </c>
      <c r="B131" s="47" t="s">
        <v>631</v>
      </c>
      <c r="C131" s="48" t="s">
        <v>17</v>
      </c>
      <c r="D131" s="48" t="s">
        <v>2101</v>
      </c>
      <c r="E131" s="129" t="s">
        <v>101</v>
      </c>
      <c r="F131" s="129" t="s">
        <v>102</v>
      </c>
      <c r="G131" s="108">
        <v>4659</v>
      </c>
      <c r="H131" s="87" t="s">
        <v>1648</v>
      </c>
      <c r="I131" s="205">
        <v>1500</v>
      </c>
      <c r="J131" s="207">
        <v>4659</v>
      </c>
      <c r="K131" s="208">
        <v>10683</v>
      </c>
      <c r="L131" s="208">
        <v>127610</v>
      </c>
      <c r="M131" s="208">
        <v>0</v>
      </c>
      <c r="N131" s="208">
        <v>0</v>
      </c>
      <c r="O131" s="208">
        <v>138293</v>
      </c>
      <c r="P131" s="208">
        <v>13234</v>
      </c>
      <c r="Q131" s="210">
        <v>0</v>
      </c>
      <c r="R131" s="203">
        <v>0</v>
      </c>
      <c r="S131" s="203">
        <v>0</v>
      </c>
      <c r="T131" s="203">
        <v>0</v>
      </c>
      <c r="U131" s="203">
        <v>0</v>
      </c>
      <c r="V131" s="203">
        <v>0</v>
      </c>
      <c r="W131" s="203">
        <v>0</v>
      </c>
      <c r="X131" s="208">
        <v>138293</v>
      </c>
      <c r="Y131" s="208">
        <v>13234</v>
      </c>
      <c r="Z131" s="208">
        <v>151527</v>
      </c>
      <c r="AA131" s="208">
        <v>3729</v>
      </c>
      <c r="AB131" s="208">
        <v>0</v>
      </c>
      <c r="AC131" s="208">
        <v>155256</v>
      </c>
      <c r="AD131" s="209">
        <v>33.323889246619444</v>
      </c>
    </row>
    <row r="132" spans="1:30" ht="13.5" thickBot="1" x14ac:dyDescent="0.25">
      <c r="A132" s="48" t="s">
        <v>644</v>
      </c>
      <c r="B132" s="47" t="s">
        <v>643</v>
      </c>
      <c r="C132" s="48" t="s">
        <v>17</v>
      </c>
      <c r="D132" s="48" t="s">
        <v>2478</v>
      </c>
      <c r="E132" s="129" t="s">
        <v>101</v>
      </c>
      <c r="F132" s="129" t="s">
        <v>102</v>
      </c>
      <c r="G132" s="108">
        <v>6295</v>
      </c>
      <c r="H132" s="87" t="s">
        <v>1649</v>
      </c>
      <c r="I132" s="205">
        <v>0</v>
      </c>
      <c r="J132" s="207">
        <v>6295</v>
      </c>
      <c r="K132" s="208">
        <v>45336</v>
      </c>
      <c r="L132" s="208">
        <v>381926</v>
      </c>
      <c r="M132" s="203">
        <v>0</v>
      </c>
      <c r="N132" s="203">
        <v>0</v>
      </c>
      <c r="O132" s="208">
        <v>427262</v>
      </c>
      <c r="P132" s="208">
        <v>9938</v>
      </c>
      <c r="Q132" s="210">
        <v>0</v>
      </c>
      <c r="R132" s="203">
        <v>0</v>
      </c>
      <c r="S132" s="203">
        <v>0</v>
      </c>
      <c r="T132" s="203">
        <v>0</v>
      </c>
      <c r="U132" s="203">
        <v>0</v>
      </c>
      <c r="V132" s="203">
        <v>0</v>
      </c>
      <c r="W132" s="203">
        <v>0</v>
      </c>
      <c r="X132" s="208">
        <v>427262</v>
      </c>
      <c r="Y132" s="208">
        <v>9938</v>
      </c>
      <c r="Z132" s="208">
        <v>437200</v>
      </c>
      <c r="AA132" s="208">
        <v>6000</v>
      </c>
      <c r="AB132" s="208">
        <v>0</v>
      </c>
      <c r="AC132" s="208">
        <v>443200</v>
      </c>
      <c r="AD132" s="209">
        <v>70.405083399523434</v>
      </c>
    </row>
    <row r="133" spans="1:30" ht="13.5" thickBot="1" x14ac:dyDescent="0.25">
      <c r="A133" s="48" t="s">
        <v>658</v>
      </c>
      <c r="B133" s="47" t="s">
        <v>657</v>
      </c>
      <c r="C133" s="48" t="s">
        <v>17</v>
      </c>
      <c r="D133" s="48" t="s">
        <v>2571</v>
      </c>
      <c r="E133" s="129" t="s">
        <v>15</v>
      </c>
      <c r="F133" s="129" t="s">
        <v>16</v>
      </c>
      <c r="G133" s="108">
        <v>4434</v>
      </c>
      <c r="H133" s="87" t="s">
        <v>1649</v>
      </c>
      <c r="I133" s="205">
        <v>0</v>
      </c>
      <c r="J133" s="207">
        <v>2452</v>
      </c>
      <c r="K133" s="208">
        <v>22127</v>
      </c>
      <c r="L133" s="208">
        <v>74265</v>
      </c>
      <c r="M133" s="208">
        <v>0</v>
      </c>
      <c r="N133" s="208">
        <v>0</v>
      </c>
      <c r="O133" s="208">
        <v>96392</v>
      </c>
      <c r="P133" s="208">
        <v>0</v>
      </c>
      <c r="Q133" s="207">
        <v>1982</v>
      </c>
      <c r="R133" s="208">
        <v>17995</v>
      </c>
      <c r="S133" s="208">
        <v>53414</v>
      </c>
      <c r="T133" s="208">
        <v>0</v>
      </c>
      <c r="U133" s="208">
        <v>0</v>
      </c>
      <c r="V133" s="208">
        <v>71409</v>
      </c>
      <c r="W133" s="208">
        <v>0</v>
      </c>
      <c r="X133" s="208">
        <v>167801</v>
      </c>
      <c r="Y133" s="208">
        <v>0</v>
      </c>
      <c r="Z133" s="208">
        <v>167801</v>
      </c>
      <c r="AA133" s="208">
        <v>3553</v>
      </c>
      <c r="AB133" s="208">
        <v>0</v>
      </c>
      <c r="AC133" s="208">
        <v>171354</v>
      </c>
      <c r="AD133" s="209">
        <v>38.64546684709066</v>
      </c>
    </row>
    <row r="134" spans="1:30" ht="13.5" thickBot="1" x14ac:dyDescent="0.25">
      <c r="A134" s="48" t="s">
        <v>668</v>
      </c>
      <c r="B134" s="47" t="s">
        <v>667</v>
      </c>
      <c r="C134" s="48" t="s">
        <v>17</v>
      </c>
      <c r="D134" s="48" t="s">
        <v>1953</v>
      </c>
      <c r="E134" s="129" t="s">
        <v>15</v>
      </c>
      <c r="F134" s="129" t="s">
        <v>16</v>
      </c>
      <c r="G134" s="108">
        <v>4375</v>
      </c>
      <c r="H134" s="87" t="s">
        <v>1648</v>
      </c>
      <c r="I134" s="205">
        <v>9700</v>
      </c>
      <c r="J134" s="207">
        <v>4122</v>
      </c>
      <c r="K134" s="208">
        <v>12938</v>
      </c>
      <c r="L134" s="208">
        <v>142868</v>
      </c>
      <c r="M134" s="203">
        <v>0</v>
      </c>
      <c r="N134" s="208">
        <v>1440</v>
      </c>
      <c r="O134" s="208">
        <v>157246</v>
      </c>
      <c r="P134" s="208">
        <v>15277</v>
      </c>
      <c r="Q134" s="207">
        <v>253</v>
      </c>
      <c r="R134" s="208">
        <v>794</v>
      </c>
      <c r="S134" s="208">
        <v>3749</v>
      </c>
      <c r="T134" s="208">
        <v>0</v>
      </c>
      <c r="U134" s="208">
        <v>0</v>
      </c>
      <c r="V134" s="208">
        <v>4543</v>
      </c>
      <c r="W134" s="208">
        <v>0</v>
      </c>
      <c r="X134" s="208">
        <v>161789</v>
      </c>
      <c r="Y134" s="208">
        <v>15277</v>
      </c>
      <c r="Z134" s="208">
        <v>177066</v>
      </c>
      <c r="AA134" s="208">
        <v>3507</v>
      </c>
      <c r="AB134" s="208">
        <v>0</v>
      </c>
      <c r="AC134" s="208">
        <v>180573</v>
      </c>
      <c r="AD134" s="209">
        <v>41.273828571428574</v>
      </c>
    </row>
    <row r="135" spans="1:30" ht="13.5" thickBot="1" x14ac:dyDescent="0.25">
      <c r="A135" s="48" t="s">
        <v>672</v>
      </c>
      <c r="B135" s="47" t="s">
        <v>671</v>
      </c>
      <c r="C135" s="48" t="s">
        <v>17</v>
      </c>
      <c r="D135" s="48" t="s">
        <v>1973</v>
      </c>
      <c r="E135" s="129" t="s">
        <v>20</v>
      </c>
      <c r="F135" s="129" t="s">
        <v>21</v>
      </c>
      <c r="G135" s="108">
        <v>5101</v>
      </c>
      <c r="H135" s="87" t="s">
        <v>1648</v>
      </c>
      <c r="I135" s="205">
        <v>2100</v>
      </c>
      <c r="J135" s="207">
        <v>5101</v>
      </c>
      <c r="K135" s="208">
        <v>27117</v>
      </c>
      <c r="L135" s="208">
        <v>265096</v>
      </c>
      <c r="M135" s="203">
        <v>0</v>
      </c>
      <c r="N135" s="208">
        <v>14632</v>
      </c>
      <c r="O135" s="208">
        <v>306845</v>
      </c>
      <c r="P135" s="208">
        <v>144740</v>
      </c>
      <c r="Q135" s="210">
        <v>0</v>
      </c>
      <c r="R135" s="203">
        <v>0</v>
      </c>
      <c r="S135" s="203">
        <v>0</v>
      </c>
      <c r="T135" s="203">
        <v>0</v>
      </c>
      <c r="U135" s="203">
        <v>0</v>
      </c>
      <c r="V135" s="203">
        <v>0</v>
      </c>
      <c r="W135" s="203">
        <v>0</v>
      </c>
      <c r="X135" s="208">
        <v>306845</v>
      </c>
      <c r="Y135" s="208">
        <v>144740</v>
      </c>
      <c r="Z135" s="208">
        <v>451585</v>
      </c>
      <c r="AA135" s="208">
        <v>5707</v>
      </c>
      <c r="AB135" s="208">
        <v>0</v>
      </c>
      <c r="AC135" s="208">
        <v>457292</v>
      </c>
      <c r="AD135" s="209">
        <v>89.647520094099193</v>
      </c>
    </row>
    <row r="136" spans="1:30" ht="13.5" thickBot="1" x14ac:dyDescent="0.25">
      <c r="A136" s="48" t="s">
        <v>678</v>
      </c>
      <c r="B136" s="47" t="s">
        <v>677</v>
      </c>
      <c r="C136" s="48" t="s">
        <v>17</v>
      </c>
      <c r="D136" s="48" t="s">
        <v>2028</v>
      </c>
      <c r="E136" s="129" t="s">
        <v>61</v>
      </c>
      <c r="F136" s="129" t="s">
        <v>62</v>
      </c>
      <c r="G136" s="108">
        <v>4038</v>
      </c>
      <c r="H136" s="87" t="s">
        <v>1648</v>
      </c>
      <c r="I136" s="205">
        <v>7200</v>
      </c>
      <c r="J136" s="207">
        <v>2724</v>
      </c>
      <c r="K136" s="208">
        <v>13361</v>
      </c>
      <c r="L136" s="208">
        <v>86512</v>
      </c>
      <c r="M136" s="203">
        <v>0</v>
      </c>
      <c r="N136" s="203">
        <v>0</v>
      </c>
      <c r="O136" s="208">
        <v>99873</v>
      </c>
      <c r="P136" s="208">
        <v>30923</v>
      </c>
      <c r="Q136" s="207">
        <v>1314</v>
      </c>
      <c r="R136" s="208">
        <v>0</v>
      </c>
      <c r="S136" s="208">
        <v>4069</v>
      </c>
      <c r="T136" s="208">
        <v>0</v>
      </c>
      <c r="U136" s="203">
        <v>0</v>
      </c>
      <c r="V136" s="208">
        <v>4069</v>
      </c>
      <c r="W136" s="203">
        <v>0</v>
      </c>
      <c r="X136" s="208">
        <v>103942</v>
      </c>
      <c r="Y136" s="208">
        <v>30923</v>
      </c>
      <c r="Z136" s="208">
        <v>134865</v>
      </c>
      <c r="AA136" s="208">
        <v>3236</v>
      </c>
      <c r="AB136" s="208">
        <v>0</v>
      </c>
      <c r="AC136" s="208">
        <v>138101</v>
      </c>
      <c r="AD136" s="209">
        <v>34.20034670629024</v>
      </c>
    </row>
    <row r="137" spans="1:30" ht="13.5" thickBot="1" x14ac:dyDescent="0.25">
      <c r="A137" s="48" t="s">
        <v>686</v>
      </c>
      <c r="B137" s="47" t="s">
        <v>685</v>
      </c>
      <c r="C137" s="48" t="s">
        <v>17</v>
      </c>
      <c r="D137" s="48" t="s">
        <v>2190</v>
      </c>
      <c r="E137" s="129" t="s">
        <v>61</v>
      </c>
      <c r="F137" s="129" t="s">
        <v>62</v>
      </c>
      <c r="G137" s="108">
        <v>5635</v>
      </c>
      <c r="H137" s="87" t="s">
        <v>1649</v>
      </c>
      <c r="I137" s="205">
        <v>0</v>
      </c>
      <c r="J137" s="207">
        <v>2991</v>
      </c>
      <c r="K137" s="208">
        <v>10455</v>
      </c>
      <c r="L137" s="208">
        <v>73454</v>
      </c>
      <c r="M137" s="203">
        <v>0</v>
      </c>
      <c r="N137" s="203">
        <v>0</v>
      </c>
      <c r="O137" s="208">
        <v>83909</v>
      </c>
      <c r="P137" s="208">
        <v>2558</v>
      </c>
      <c r="Q137" s="207">
        <v>2644</v>
      </c>
      <c r="R137" s="208">
        <v>9239</v>
      </c>
      <c r="S137" s="203">
        <v>0</v>
      </c>
      <c r="T137" s="203">
        <v>0</v>
      </c>
      <c r="U137" s="203">
        <v>0</v>
      </c>
      <c r="V137" s="208">
        <v>9239</v>
      </c>
      <c r="W137" s="203">
        <v>0</v>
      </c>
      <c r="X137" s="208">
        <v>93148</v>
      </c>
      <c r="Y137" s="208">
        <v>2558</v>
      </c>
      <c r="Z137" s="208">
        <v>95706</v>
      </c>
      <c r="AA137" s="208">
        <v>4516</v>
      </c>
      <c r="AB137" s="208">
        <v>0</v>
      </c>
      <c r="AC137" s="208">
        <v>100222</v>
      </c>
      <c r="AD137" s="209">
        <v>17.785625554569656</v>
      </c>
    </row>
    <row r="138" spans="1:30" ht="13.5" thickBot="1" x14ac:dyDescent="0.25">
      <c r="A138" s="48" t="s">
        <v>708</v>
      </c>
      <c r="B138" s="47" t="s">
        <v>707</v>
      </c>
      <c r="C138" s="48" t="s">
        <v>17</v>
      </c>
      <c r="D138" s="48" t="s">
        <v>1947</v>
      </c>
      <c r="E138" s="129" t="s">
        <v>20</v>
      </c>
      <c r="F138" s="129" t="s">
        <v>21</v>
      </c>
      <c r="G138" s="108">
        <v>4046</v>
      </c>
      <c r="H138" s="87" t="s">
        <v>1649</v>
      </c>
      <c r="I138" s="205">
        <v>0</v>
      </c>
      <c r="J138" s="207">
        <v>4046</v>
      </c>
      <c r="K138" s="208">
        <v>9100</v>
      </c>
      <c r="L138" s="208">
        <v>157830</v>
      </c>
      <c r="M138" s="208">
        <v>0</v>
      </c>
      <c r="N138" s="203">
        <v>0</v>
      </c>
      <c r="O138" s="208">
        <v>166930</v>
      </c>
      <c r="P138" s="208">
        <v>66420</v>
      </c>
      <c r="Q138" s="210">
        <v>0</v>
      </c>
      <c r="R138" s="203">
        <v>0</v>
      </c>
      <c r="S138" s="203">
        <v>0</v>
      </c>
      <c r="T138" s="203">
        <v>0</v>
      </c>
      <c r="U138" s="203">
        <v>0</v>
      </c>
      <c r="V138" s="203">
        <v>0</v>
      </c>
      <c r="W138" s="203">
        <v>0</v>
      </c>
      <c r="X138" s="208">
        <v>166930</v>
      </c>
      <c r="Y138" s="208">
        <v>66420</v>
      </c>
      <c r="Z138" s="208">
        <v>233350</v>
      </c>
      <c r="AA138" s="208">
        <v>3243</v>
      </c>
      <c r="AB138" s="208">
        <v>0</v>
      </c>
      <c r="AC138" s="208">
        <v>236593</v>
      </c>
      <c r="AD138" s="209">
        <v>58.475778546712803</v>
      </c>
    </row>
    <row r="139" spans="1:30" ht="13.5" thickBot="1" x14ac:dyDescent="0.25">
      <c r="A139" s="48" t="s">
        <v>720</v>
      </c>
      <c r="B139" s="47" t="s">
        <v>719</v>
      </c>
      <c r="C139" s="48" t="s">
        <v>17</v>
      </c>
      <c r="D139" s="48" t="s">
        <v>2393</v>
      </c>
      <c r="E139" s="129" t="s">
        <v>20</v>
      </c>
      <c r="F139" s="129" t="s">
        <v>21</v>
      </c>
      <c r="G139" s="108">
        <v>5479</v>
      </c>
      <c r="H139" s="87" t="s">
        <v>1649</v>
      </c>
      <c r="I139" s="205">
        <v>0</v>
      </c>
      <c r="J139" s="207">
        <v>5479</v>
      </c>
      <c r="K139" s="208">
        <v>8460</v>
      </c>
      <c r="L139" s="208">
        <v>222735</v>
      </c>
      <c r="M139" s="208">
        <v>11458</v>
      </c>
      <c r="N139" s="208">
        <v>6</v>
      </c>
      <c r="O139" s="208">
        <v>242659</v>
      </c>
      <c r="P139" s="208">
        <v>18243</v>
      </c>
      <c r="Q139" s="210">
        <v>0</v>
      </c>
      <c r="R139" s="208">
        <v>0</v>
      </c>
      <c r="S139" s="203">
        <v>0</v>
      </c>
      <c r="T139" s="203">
        <v>0</v>
      </c>
      <c r="U139" s="203">
        <v>0</v>
      </c>
      <c r="V139" s="208">
        <v>0</v>
      </c>
      <c r="W139" s="203">
        <v>0</v>
      </c>
      <c r="X139" s="208">
        <v>242659</v>
      </c>
      <c r="Y139" s="208">
        <v>18243</v>
      </c>
      <c r="Z139" s="208">
        <v>260902</v>
      </c>
      <c r="AA139" s="208">
        <v>5792</v>
      </c>
      <c r="AB139" s="208">
        <v>0</v>
      </c>
      <c r="AC139" s="208">
        <v>266694</v>
      </c>
      <c r="AD139" s="209">
        <v>48.675670742836282</v>
      </c>
    </row>
    <row r="140" spans="1:30" ht="13.5" thickBot="1" x14ac:dyDescent="0.25">
      <c r="A140" s="48" t="s">
        <v>728</v>
      </c>
      <c r="B140" s="47" t="s">
        <v>727</v>
      </c>
      <c r="C140" s="48" t="s">
        <v>17</v>
      </c>
      <c r="D140" s="48" t="s">
        <v>2101</v>
      </c>
      <c r="E140" s="129" t="s">
        <v>20</v>
      </c>
      <c r="F140" s="129" t="s">
        <v>21</v>
      </c>
      <c r="G140" s="108">
        <v>6680</v>
      </c>
      <c r="H140" s="87" t="s">
        <v>1649</v>
      </c>
      <c r="I140" s="205">
        <v>0</v>
      </c>
      <c r="J140" s="207">
        <v>4520</v>
      </c>
      <c r="K140" s="208">
        <v>10364</v>
      </c>
      <c r="L140" s="208">
        <v>0</v>
      </c>
      <c r="M140" s="208">
        <v>37250</v>
      </c>
      <c r="N140" s="208">
        <v>2405</v>
      </c>
      <c r="O140" s="208">
        <v>50019</v>
      </c>
      <c r="P140" s="208">
        <v>2506</v>
      </c>
      <c r="Q140" s="207">
        <v>2160</v>
      </c>
      <c r="R140" s="208">
        <v>4953</v>
      </c>
      <c r="S140" s="203">
        <v>0</v>
      </c>
      <c r="T140" s="203">
        <v>0</v>
      </c>
      <c r="U140" s="203">
        <v>0</v>
      </c>
      <c r="V140" s="208">
        <v>4953</v>
      </c>
      <c r="W140" s="203">
        <v>0</v>
      </c>
      <c r="X140" s="208">
        <v>54972</v>
      </c>
      <c r="Y140" s="208">
        <v>2506</v>
      </c>
      <c r="Z140" s="208">
        <v>57478</v>
      </c>
      <c r="AA140" s="208">
        <v>5348</v>
      </c>
      <c r="AB140" s="208">
        <v>0</v>
      </c>
      <c r="AC140" s="208">
        <v>62826</v>
      </c>
      <c r="AD140" s="209">
        <v>9.4050898203592812</v>
      </c>
    </row>
    <row r="141" spans="1:30" ht="13.5" thickBot="1" x14ac:dyDescent="0.25">
      <c r="A141" s="48" t="s">
        <v>736</v>
      </c>
      <c r="B141" s="47" t="s">
        <v>735</v>
      </c>
      <c r="C141" s="48" t="s">
        <v>17</v>
      </c>
      <c r="D141" s="48" t="s">
        <v>2101</v>
      </c>
      <c r="E141" s="129" t="s">
        <v>61</v>
      </c>
      <c r="F141" s="129" t="s">
        <v>62</v>
      </c>
      <c r="G141" s="108">
        <v>6033</v>
      </c>
      <c r="H141" s="87" t="s">
        <v>1648</v>
      </c>
      <c r="I141" s="205">
        <v>5085</v>
      </c>
      <c r="J141" s="207">
        <v>6033</v>
      </c>
      <c r="K141" s="208">
        <v>14780</v>
      </c>
      <c r="L141" s="203">
        <v>0</v>
      </c>
      <c r="M141" s="208">
        <v>86000</v>
      </c>
      <c r="N141" s="203">
        <v>0</v>
      </c>
      <c r="O141" s="208">
        <v>100780</v>
      </c>
      <c r="P141" s="208">
        <v>3990</v>
      </c>
      <c r="Q141" s="210">
        <v>0</v>
      </c>
      <c r="R141" s="203">
        <v>0</v>
      </c>
      <c r="S141" s="203">
        <v>0</v>
      </c>
      <c r="T141" s="203">
        <v>0</v>
      </c>
      <c r="U141" s="203">
        <v>0</v>
      </c>
      <c r="V141" s="203">
        <v>0</v>
      </c>
      <c r="W141" s="203">
        <v>0</v>
      </c>
      <c r="X141" s="208">
        <v>100780</v>
      </c>
      <c r="Y141" s="208">
        <v>3990</v>
      </c>
      <c r="Z141" s="208">
        <v>104770</v>
      </c>
      <c r="AA141" s="208">
        <v>4836</v>
      </c>
      <c r="AB141" s="208">
        <v>0</v>
      </c>
      <c r="AC141" s="208">
        <v>109606</v>
      </c>
      <c r="AD141" s="209">
        <v>18.167744074258245</v>
      </c>
    </row>
    <row r="142" spans="1:30" ht="13.5" thickBot="1" x14ac:dyDescent="0.25">
      <c r="A142" s="48" t="s">
        <v>744</v>
      </c>
      <c r="B142" s="47" t="s">
        <v>743</v>
      </c>
      <c r="C142" s="48" t="s">
        <v>17</v>
      </c>
      <c r="D142" s="48" t="s">
        <v>2057</v>
      </c>
      <c r="E142" s="129" t="s">
        <v>61</v>
      </c>
      <c r="F142" s="129" t="s">
        <v>62</v>
      </c>
      <c r="G142" s="108">
        <v>4576</v>
      </c>
      <c r="H142" s="87" t="s">
        <v>1648</v>
      </c>
      <c r="I142" s="205">
        <v>3500</v>
      </c>
      <c r="J142" s="207">
        <v>2574</v>
      </c>
      <c r="K142" s="208">
        <v>18901</v>
      </c>
      <c r="L142" s="208">
        <v>138845</v>
      </c>
      <c r="M142" s="203">
        <v>0</v>
      </c>
      <c r="N142" s="203">
        <v>0</v>
      </c>
      <c r="O142" s="208">
        <v>157746</v>
      </c>
      <c r="P142" s="208">
        <v>4376</v>
      </c>
      <c r="Q142" s="207">
        <v>2002</v>
      </c>
      <c r="R142" s="208">
        <v>14701</v>
      </c>
      <c r="S142" s="203">
        <v>0</v>
      </c>
      <c r="T142" s="203">
        <v>0</v>
      </c>
      <c r="U142" s="208">
        <v>10000</v>
      </c>
      <c r="V142" s="208">
        <v>24701</v>
      </c>
      <c r="W142" s="203">
        <v>0</v>
      </c>
      <c r="X142" s="208">
        <v>182447</v>
      </c>
      <c r="Y142" s="208">
        <v>4376</v>
      </c>
      <c r="Z142" s="208">
        <v>186823</v>
      </c>
      <c r="AA142" s="208">
        <v>3667</v>
      </c>
      <c r="AB142" s="208">
        <v>0</v>
      </c>
      <c r="AC142" s="208">
        <v>190490</v>
      </c>
      <c r="AD142" s="209">
        <v>41.62805944055944</v>
      </c>
    </row>
    <row r="143" spans="1:30" ht="13.5" thickBot="1" x14ac:dyDescent="0.25">
      <c r="A143" s="48" t="s">
        <v>758</v>
      </c>
      <c r="B143" s="47" t="s">
        <v>757</v>
      </c>
      <c r="C143" s="48" t="s">
        <v>17</v>
      </c>
      <c r="D143" s="48" t="s">
        <v>2010</v>
      </c>
      <c r="E143" s="129" t="s">
        <v>20</v>
      </c>
      <c r="F143" s="129" t="s">
        <v>21</v>
      </c>
      <c r="G143" s="108">
        <v>4757</v>
      </c>
      <c r="H143" s="87" t="s">
        <v>1648</v>
      </c>
      <c r="I143" s="205">
        <v>5000</v>
      </c>
      <c r="J143" s="207">
        <v>4757</v>
      </c>
      <c r="K143" s="208">
        <v>4966</v>
      </c>
      <c r="L143" s="208">
        <v>250539</v>
      </c>
      <c r="M143" s="208">
        <v>0</v>
      </c>
      <c r="N143" s="208">
        <v>2291</v>
      </c>
      <c r="O143" s="208">
        <v>257796</v>
      </c>
      <c r="P143" s="208">
        <v>5270</v>
      </c>
      <c r="Q143" s="210">
        <v>0</v>
      </c>
      <c r="R143" s="203">
        <v>0</v>
      </c>
      <c r="S143" s="203">
        <v>0</v>
      </c>
      <c r="T143" s="203">
        <v>0</v>
      </c>
      <c r="U143" s="203">
        <v>0</v>
      </c>
      <c r="V143" s="203">
        <v>0</v>
      </c>
      <c r="W143" s="203">
        <v>0</v>
      </c>
      <c r="X143" s="208">
        <v>257796</v>
      </c>
      <c r="Y143" s="208">
        <v>5270</v>
      </c>
      <c r="Z143" s="208">
        <v>263066</v>
      </c>
      <c r="AA143" s="208">
        <v>5733</v>
      </c>
      <c r="AB143" s="208">
        <v>0</v>
      </c>
      <c r="AC143" s="208">
        <v>268799</v>
      </c>
      <c r="AD143" s="209">
        <v>56.505991170906036</v>
      </c>
    </row>
    <row r="144" spans="1:30" ht="13.5" thickBot="1" x14ac:dyDescent="0.25">
      <c r="A144" s="48" t="s">
        <v>764</v>
      </c>
      <c r="B144" s="47" t="s">
        <v>763</v>
      </c>
      <c r="C144" s="48" t="s">
        <v>17</v>
      </c>
      <c r="D144" s="48" t="s">
        <v>2215</v>
      </c>
      <c r="E144" s="129" t="s">
        <v>15</v>
      </c>
      <c r="F144" s="129" t="s">
        <v>16</v>
      </c>
      <c r="G144" s="108">
        <v>4614</v>
      </c>
      <c r="H144" s="87" t="s">
        <v>1649</v>
      </c>
      <c r="I144" s="205">
        <v>0</v>
      </c>
      <c r="J144" s="207">
        <v>4614</v>
      </c>
      <c r="K144" s="208">
        <v>9959</v>
      </c>
      <c r="L144" s="208">
        <v>58317</v>
      </c>
      <c r="M144" s="203">
        <v>0</v>
      </c>
      <c r="N144" s="208">
        <v>0</v>
      </c>
      <c r="O144" s="208">
        <v>68276</v>
      </c>
      <c r="P144" s="208">
        <v>8868</v>
      </c>
      <c r="Q144" s="210">
        <v>0</v>
      </c>
      <c r="R144" s="203">
        <v>0</v>
      </c>
      <c r="S144" s="203">
        <v>0</v>
      </c>
      <c r="T144" s="203">
        <v>0</v>
      </c>
      <c r="U144" s="203">
        <v>0</v>
      </c>
      <c r="V144" s="203">
        <v>0</v>
      </c>
      <c r="W144" s="208">
        <v>0</v>
      </c>
      <c r="X144" s="208">
        <v>68276</v>
      </c>
      <c r="Y144" s="208">
        <v>8868</v>
      </c>
      <c r="Z144" s="208">
        <v>77144</v>
      </c>
      <c r="AA144" s="208">
        <v>7028</v>
      </c>
      <c r="AB144" s="208">
        <v>0</v>
      </c>
      <c r="AC144" s="208">
        <v>84172</v>
      </c>
      <c r="AD144" s="209">
        <v>18.242739488513219</v>
      </c>
    </row>
    <row r="145" spans="1:30" ht="13.5" thickBot="1" x14ac:dyDescent="0.25">
      <c r="A145" s="48" t="s">
        <v>774</v>
      </c>
      <c r="B145" s="47" t="s">
        <v>773</v>
      </c>
      <c r="C145" s="48" t="s">
        <v>17</v>
      </c>
      <c r="D145" s="48" t="s">
        <v>1940</v>
      </c>
      <c r="E145" s="129" t="s">
        <v>20</v>
      </c>
      <c r="F145" s="129" t="s">
        <v>21</v>
      </c>
      <c r="G145" s="108">
        <v>6999</v>
      </c>
      <c r="H145" s="87" t="s">
        <v>1649</v>
      </c>
      <c r="I145" s="205">
        <v>0</v>
      </c>
      <c r="J145" s="207">
        <v>6999</v>
      </c>
      <c r="K145" s="208">
        <v>12053</v>
      </c>
      <c r="L145" s="208">
        <v>346418</v>
      </c>
      <c r="M145" s="208">
        <v>0</v>
      </c>
      <c r="N145" s="208">
        <v>3120</v>
      </c>
      <c r="O145" s="208">
        <v>361591</v>
      </c>
      <c r="P145" s="208">
        <v>10677</v>
      </c>
      <c r="Q145" s="210">
        <v>0</v>
      </c>
      <c r="R145" s="203">
        <v>0</v>
      </c>
      <c r="S145" s="203">
        <v>0</v>
      </c>
      <c r="T145" s="203">
        <v>0</v>
      </c>
      <c r="U145" s="203">
        <v>0</v>
      </c>
      <c r="V145" s="203">
        <v>0</v>
      </c>
      <c r="W145" s="203">
        <v>0</v>
      </c>
      <c r="X145" s="208">
        <v>361591</v>
      </c>
      <c r="Y145" s="208">
        <v>10677</v>
      </c>
      <c r="Z145" s="208">
        <v>372268</v>
      </c>
      <c r="AA145" s="208">
        <v>5603</v>
      </c>
      <c r="AB145" s="208">
        <v>2482</v>
      </c>
      <c r="AC145" s="208">
        <v>380353</v>
      </c>
      <c r="AD145" s="209">
        <v>54.343906272324617</v>
      </c>
    </row>
    <row r="146" spans="1:30" ht="13.5" thickBot="1" x14ac:dyDescent="0.25">
      <c r="A146" s="48" t="s">
        <v>784</v>
      </c>
      <c r="B146" s="47" t="s">
        <v>783</v>
      </c>
      <c r="C146" s="48" t="s">
        <v>17</v>
      </c>
      <c r="D146" s="48" t="s">
        <v>2057</v>
      </c>
      <c r="E146" s="129" t="s">
        <v>20</v>
      </c>
      <c r="F146" s="129" t="s">
        <v>21</v>
      </c>
      <c r="G146" s="108">
        <v>4837</v>
      </c>
      <c r="H146" s="87" t="s">
        <v>1648</v>
      </c>
      <c r="I146" s="205">
        <v>2836</v>
      </c>
      <c r="J146" s="207">
        <v>4837</v>
      </c>
      <c r="K146" s="208">
        <v>35522</v>
      </c>
      <c r="L146" s="208">
        <v>176859</v>
      </c>
      <c r="M146" s="203">
        <v>0</v>
      </c>
      <c r="N146" s="203">
        <v>0</v>
      </c>
      <c r="O146" s="208">
        <v>212381</v>
      </c>
      <c r="P146" s="208">
        <v>15431</v>
      </c>
      <c r="Q146" s="210">
        <v>0</v>
      </c>
      <c r="R146" s="203">
        <v>0</v>
      </c>
      <c r="S146" s="203">
        <v>0</v>
      </c>
      <c r="T146" s="203">
        <v>0</v>
      </c>
      <c r="U146" s="203">
        <v>0</v>
      </c>
      <c r="V146" s="203">
        <v>0</v>
      </c>
      <c r="W146" s="203">
        <v>0</v>
      </c>
      <c r="X146" s="208">
        <v>212381</v>
      </c>
      <c r="Y146" s="208">
        <v>15431</v>
      </c>
      <c r="Z146" s="208">
        <v>227812</v>
      </c>
      <c r="AA146" s="208">
        <v>3877</v>
      </c>
      <c r="AB146" s="208">
        <v>0</v>
      </c>
      <c r="AC146" s="208">
        <v>231689</v>
      </c>
      <c r="AD146" s="209">
        <v>47.899317758941493</v>
      </c>
    </row>
    <row r="147" spans="1:30" ht="13.5" thickBot="1" x14ac:dyDescent="0.25">
      <c r="A147" s="48" t="s">
        <v>802</v>
      </c>
      <c r="B147" s="47" t="s">
        <v>801</v>
      </c>
      <c r="C147" s="48" t="s">
        <v>17</v>
      </c>
      <c r="D147" s="48" t="s">
        <v>2126</v>
      </c>
      <c r="E147" s="129" t="s">
        <v>20</v>
      </c>
      <c r="F147" s="129" t="s">
        <v>21</v>
      </c>
      <c r="G147" s="108">
        <v>5240</v>
      </c>
      <c r="H147" s="87" t="s">
        <v>1648</v>
      </c>
      <c r="I147" s="205">
        <v>23500</v>
      </c>
      <c r="J147" s="207">
        <v>3753</v>
      </c>
      <c r="K147" s="208">
        <v>7745</v>
      </c>
      <c r="L147" s="208">
        <v>201586</v>
      </c>
      <c r="M147" s="208">
        <v>0</v>
      </c>
      <c r="N147" s="208">
        <v>0</v>
      </c>
      <c r="O147" s="208">
        <v>209331</v>
      </c>
      <c r="P147" s="208">
        <v>16079</v>
      </c>
      <c r="Q147" s="207">
        <v>1487</v>
      </c>
      <c r="R147" s="208">
        <v>3066</v>
      </c>
      <c r="S147" s="208">
        <v>0</v>
      </c>
      <c r="T147" s="208">
        <v>0</v>
      </c>
      <c r="U147" s="208">
        <v>1750</v>
      </c>
      <c r="V147" s="208">
        <v>4816</v>
      </c>
      <c r="W147" s="208">
        <v>0</v>
      </c>
      <c r="X147" s="208">
        <v>214147</v>
      </c>
      <c r="Y147" s="208">
        <v>16079</v>
      </c>
      <c r="Z147" s="208">
        <v>230226</v>
      </c>
      <c r="AA147" s="208">
        <v>4199</v>
      </c>
      <c r="AB147" s="208">
        <v>0</v>
      </c>
      <c r="AC147" s="208">
        <v>234425</v>
      </c>
      <c r="AD147" s="209">
        <v>44.737595419847331</v>
      </c>
    </row>
    <row r="148" spans="1:30" ht="13.5" thickBot="1" x14ac:dyDescent="0.25">
      <c r="A148" s="48" t="s">
        <v>24</v>
      </c>
      <c r="B148" s="47" t="s">
        <v>23</v>
      </c>
      <c r="C148" s="48" t="s">
        <v>25</v>
      </c>
      <c r="D148" s="48" t="s">
        <v>1953</v>
      </c>
      <c r="E148" s="129" t="s">
        <v>20</v>
      </c>
      <c r="F148" s="129" t="s">
        <v>21</v>
      </c>
      <c r="G148" s="108">
        <v>7410</v>
      </c>
      <c r="H148" s="87" t="s">
        <v>1649</v>
      </c>
      <c r="I148" s="205">
        <v>0</v>
      </c>
      <c r="J148" s="207">
        <v>7410</v>
      </c>
      <c r="K148" s="208">
        <v>23256</v>
      </c>
      <c r="L148" s="208">
        <v>233882</v>
      </c>
      <c r="M148" s="203">
        <v>0</v>
      </c>
      <c r="N148" s="208">
        <v>5308</v>
      </c>
      <c r="O148" s="208">
        <v>262446</v>
      </c>
      <c r="P148" s="208">
        <v>13843</v>
      </c>
      <c r="Q148" s="210">
        <v>0</v>
      </c>
      <c r="R148" s="203">
        <v>0</v>
      </c>
      <c r="S148" s="203">
        <v>0</v>
      </c>
      <c r="T148" s="203">
        <v>0</v>
      </c>
      <c r="U148" s="203">
        <v>0</v>
      </c>
      <c r="V148" s="203">
        <v>0</v>
      </c>
      <c r="W148" s="203">
        <v>0</v>
      </c>
      <c r="X148" s="208">
        <v>262446</v>
      </c>
      <c r="Y148" s="208">
        <v>13843</v>
      </c>
      <c r="Z148" s="208">
        <v>276289</v>
      </c>
      <c r="AA148" s="208">
        <v>5939</v>
      </c>
      <c r="AB148" s="208">
        <v>0</v>
      </c>
      <c r="AC148" s="208">
        <v>282228</v>
      </c>
      <c r="AD148" s="209">
        <v>38.08744939271255</v>
      </c>
    </row>
    <row r="149" spans="1:30" ht="13.5" thickBot="1" x14ac:dyDescent="0.25">
      <c r="A149" s="48" t="s">
        <v>27</v>
      </c>
      <c r="B149" s="47" t="s">
        <v>26</v>
      </c>
      <c r="C149" s="48" t="s">
        <v>25</v>
      </c>
      <c r="D149" s="48" t="s">
        <v>1958</v>
      </c>
      <c r="E149" s="129" t="s">
        <v>20</v>
      </c>
      <c r="F149" s="129" t="s">
        <v>21</v>
      </c>
      <c r="G149" s="108">
        <v>11600</v>
      </c>
      <c r="H149" s="87" t="s">
        <v>1648</v>
      </c>
      <c r="I149" s="204" t="s">
        <v>1660</v>
      </c>
      <c r="J149" s="207">
        <v>2978</v>
      </c>
      <c r="K149" s="208">
        <v>13919</v>
      </c>
      <c r="L149" s="203">
        <v>0</v>
      </c>
      <c r="M149" s="203">
        <v>0</v>
      </c>
      <c r="N149" s="208">
        <v>14262</v>
      </c>
      <c r="O149" s="208">
        <v>28181</v>
      </c>
      <c r="P149" s="208">
        <v>10101</v>
      </c>
      <c r="Q149" s="207">
        <v>8622</v>
      </c>
      <c r="R149" s="208">
        <v>40299</v>
      </c>
      <c r="S149" s="203">
        <v>0</v>
      </c>
      <c r="T149" s="203">
        <v>0</v>
      </c>
      <c r="U149" s="208">
        <v>25866</v>
      </c>
      <c r="V149" s="208">
        <v>66165</v>
      </c>
      <c r="W149" s="203">
        <v>0</v>
      </c>
      <c r="X149" s="208">
        <v>94346</v>
      </c>
      <c r="Y149" s="208">
        <v>10101</v>
      </c>
      <c r="Z149" s="208">
        <v>104447</v>
      </c>
      <c r="AA149" s="208">
        <v>5202</v>
      </c>
      <c r="AB149" s="208">
        <v>0</v>
      </c>
      <c r="AC149" s="208">
        <v>109649</v>
      </c>
      <c r="AD149" s="209">
        <v>9.4525000000000006</v>
      </c>
    </row>
    <row r="150" spans="1:30" ht="13.5" thickBot="1" x14ac:dyDescent="0.25">
      <c r="A150" s="48" t="s">
        <v>29</v>
      </c>
      <c r="B150" s="47" t="s">
        <v>28</v>
      </c>
      <c r="C150" s="48" t="s">
        <v>25</v>
      </c>
      <c r="D150" s="48" t="s">
        <v>1960</v>
      </c>
      <c r="E150" s="129" t="s">
        <v>15</v>
      </c>
      <c r="F150" s="129" t="s">
        <v>16</v>
      </c>
      <c r="G150" s="108">
        <v>11569</v>
      </c>
      <c r="H150" s="87" t="s">
        <v>1648</v>
      </c>
      <c r="I150" s="205">
        <v>6450</v>
      </c>
      <c r="J150" s="207">
        <v>11569</v>
      </c>
      <c r="K150" s="208">
        <v>23287</v>
      </c>
      <c r="L150" s="208">
        <v>574224</v>
      </c>
      <c r="M150" s="203">
        <v>0</v>
      </c>
      <c r="N150" s="208">
        <v>28642</v>
      </c>
      <c r="O150" s="208">
        <v>626153</v>
      </c>
      <c r="P150" s="208">
        <v>35026</v>
      </c>
      <c r="Q150" s="210">
        <v>0</v>
      </c>
      <c r="R150" s="203">
        <v>0</v>
      </c>
      <c r="S150" s="203">
        <v>0</v>
      </c>
      <c r="T150" s="203">
        <v>0</v>
      </c>
      <c r="U150" s="203">
        <v>0</v>
      </c>
      <c r="V150" s="203">
        <v>0</v>
      </c>
      <c r="W150" s="203">
        <v>0</v>
      </c>
      <c r="X150" s="208">
        <v>626153</v>
      </c>
      <c r="Y150" s="208">
        <v>35026</v>
      </c>
      <c r="Z150" s="208">
        <v>661179</v>
      </c>
      <c r="AA150" s="208">
        <v>9272</v>
      </c>
      <c r="AB150" s="208">
        <v>0</v>
      </c>
      <c r="AC150" s="208">
        <v>670451</v>
      </c>
      <c r="AD150" s="209">
        <v>57.952372720200536</v>
      </c>
    </row>
    <row r="151" spans="1:30" ht="13.5" thickBot="1" x14ac:dyDescent="0.25">
      <c r="A151" s="48" t="s">
        <v>31</v>
      </c>
      <c r="B151" s="47" t="s">
        <v>30</v>
      </c>
      <c r="C151" s="48" t="s">
        <v>25</v>
      </c>
      <c r="D151" s="48" t="s">
        <v>1964</v>
      </c>
      <c r="E151" s="129" t="s">
        <v>15</v>
      </c>
      <c r="F151" s="129" t="s">
        <v>16</v>
      </c>
      <c r="G151" s="108">
        <v>9706</v>
      </c>
      <c r="H151" s="87" t="s">
        <v>1649</v>
      </c>
      <c r="I151" s="205">
        <v>0</v>
      </c>
      <c r="J151" s="207">
        <v>9706</v>
      </c>
      <c r="K151" s="208">
        <v>62976</v>
      </c>
      <c r="L151" s="208">
        <v>373273</v>
      </c>
      <c r="M151" s="208">
        <v>5450</v>
      </c>
      <c r="N151" s="208">
        <v>0</v>
      </c>
      <c r="O151" s="208">
        <v>441699</v>
      </c>
      <c r="P151" s="208">
        <v>5450</v>
      </c>
      <c r="Q151" s="210">
        <v>0</v>
      </c>
      <c r="R151" s="203">
        <v>0</v>
      </c>
      <c r="S151" s="203">
        <v>0</v>
      </c>
      <c r="T151" s="203">
        <v>0</v>
      </c>
      <c r="U151" s="203">
        <v>0</v>
      </c>
      <c r="V151" s="203">
        <v>0</v>
      </c>
      <c r="W151" s="203">
        <v>0</v>
      </c>
      <c r="X151" s="208">
        <v>441699</v>
      </c>
      <c r="Y151" s="208">
        <v>5450</v>
      </c>
      <c r="Z151" s="208">
        <v>447149</v>
      </c>
      <c r="AA151" s="208">
        <v>7779</v>
      </c>
      <c r="AB151" s="208">
        <v>0</v>
      </c>
      <c r="AC151" s="208">
        <v>454928</v>
      </c>
      <c r="AD151" s="209">
        <v>46.870801566041621</v>
      </c>
    </row>
    <row r="152" spans="1:30" ht="13.5" thickBot="1" x14ac:dyDescent="0.25">
      <c r="A152" s="48" t="s">
        <v>43</v>
      </c>
      <c r="B152" s="47" t="s">
        <v>42</v>
      </c>
      <c r="C152" s="48" t="s">
        <v>25</v>
      </c>
      <c r="D152" s="48" t="s">
        <v>1984</v>
      </c>
      <c r="E152" s="129" t="s">
        <v>20</v>
      </c>
      <c r="F152" s="129" t="s">
        <v>21</v>
      </c>
      <c r="G152" s="108">
        <v>11902</v>
      </c>
      <c r="H152" s="87" t="s">
        <v>1648</v>
      </c>
      <c r="I152" s="205">
        <v>200000</v>
      </c>
      <c r="J152" s="207">
        <v>9383</v>
      </c>
      <c r="K152" s="208">
        <v>77317</v>
      </c>
      <c r="L152" s="208">
        <v>267681</v>
      </c>
      <c r="M152" s="208">
        <v>0</v>
      </c>
      <c r="N152" s="208">
        <v>0</v>
      </c>
      <c r="O152" s="208">
        <v>344998</v>
      </c>
      <c r="P152" s="208">
        <v>22194</v>
      </c>
      <c r="Q152" s="207">
        <v>2519</v>
      </c>
      <c r="R152" s="208">
        <v>20757</v>
      </c>
      <c r="S152" s="203">
        <v>0</v>
      </c>
      <c r="T152" s="203">
        <v>0</v>
      </c>
      <c r="U152" s="203">
        <v>0</v>
      </c>
      <c r="V152" s="208">
        <v>20757</v>
      </c>
      <c r="W152" s="203">
        <v>0</v>
      </c>
      <c r="X152" s="208">
        <v>365755</v>
      </c>
      <c r="Y152" s="208">
        <v>22194</v>
      </c>
      <c r="Z152" s="208">
        <v>387949</v>
      </c>
      <c r="AA152" s="208">
        <v>9540</v>
      </c>
      <c r="AB152" s="208">
        <v>0</v>
      </c>
      <c r="AC152" s="208">
        <v>397489</v>
      </c>
      <c r="AD152" s="209">
        <v>33.396824063182656</v>
      </c>
    </row>
    <row r="153" spans="1:30" ht="13.5" thickBot="1" x14ac:dyDescent="0.25">
      <c r="A153" s="48" t="s">
        <v>51</v>
      </c>
      <c r="B153" s="47" t="s">
        <v>50</v>
      </c>
      <c r="C153" s="48" t="s">
        <v>25</v>
      </c>
      <c r="D153" s="48" t="s">
        <v>2002</v>
      </c>
      <c r="E153" s="129" t="s">
        <v>20</v>
      </c>
      <c r="F153" s="129" t="s">
        <v>21</v>
      </c>
      <c r="G153" s="108">
        <v>11000</v>
      </c>
      <c r="H153" s="87" t="s">
        <v>1649</v>
      </c>
      <c r="I153" s="205">
        <v>0</v>
      </c>
      <c r="J153" s="207">
        <v>5757</v>
      </c>
      <c r="K153" s="208">
        <v>22555</v>
      </c>
      <c r="L153" s="208">
        <v>175921</v>
      </c>
      <c r="M153" s="208">
        <v>0</v>
      </c>
      <c r="N153" s="208">
        <v>0</v>
      </c>
      <c r="O153" s="208">
        <v>198476</v>
      </c>
      <c r="P153" s="208">
        <v>0</v>
      </c>
      <c r="Q153" s="207">
        <v>5243</v>
      </c>
      <c r="R153" s="208">
        <v>20541</v>
      </c>
      <c r="S153" s="208">
        <v>55205</v>
      </c>
      <c r="T153" s="208">
        <v>0</v>
      </c>
      <c r="U153" s="208">
        <v>0</v>
      </c>
      <c r="V153" s="208">
        <v>75746</v>
      </c>
      <c r="W153" s="208">
        <v>0</v>
      </c>
      <c r="X153" s="208">
        <v>274222</v>
      </c>
      <c r="Y153" s="208">
        <v>0</v>
      </c>
      <c r="Z153" s="208">
        <v>274222</v>
      </c>
      <c r="AA153" s="208">
        <v>4965</v>
      </c>
      <c r="AB153" s="208">
        <v>0</v>
      </c>
      <c r="AC153" s="208">
        <v>279187</v>
      </c>
      <c r="AD153" s="209">
        <v>25.380636363636363</v>
      </c>
    </row>
    <row r="154" spans="1:30" ht="13.5" thickBot="1" x14ac:dyDescent="0.25">
      <c r="A154" s="48" t="s">
        <v>66</v>
      </c>
      <c r="B154" s="47" t="s">
        <v>65</v>
      </c>
      <c r="C154" s="48" t="s">
        <v>25</v>
      </c>
      <c r="D154" s="48" t="s">
        <v>2022</v>
      </c>
      <c r="E154" s="129" t="s">
        <v>15</v>
      </c>
      <c r="F154" s="129" t="s">
        <v>16</v>
      </c>
      <c r="G154" s="108">
        <v>7172</v>
      </c>
      <c r="H154" s="87" t="s">
        <v>1649</v>
      </c>
      <c r="I154" s="205">
        <v>0</v>
      </c>
      <c r="J154" s="207">
        <v>4697</v>
      </c>
      <c r="K154" s="208">
        <v>6263</v>
      </c>
      <c r="L154" s="208">
        <v>168359</v>
      </c>
      <c r="M154" s="203">
        <v>0</v>
      </c>
      <c r="N154" s="208">
        <v>331</v>
      </c>
      <c r="O154" s="208">
        <v>174953</v>
      </c>
      <c r="P154" s="208">
        <v>16875</v>
      </c>
      <c r="Q154" s="207">
        <v>2475</v>
      </c>
      <c r="R154" s="208">
        <v>2746</v>
      </c>
      <c r="S154" s="203">
        <v>0</v>
      </c>
      <c r="T154" s="203">
        <v>0</v>
      </c>
      <c r="U154" s="203">
        <v>0</v>
      </c>
      <c r="V154" s="208">
        <v>2746</v>
      </c>
      <c r="W154" s="203">
        <v>0</v>
      </c>
      <c r="X154" s="208">
        <v>177699</v>
      </c>
      <c r="Y154" s="208">
        <v>16875</v>
      </c>
      <c r="Z154" s="208">
        <v>194574</v>
      </c>
      <c r="AA154" s="208">
        <v>5749</v>
      </c>
      <c r="AB154" s="208">
        <v>0</v>
      </c>
      <c r="AC154" s="208">
        <v>200323</v>
      </c>
      <c r="AD154" s="209">
        <v>27.931260457334076</v>
      </c>
    </row>
    <row r="155" spans="1:30" ht="13.5" thickBot="1" x14ac:dyDescent="0.25">
      <c r="A155" s="48" t="s">
        <v>76</v>
      </c>
      <c r="B155" s="47" t="s">
        <v>75</v>
      </c>
      <c r="C155" s="48" t="s">
        <v>25</v>
      </c>
      <c r="D155" s="48" t="s">
        <v>2037</v>
      </c>
      <c r="E155" s="129" t="s">
        <v>15</v>
      </c>
      <c r="F155" s="129" t="s">
        <v>16</v>
      </c>
      <c r="G155" s="108">
        <v>11598</v>
      </c>
      <c r="H155" s="87" t="s">
        <v>1648</v>
      </c>
      <c r="I155" s="205">
        <v>13000</v>
      </c>
      <c r="J155" s="207">
        <v>11598</v>
      </c>
      <c r="K155" s="208">
        <v>64595</v>
      </c>
      <c r="L155" s="208">
        <v>285716</v>
      </c>
      <c r="M155" s="208">
        <v>0</v>
      </c>
      <c r="N155" s="208">
        <v>0</v>
      </c>
      <c r="O155" s="208">
        <v>350311</v>
      </c>
      <c r="P155" s="208">
        <v>5809</v>
      </c>
      <c r="Q155" s="210">
        <v>0</v>
      </c>
      <c r="R155" s="203">
        <v>0</v>
      </c>
      <c r="S155" s="203">
        <v>0</v>
      </c>
      <c r="T155" s="203">
        <v>0</v>
      </c>
      <c r="U155" s="203">
        <v>0</v>
      </c>
      <c r="V155" s="203">
        <v>0</v>
      </c>
      <c r="W155" s="203">
        <v>0</v>
      </c>
      <c r="X155" s="208">
        <v>350311</v>
      </c>
      <c r="Y155" s="208">
        <v>5809</v>
      </c>
      <c r="Z155" s="208">
        <v>356120</v>
      </c>
      <c r="AA155" s="208">
        <v>0</v>
      </c>
      <c r="AB155" s="208">
        <v>0</v>
      </c>
      <c r="AC155" s="208">
        <v>356120</v>
      </c>
      <c r="AD155" s="209">
        <v>30.705294016209692</v>
      </c>
    </row>
    <row r="156" spans="1:30" ht="13.5" thickBot="1" x14ac:dyDescent="0.25">
      <c r="A156" s="48" t="s">
        <v>96</v>
      </c>
      <c r="B156" s="47" t="s">
        <v>95</v>
      </c>
      <c r="C156" s="48" t="s">
        <v>25</v>
      </c>
      <c r="D156" s="48" t="s">
        <v>2057</v>
      </c>
      <c r="E156" s="129" t="s">
        <v>61</v>
      </c>
      <c r="F156" s="129" t="s">
        <v>62</v>
      </c>
      <c r="G156" s="108">
        <v>9197</v>
      </c>
      <c r="H156" s="87" t="s">
        <v>1648</v>
      </c>
      <c r="I156" s="205">
        <v>8000</v>
      </c>
      <c r="J156" s="207">
        <v>9197</v>
      </c>
      <c r="K156" s="208">
        <v>67541</v>
      </c>
      <c r="L156" s="208">
        <v>240667</v>
      </c>
      <c r="M156" s="203">
        <v>0</v>
      </c>
      <c r="N156" s="203">
        <v>0</v>
      </c>
      <c r="O156" s="208">
        <v>308208</v>
      </c>
      <c r="P156" s="208">
        <v>21375</v>
      </c>
      <c r="Q156" s="210">
        <v>0</v>
      </c>
      <c r="R156" s="203">
        <v>0</v>
      </c>
      <c r="S156" s="203">
        <v>0</v>
      </c>
      <c r="T156" s="203">
        <v>0</v>
      </c>
      <c r="U156" s="203">
        <v>0</v>
      </c>
      <c r="V156" s="203">
        <v>0</v>
      </c>
      <c r="W156" s="203">
        <v>0</v>
      </c>
      <c r="X156" s="208">
        <v>308208</v>
      </c>
      <c r="Y156" s="208">
        <v>21375</v>
      </c>
      <c r="Z156" s="208">
        <v>329583</v>
      </c>
      <c r="AA156" s="208">
        <v>7344</v>
      </c>
      <c r="AB156" s="208">
        <v>0</v>
      </c>
      <c r="AC156" s="208">
        <v>336927</v>
      </c>
      <c r="AD156" s="209">
        <v>36.63444601500489</v>
      </c>
    </row>
    <row r="157" spans="1:30" ht="13.5" thickBot="1" x14ac:dyDescent="0.25">
      <c r="A157" s="48" t="s">
        <v>106</v>
      </c>
      <c r="B157" s="47" t="s">
        <v>105</v>
      </c>
      <c r="C157" s="48" t="s">
        <v>25</v>
      </c>
      <c r="D157" s="48" t="s">
        <v>1940</v>
      </c>
      <c r="E157" s="129" t="s">
        <v>20</v>
      </c>
      <c r="F157" s="129" t="s">
        <v>21</v>
      </c>
      <c r="G157" s="108">
        <v>11825</v>
      </c>
      <c r="H157" s="87" t="s">
        <v>1649</v>
      </c>
      <c r="I157" s="205">
        <v>0</v>
      </c>
      <c r="J157" s="207">
        <v>11825</v>
      </c>
      <c r="K157" s="208">
        <v>25257</v>
      </c>
      <c r="L157" s="208">
        <v>445196</v>
      </c>
      <c r="M157" s="208">
        <v>0</v>
      </c>
      <c r="N157" s="208">
        <v>0</v>
      </c>
      <c r="O157" s="208">
        <v>470453</v>
      </c>
      <c r="P157" s="208">
        <v>22267</v>
      </c>
      <c r="Q157" s="210">
        <v>0</v>
      </c>
      <c r="R157" s="203">
        <v>0</v>
      </c>
      <c r="S157" s="203">
        <v>0</v>
      </c>
      <c r="T157" s="203">
        <v>0</v>
      </c>
      <c r="U157" s="203">
        <v>0</v>
      </c>
      <c r="V157" s="203">
        <v>0</v>
      </c>
      <c r="W157" s="203">
        <v>0</v>
      </c>
      <c r="X157" s="208">
        <v>470453</v>
      </c>
      <c r="Y157" s="208">
        <v>22267</v>
      </c>
      <c r="Z157" s="208">
        <v>492720</v>
      </c>
      <c r="AA157" s="208">
        <v>9478</v>
      </c>
      <c r="AB157" s="208">
        <v>2977</v>
      </c>
      <c r="AC157" s="208">
        <v>505175</v>
      </c>
      <c r="AD157" s="209">
        <v>42.720930232558139</v>
      </c>
    </row>
    <row r="158" spans="1:30" ht="13.5" thickBot="1" x14ac:dyDescent="0.25">
      <c r="A158" s="48" t="s">
        <v>110</v>
      </c>
      <c r="B158" s="47" t="s">
        <v>109</v>
      </c>
      <c r="C158" s="48" t="s">
        <v>25</v>
      </c>
      <c r="D158" s="48" t="s">
        <v>2045</v>
      </c>
      <c r="E158" s="129" t="s">
        <v>111</v>
      </c>
      <c r="F158" s="129" t="s">
        <v>112</v>
      </c>
      <c r="G158" s="108">
        <v>7226</v>
      </c>
      <c r="H158" s="87" t="s">
        <v>1649</v>
      </c>
      <c r="I158" s="205">
        <v>0</v>
      </c>
      <c r="J158" s="207">
        <v>7226</v>
      </c>
      <c r="K158" s="208">
        <v>26770</v>
      </c>
      <c r="L158" s="208">
        <v>498300</v>
      </c>
      <c r="M158" s="203">
        <v>0</v>
      </c>
      <c r="N158" s="208">
        <v>9390</v>
      </c>
      <c r="O158" s="208">
        <v>534460</v>
      </c>
      <c r="P158" s="208">
        <v>67590</v>
      </c>
      <c r="Q158" s="210">
        <v>0</v>
      </c>
      <c r="R158" s="203">
        <v>0</v>
      </c>
      <c r="S158" s="203">
        <v>0</v>
      </c>
      <c r="T158" s="203">
        <v>0</v>
      </c>
      <c r="U158" s="203">
        <v>0</v>
      </c>
      <c r="V158" s="203">
        <v>0</v>
      </c>
      <c r="W158" s="203">
        <v>0</v>
      </c>
      <c r="X158" s="208">
        <v>534460</v>
      </c>
      <c r="Y158" s="208">
        <v>67590</v>
      </c>
      <c r="Z158" s="208">
        <v>602050</v>
      </c>
      <c r="AA158" s="208">
        <v>8660</v>
      </c>
      <c r="AB158" s="208">
        <v>0</v>
      </c>
      <c r="AC158" s="208">
        <v>610710</v>
      </c>
      <c r="AD158" s="209">
        <v>84.515637973982834</v>
      </c>
    </row>
    <row r="159" spans="1:30" ht="13.5" thickBot="1" x14ac:dyDescent="0.25">
      <c r="A159" s="48" t="s">
        <v>128</v>
      </c>
      <c r="B159" s="47" t="s">
        <v>127</v>
      </c>
      <c r="C159" s="48" t="s">
        <v>25</v>
      </c>
      <c r="D159" s="48" t="s">
        <v>2057</v>
      </c>
      <c r="E159" s="129" t="s">
        <v>20</v>
      </c>
      <c r="F159" s="129" t="s">
        <v>21</v>
      </c>
      <c r="G159" s="108">
        <v>10090</v>
      </c>
      <c r="H159" s="87" t="s">
        <v>1649</v>
      </c>
      <c r="I159" s="205">
        <v>0</v>
      </c>
      <c r="J159" s="207">
        <v>9878</v>
      </c>
      <c r="K159" s="208">
        <v>74098</v>
      </c>
      <c r="L159" s="208">
        <v>385971.47</v>
      </c>
      <c r="M159" s="203">
        <v>0</v>
      </c>
      <c r="N159" s="208">
        <v>2000</v>
      </c>
      <c r="O159" s="208">
        <v>462069.47</v>
      </c>
      <c r="P159" s="208">
        <v>23794</v>
      </c>
      <c r="Q159" s="207">
        <v>212</v>
      </c>
      <c r="R159" s="208">
        <v>1590</v>
      </c>
      <c r="S159" s="203">
        <v>0</v>
      </c>
      <c r="T159" s="203">
        <v>0</v>
      </c>
      <c r="U159" s="203">
        <v>0</v>
      </c>
      <c r="V159" s="208">
        <v>1590</v>
      </c>
      <c r="W159" s="203">
        <v>0</v>
      </c>
      <c r="X159" s="208">
        <v>463659.47</v>
      </c>
      <c r="Y159" s="208">
        <v>23794</v>
      </c>
      <c r="Z159" s="208">
        <v>487453.47</v>
      </c>
      <c r="AA159" s="208">
        <v>8087</v>
      </c>
      <c r="AB159" s="208">
        <v>0</v>
      </c>
      <c r="AC159" s="208">
        <v>495540.47</v>
      </c>
      <c r="AD159" s="209">
        <v>49.112038652130821</v>
      </c>
    </row>
    <row r="160" spans="1:30" ht="13.5" thickBot="1" x14ac:dyDescent="0.25">
      <c r="A160" s="48" t="s">
        <v>130</v>
      </c>
      <c r="B160" s="47" t="s">
        <v>129</v>
      </c>
      <c r="C160" s="48" t="s">
        <v>25</v>
      </c>
      <c r="D160" s="48" t="s">
        <v>2122</v>
      </c>
      <c r="E160" s="129" t="s">
        <v>20</v>
      </c>
      <c r="F160" s="129" t="s">
        <v>21</v>
      </c>
      <c r="G160" s="108">
        <v>9705</v>
      </c>
      <c r="H160" s="87" t="s">
        <v>1649</v>
      </c>
      <c r="I160" s="205">
        <v>0</v>
      </c>
      <c r="J160" s="207">
        <v>9705</v>
      </c>
      <c r="K160" s="208">
        <v>46630</v>
      </c>
      <c r="L160" s="208">
        <v>303066</v>
      </c>
      <c r="M160" s="203">
        <v>0</v>
      </c>
      <c r="N160" s="203">
        <v>0</v>
      </c>
      <c r="O160" s="208">
        <v>349696</v>
      </c>
      <c r="P160" s="208">
        <v>9476</v>
      </c>
      <c r="Q160" s="210">
        <v>0</v>
      </c>
      <c r="R160" s="203">
        <v>0</v>
      </c>
      <c r="S160" s="203">
        <v>0</v>
      </c>
      <c r="T160" s="203">
        <v>0</v>
      </c>
      <c r="U160" s="203">
        <v>0</v>
      </c>
      <c r="V160" s="203">
        <v>0</v>
      </c>
      <c r="W160" s="203">
        <v>0</v>
      </c>
      <c r="X160" s="208">
        <v>349696</v>
      </c>
      <c r="Y160" s="208">
        <v>9476</v>
      </c>
      <c r="Z160" s="208">
        <v>359172</v>
      </c>
      <c r="AA160" s="208">
        <v>15214</v>
      </c>
      <c r="AB160" s="208">
        <v>3440</v>
      </c>
      <c r="AC160" s="208">
        <v>377826</v>
      </c>
      <c r="AD160" s="209">
        <v>38.931066460587324</v>
      </c>
    </row>
    <row r="161" spans="1:30" ht="13.5" thickBot="1" x14ac:dyDescent="0.25">
      <c r="A161" s="48" t="s">
        <v>136</v>
      </c>
      <c r="B161" s="47" t="s">
        <v>135</v>
      </c>
      <c r="C161" s="48" t="s">
        <v>25</v>
      </c>
      <c r="D161" s="48" t="s">
        <v>2131</v>
      </c>
      <c r="E161" s="129" t="s">
        <v>20</v>
      </c>
      <c r="F161" s="129" t="s">
        <v>21</v>
      </c>
      <c r="G161" s="108">
        <v>8692</v>
      </c>
      <c r="H161" s="87" t="s">
        <v>1649</v>
      </c>
      <c r="I161" s="205">
        <v>0</v>
      </c>
      <c r="J161" s="207">
        <v>8473</v>
      </c>
      <c r="K161" s="208">
        <v>9196</v>
      </c>
      <c r="L161" s="208">
        <v>0</v>
      </c>
      <c r="M161" s="208">
        <v>113810</v>
      </c>
      <c r="N161" s="208">
        <v>0</v>
      </c>
      <c r="O161" s="208">
        <v>123006</v>
      </c>
      <c r="P161" s="208">
        <v>10043</v>
      </c>
      <c r="Q161" s="207">
        <v>219</v>
      </c>
      <c r="R161" s="208">
        <v>2119</v>
      </c>
      <c r="S161" s="203">
        <v>0</v>
      </c>
      <c r="T161" s="203">
        <v>0</v>
      </c>
      <c r="U161" s="203">
        <v>0</v>
      </c>
      <c r="V161" s="208">
        <v>2119</v>
      </c>
      <c r="W161" s="203">
        <v>0</v>
      </c>
      <c r="X161" s="208">
        <v>125125</v>
      </c>
      <c r="Y161" s="208">
        <v>10043</v>
      </c>
      <c r="Z161" s="208">
        <v>135168</v>
      </c>
      <c r="AA161" s="208">
        <v>6959</v>
      </c>
      <c r="AB161" s="208">
        <v>0</v>
      </c>
      <c r="AC161" s="208">
        <v>142127</v>
      </c>
      <c r="AD161" s="209">
        <v>16.35147261849977</v>
      </c>
    </row>
    <row r="162" spans="1:30" ht="13.5" thickBot="1" x14ac:dyDescent="0.25">
      <c r="A162" s="48" t="s">
        <v>144</v>
      </c>
      <c r="B162" s="47" t="s">
        <v>143</v>
      </c>
      <c r="C162" s="48" t="s">
        <v>25</v>
      </c>
      <c r="D162" s="48" t="s">
        <v>2122</v>
      </c>
      <c r="E162" s="129" t="s">
        <v>15</v>
      </c>
      <c r="F162" s="129" t="s">
        <v>16</v>
      </c>
      <c r="G162" s="108">
        <v>11833</v>
      </c>
      <c r="H162" s="87" t="s">
        <v>1649</v>
      </c>
      <c r="I162" s="205">
        <v>0</v>
      </c>
      <c r="J162" s="207">
        <v>11747</v>
      </c>
      <c r="K162" s="208">
        <v>59542</v>
      </c>
      <c r="L162" s="208">
        <v>413325</v>
      </c>
      <c r="M162" s="208">
        <v>0</v>
      </c>
      <c r="N162" s="208">
        <v>0</v>
      </c>
      <c r="O162" s="208">
        <v>472867</v>
      </c>
      <c r="P162" s="208">
        <v>103191</v>
      </c>
      <c r="Q162" s="207">
        <v>86</v>
      </c>
      <c r="R162" s="208">
        <v>436</v>
      </c>
      <c r="S162" s="208">
        <v>0</v>
      </c>
      <c r="T162" s="208">
        <v>0</v>
      </c>
      <c r="U162" s="208">
        <v>0</v>
      </c>
      <c r="V162" s="208">
        <v>436</v>
      </c>
      <c r="W162" s="208">
        <v>0</v>
      </c>
      <c r="X162" s="208">
        <v>473303</v>
      </c>
      <c r="Y162" s="208">
        <v>103191</v>
      </c>
      <c r="Z162" s="208">
        <v>576494</v>
      </c>
      <c r="AA162" s="208">
        <v>9484</v>
      </c>
      <c r="AB162" s="208">
        <v>0</v>
      </c>
      <c r="AC162" s="208">
        <v>585978</v>
      </c>
      <c r="AD162" s="209">
        <v>49.520662553874757</v>
      </c>
    </row>
    <row r="163" spans="1:30" ht="13.5" thickBot="1" x14ac:dyDescent="0.25">
      <c r="A163" s="48" t="s">
        <v>148</v>
      </c>
      <c r="B163" s="47" t="s">
        <v>147</v>
      </c>
      <c r="C163" s="48" t="s">
        <v>25</v>
      </c>
      <c r="D163" s="48" t="s">
        <v>2148</v>
      </c>
      <c r="E163" s="129" t="s">
        <v>20</v>
      </c>
      <c r="F163" s="129" t="s">
        <v>21</v>
      </c>
      <c r="G163" s="108">
        <v>10857</v>
      </c>
      <c r="H163" s="87" t="s">
        <v>1649</v>
      </c>
      <c r="I163" s="205">
        <v>0</v>
      </c>
      <c r="J163" s="207">
        <v>1093</v>
      </c>
      <c r="K163" s="208">
        <v>5849</v>
      </c>
      <c r="L163" s="208">
        <v>125568</v>
      </c>
      <c r="M163" s="203">
        <v>0</v>
      </c>
      <c r="N163" s="203">
        <v>0</v>
      </c>
      <c r="O163" s="208">
        <v>131417</v>
      </c>
      <c r="P163" s="208">
        <v>15635</v>
      </c>
      <c r="Q163" s="207">
        <v>9764</v>
      </c>
      <c r="R163" s="208">
        <v>57678</v>
      </c>
      <c r="S163" s="203">
        <v>0</v>
      </c>
      <c r="T163" s="203">
        <v>0</v>
      </c>
      <c r="U163" s="203">
        <v>0</v>
      </c>
      <c r="V163" s="208">
        <v>57678</v>
      </c>
      <c r="W163" s="203">
        <v>0</v>
      </c>
      <c r="X163" s="208">
        <v>189095</v>
      </c>
      <c r="Y163" s="208">
        <v>15635</v>
      </c>
      <c r="Z163" s="208">
        <v>204730</v>
      </c>
      <c r="AA163" s="208">
        <v>8702</v>
      </c>
      <c r="AB163" s="208">
        <v>0</v>
      </c>
      <c r="AC163" s="208">
        <v>213432</v>
      </c>
      <c r="AD163" s="209">
        <v>19.658469190384086</v>
      </c>
    </row>
    <row r="164" spans="1:30" ht="13.5" thickBot="1" x14ac:dyDescent="0.25">
      <c r="A164" s="48" t="s">
        <v>152</v>
      </c>
      <c r="B164" s="47" t="s">
        <v>151</v>
      </c>
      <c r="C164" s="48" t="s">
        <v>25</v>
      </c>
      <c r="D164" s="48" t="s">
        <v>2155</v>
      </c>
      <c r="E164" s="129" t="s">
        <v>20</v>
      </c>
      <c r="F164" s="129" t="s">
        <v>21</v>
      </c>
      <c r="G164" s="108">
        <v>9483</v>
      </c>
      <c r="H164" s="87" t="s">
        <v>1648</v>
      </c>
      <c r="I164" s="204" t="s">
        <v>1660</v>
      </c>
      <c r="J164" s="207">
        <v>3509</v>
      </c>
      <c r="K164" s="208">
        <v>5493</v>
      </c>
      <c r="L164" s="208">
        <v>0</v>
      </c>
      <c r="M164" s="208">
        <v>74198</v>
      </c>
      <c r="N164" s="208">
        <v>1373</v>
      </c>
      <c r="O164" s="208">
        <v>81064</v>
      </c>
      <c r="P164" s="208">
        <v>55812</v>
      </c>
      <c r="Q164" s="207">
        <v>5974</v>
      </c>
      <c r="R164" s="208">
        <v>9352</v>
      </c>
      <c r="S164" s="208">
        <v>0</v>
      </c>
      <c r="T164" s="208">
        <v>0</v>
      </c>
      <c r="U164" s="208">
        <v>71211</v>
      </c>
      <c r="V164" s="208">
        <v>80563</v>
      </c>
      <c r="W164" s="208">
        <v>0</v>
      </c>
      <c r="X164" s="208">
        <v>161627</v>
      </c>
      <c r="Y164" s="208">
        <v>55812</v>
      </c>
      <c r="Z164" s="208">
        <v>217439</v>
      </c>
      <c r="AA164" s="208">
        <v>16601</v>
      </c>
      <c r="AB164" s="208">
        <v>8753</v>
      </c>
      <c r="AC164" s="208">
        <v>242793</v>
      </c>
      <c r="AD164" s="209">
        <v>25.602973742486554</v>
      </c>
    </row>
    <row r="165" spans="1:30" ht="13.5" thickBot="1" x14ac:dyDescent="0.25">
      <c r="A165" s="48" t="s">
        <v>154</v>
      </c>
      <c r="B165" s="47" t="s">
        <v>153</v>
      </c>
      <c r="C165" s="48" t="s">
        <v>25</v>
      </c>
      <c r="D165" s="48" t="s">
        <v>2010</v>
      </c>
      <c r="E165" s="129" t="s">
        <v>20</v>
      </c>
      <c r="F165" s="129" t="s">
        <v>21</v>
      </c>
      <c r="G165" s="108">
        <v>8257</v>
      </c>
      <c r="H165" s="87" t="s">
        <v>1649</v>
      </c>
      <c r="I165" s="205">
        <v>0</v>
      </c>
      <c r="J165" s="207">
        <v>8257</v>
      </c>
      <c r="K165" s="208">
        <v>7382</v>
      </c>
      <c r="L165" s="208">
        <v>0</v>
      </c>
      <c r="M165" s="208">
        <v>260808</v>
      </c>
      <c r="N165" s="208">
        <v>3990</v>
      </c>
      <c r="O165" s="208">
        <v>272180</v>
      </c>
      <c r="P165" s="208">
        <v>11714</v>
      </c>
      <c r="Q165" s="210">
        <v>0</v>
      </c>
      <c r="R165" s="203">
        <v>0</v>
      </c>
      <c r="S165" s="203">
        <v>0</v>
      </c>
      <c r="T165" s="203">
        <v>0</v>
      </c>
      <c r="U165" s="203">
        <v>0</v>
      </c>
      <c r="V165" s="203">
        <v>0</v>
      </c>
      <c r="W165" s="203">
        <v>0</v>
      </c>
      <c r="X165" s="208">
        <v>272180</v>
      </c>
      <c r="Y165" s="208">
        <v>11714</v>
      </c>
      <c r="Z165" s="208">
        <v>283894</v>
      </c>
      <c r="AA165" s="208">
        <v>6618</v>
      </c>
      <c r="AB165" s="208">
        <v>0</v>
      </c>
      <c r="AC165" s="208">
        <v>290512</v>
      </c>
      <c r="AD165" s="209">
        <v>35.183722901780307</v>
      </c>
    </row>
    <row r="166" spans="1:30" ht="13.5" thickBot="1" x14ac:dyDescent="0.25">
      <c r="A166" s="48" t="s">
        <v>160</v>
      </c>
      <c r="B166" s="47" t="s">
        <v>159</v>
      </c>
      <c r="C166" s="48" t="s">
        <v>25</v>
      </c>
      <c r="D166" s="48" t="s">
        <v>2045</v>
      </c>
      <c r="E166" s="129" t="s">
        <v>20</v>
      </c>
      <c r="F166" s="129" t="s">
        <v>21</v>
      </c>
      <c r="G166" s="108">
        <v>9810</v>
      </c>
      <c r="H166" s="87" t="s">
        <v>1648</v>
      </c>
      <c r="I166" s="205">
        <v>35000</v>
      </c>
      <c r="J166" s="207">
        <v>8917</v>
      </c>
      <c r="K166" s="208">
        <v>32014</v>
      </c>
      <c r="L166" s="208">
        <v>912693</v>
      </c>
      <c r="M166" s="203">
        <v>0</v>
      </c>
      <c r="N166" s="208">
        <v>12300</v>
      </c>
      <c r="O166" s="208">
        <v>957007</v>
      </c>
      <c r="P166" s="208">
        <v>137621</v>
      </c>
      <c r="Q166" s="207">
        <v>893</v>
      </c>
      <c r="R166" s="208">
        <v>2529</v>
      </c>
      <c r="S166" s="208">
        <v>0</v>
      </c>
      <c r="T166" s="203">
        <v>0</v>
      </c>
      <c r="U166" s="208">
        <v>4000</v>
      </c>
      <c r="V166" s="208">
        <v>6529</v>
      </c>
      <c r="W166" s="203">
        <v>0</v>
      </c>
      <c r="X166" s="208">
        <v>963536</v>
      </c>
      <c r="Y166" s="208">
        <v>137621</v>
      </c>
      <c r="Z166" s="208">
        <v>1101157</v>
      </c>
      <c r="AA166" s="208">
        <v>7862</v>
      </c>
      <c r="AB166" s="208">
        <v>0</v>
      </c>
      <c r="AC166" s="208">
        <v>1109019</v>
      </c>
      <c r="AD166" s="209">
        <v>113.04984709480122</v>
      </c>
    </row>
    <row r="167" spans="1:30" ht="13.5" thickBot="1" x14ac:dyDescent="0.25">
      <c r="A167" s="48" t="s">
        <v>196</v>
      </c>
      <c r="B167" s="47" t="s">
        <v>195</v>
      </c>
      <c r="C167" s="48" t="s">
        <v>25</v>
      </c>
      <c r="D167" s="48" t="s">
        <v>1980</v>
      </c>
      <c r="E167" s="129" t="s">
        <v>20</v>
      </c>
      <c r="F167" s="129" t="s">
        <v>21</v>
      </c>
      <c r="G167" s="108">
        <v>11862</v>
      </c>
      <c r="H167" s="87" t="s">
        <v>1648</v>
      </c>
      <c r="I167" s="205">
        <v>4500</v>
      </c>
      <c r="J167" s="207">
        <v>11862</v>
      </c>
      <c r="K167" s="208">
        <v>33945</v>
      </c>
      <c r="L167" s="208">
        <v>288671</v>
      </c>
      <c r="M167" s="208">
        <v>0</v>
      </c>
      <c r="N167" s="208">
        <v>16089</v>
      </c>
      <c r="O167" s="208">
        <v>338705</v>
      </c>
      <c r="P167" s="208">
        <v>25302</v>
      </c>
      <c r="Q167" s="210">
        <v>0</v>
      </c>
      <c r="R167" s="203">
        <v>0</v>
      </c>
      <c r="S167" s="203">
        <v>0</v>
      </c>
      <c r="T167" s="203">
        <v>0</v>
      </c>
      <c r="U167" s="203">
        <v>0</v>
      </c>
      <c r="V167" s="203">
        <v>0</v>
      </c>
      <c r="W167" s="203">
        <v>0</v>
      </c>
      <c r="X167" s="208">
        <v>338705</v>
      </c>
      <c r="Y167" s="208">
        <v>25302</v>
      </c>
      <c r="Z167" s="208">
        <v>364007</v>
      </c>
      <c r="AA167" s="208">
        <v>11097</v>
      </c>
      <c r="AB167" s="208">
        <v>232</v>
      </c>
      <c r="AC167" s="208">
        <v>375336</v>
      </c>
      <c r="AD167" s="209">
        <v>31.641881638846737</v>
      </c>
    </row>
    <row r="168" spans="1:30" ht="13.5" thickBot="1" x14ac:dyDescent="0.25">
      <c r="A168" s="48" t="s">
        <v>220</v>
      </c>
      <c r="B168" s="47" t="s">
        <v>219</v>
      </c>
      <c r="C168" s="48" t="s">
        <v>25</v>
      </c>
      <c r="D168" s="48" t="s">
        <v>2264</v>
      </c>
      <c r="E168" s="129" t="s">
        <v>61</v>
      </c>
      <c r="F168" s="129" t="s">
        <v>62</v>
      </c>
      <c r="G168" s="108">
        <v>10021</v>
      </c>
      <c r="H168" s="87" t="s">
        <v>1649</v>
      </c>
      <c r="I168" s="205">
        <v>0</v>
      </c>
      <c r="J168" s="207">
        <v>10021</v>
      </c>
      <c r="K168" s="208">
        <v>6733</v>
      </c>
      <c r="L168" s="208">
        <v>0</v>
      </c>
      <c r="M168" s="208">
        <v>0</v>
      </c>
      <c r="N168" s="208">
        <v>129696</v>
      </c>
      <c r="O168" s="208">
        <v>136429</v>
      </c>
      <c r="P168" s="208">
        <v>230796</v>
      </c>
      <c r="Q168" s="210">
        <v>0</v>
      </c>
      <c r="R168" s="203">
        <v>0</v>
      </c>
      <c r="S168" s="203">
        <v>0</v>
      </c>
      <c r="T168" s="203">
        <v>0</v>
      </c>
      <c r="U168" s="203">
        <v>0</v>
      </c>
      <c r="V168" s="203">
        <v>0</v>
      </c>
      <c r="W168" s="203">
        <v>0</v>
      </c>
      <c r="X168" s="208">
        <v>136429</v>
      </c>
      <c r="Y168" s="208">
        <v>230796</v>
      </c>
      <c r="Z168" s="208">
        <v>367225</v>
      </c>
      <c r="AA168" s="208">
        <v>8032</v>
      </c>
      <c r="AB168" s="208">
        <v>0</v>
      </c>
      <c r="AC168" s="208">
        <v>375257</v>
      </c>
      <c r="AD168" s="209">
        <v>37.447061171539765</v>
      </c>
    </row>
    <row r="169" spans="1:30" ht="13.5" thickBot="1" x14ac:dyDescent="0.25">
      <c r="A169" s="48" t="s">
        <v>232</v>
      </c>
      <c r="B169" s="47" t="s">
        <v>231</v>
      </c>
      <c r="C169" s="48" t="s">
        <v>25</v>
      </c>
      <c r="D169" s="48" t="s">
        <v>1973</v>
      </c>
      <c r="E169" s="129" t="s">
        <v>61</v>
      </c>
      <c r="F169" s="129" t="s">
        <v>62</v>
      </c>
      <c r="G169" s="108">
        <v>7439</v>
      </c>
      <c r="H169" s="87" t="s">
        <v>1649</v>
      </c>
      <c r="I169" s="205">
        <v>0</v>
      </c>
      <c r="J169" s="207">
        <v>7439</v>
      </c>
      <c r="K169" s="208">
        <v>43893</v>
      </c>
      <c r="L169" s="208">
        <v>78038</v>
      </c>
      <c r="M169" s="208">
        <v>0</v>
      </c>
      <c r="N169" s="208">
        <v>50000</v>
      </c>
      <c r="O169" s="208">
        <v>171931</v>
      </c>
      <c r="P169" s="208">
        <v>22258</v>
      </c>
      <c r="Q169" s="210">
        <v>0</v>
      </c>
      <c r="R169" s="203">
        <v>0</v>
      </c>
      <c r="S169" s="203">
        <v>0</v>
      </c>
      <c r="T169" s="203">
        <v>0</v>
      </c>
      <c r="U169" s="203">
        <v>0</v>
      </c>
      <c r="V169" s="203">
        <v>0</v>
      </c>
      <c r="W169" s="203">
        <v>0</v>
      </c>
      <c r="X169" s="208">
        <v>171931</v>
      </c>
      <c r="Y169" s="208">
        <v>22258</v>
      </c>
      <c r="Z169" s="208">
        <v>194189</v>
      </c>
      <c r="AA169" s="208">
        <v>5963</v>
      </c>
      <c r="AB169" s="208">
        <v>0</v>
      </c>
      <c r="AC169" s="208">
        <v>200152</v>
      </c>
      <c r="AD169" s="209">
        <v>26.905766904153783</v>
      </c>
    </row>
    <row r="170" spans="1:30" ht="13.5" thickBot="1" x14ac:dyDescent="0.25">
      <c r="A170" s="48" t="s">
        <v>246</v>
      </c>
      <c r="B170" s="47" t="s">
        <v>245</v>
      </c>
      <c r="C170" s="48" t="s">
        <v>25</v>
      </c>
      <c r="D170" s="48" t="s">
        <v>2057</v>
      </c>
      <c r="E170" s="129" t="s">
        <v>247</v>
      </c>
      <c r="F170" s="129" t="s">
        <v>248</v>
      </c>
      <c r="G170" s="108">
        <v>7392</v>
      </c>
      <c r="H170" s="87" t="s">
        <v>1649</v>
      </c>
      <c r="I170" s="205">
        <v>0</v>
      </c>
      <c r="J170" s="207">
        <v>7392</v>
      </c>
      <c r="K170" s="208">
        <v>54285</v>
      </c>
      <c r="L170" s="208">
        <v>174172</v>
      </c>
      <c r="M170" s="203">
        <v>0</v>
      </c>
      <c r="N170" s="208">
        <v>2785</v>
      </c>
      <c r="O170" s="208">
        <v>231242</v>
      </c>
      <c r="P170" s="208">
        <v>16127</v>
      </c>
      <c r="Q170" s="210">
        <v>0</v>
      </c>
      <c r="R170" s="203">
        <v>0</v>
      </c>
      <c r="S170" s="203">
        <v>0</v>
      </c>
      <c r="T170" s="203">
        <v>0</v>
      </c>
      <c r="U170" s="203">
        <v>0</v>
      </c>
      <c r="V170" s="203">
        <v>0</v>
      </c>
      <c r="W170" s="203">
        <v>0</v>
      </c>
      <c r="X170" s="208">
        <v>231242</v>
      </c>
      <c r="Y170" s="208">
        <v>16127</v>
      </c>
      <c r="Z170" s="208">
        <v>247369</v>
      </c>
      <c r="AA170" s="208">
        <v>8909</v>
      </c>
      <c r="AB170" s="208">
        <v>0</v>
      </c>
      <c r="AC170" s="208">
        <v>256278</v>
      </c>
      <c r="AD170" s="209">
        <v>34.669642857142854</v>
      </c>
    </row>
    <row r="171" spans="1:30" ht="13.5" thickBot="1" x14ac:dyDescent="0.25">
      <c r="A171" s="48" t="s">
        <v>250</v>
      </c>
      <c r="B171" s="47" t="s">
        <v>249</v>
      </c>
      <c r="C171" s="48" t="s">
        <v>25</v>
      </c>
      <c r="D171" s="48" t="s">
        <v>1979</v>
      </c>
      <c r="E171" s="129" t="s">
        <v>20</v>
      </c>
      <c r="F171" s="129" t="s">
        <v>21</v>
      </c>
      <c r="G171" s="108">
        <v>9512</v>
      </c>
      <c r="H171" s="87" t="s">
        <v>1649</v>
      </c>
      <c r="I171" s="205">
        <v>0</v>
      </c>
      <c r="J171" s="207">
        <v>9512</v>
      </c>
      <c r="K171" s="208">
        <v>8865</v>
      </c>
      <c r="L171" s="208">
        <v>0</v>
      </c>
      <c r="M171" s="208">
        <v>225261</v>
      </c>
      <c r="N171" s="208">
        <v>0</v>
      </c>
      <c r="O171" s="208">
        <v>234126</v>
      </c>
      <c r="P171" s="208">
        <v>4837</v>
      </c>
      <c r="Q171" s="210">
        <v>0</v>
      </c>
      <c r="R171" s="203">
        <v>0</v>
      </c>
      <c r="S171" s="203">
        <v>0</v>
      </c>
      <c r="T171" s="203">
        <v>0</v>
      </c>
      <c r="U171" s="203">
        <v>0</v>
      </c>
      <c r="V171" s="203">
        <v>0</v>
      </c>
      <c r="W171" s="203">
        <v>0</v>
      </c>
      <c r="X171" s="208">
        <v>234126</v>
      </c>
      <c r="Y171" s="208">
        <v>4837</v>
      </c>
      <c r="Z171" s="208">
        <v>238963</v>
      </c>
      <c r="AA171" s="208">
        <v>7625</v>
      </c>
      <c r="AB171" s="208">
        <v>0</v>
      </c>
      <c r="AC171" s="208">
        <v>246588</v>
      </c>
      <c r="AD171" s="209">
        <v>25.923885618166526</v>
      </c>
    </row>
    <row r="172" spans="1:30" ht="13.5" thickBot="1" x14ac:dyDescent="0.25">
      <c r="A172" s="48" t="s">
        <v>262</v>
      </c>
      <c r="B172" s="47" t="s">
        <v>261</v>
      </c>
      <c r="C172" s="48" t="s">
        <v>25</v>
      </c>
      <c r="D172" s="48" t="s">
        <v>2316</v>
      </c>
      <c r="E172" s="129" t="s">
        <v>20</v>
      </c>
      <c r="F172" s="129" t="s">
        <v>21</v>
      </c>
      <c r="G172" s="108">
        <v>7717</v>
      </c>
      <c r="H172" s="87" t="s">
        <v>1648</v>
      </c>
      <c r="I172" s="205">
        <v>3000</v>
      </c>
      <c r="J172" s="207">
        <v>4462</v>
      </c>
      <c r="K172" s="208">
        <v>22816</v>
      </c>
      <c r="L172" s="208">
        <v>60302</v>
      </c>
      <c r="M172" s="203">
        <v>0</v>
      </c>
      <c r="N172" s="208">
        <v>14654</v>
      </c>
      <c r="O172" s="208">
        <v>97772</v>
      </c>
      <c r="P172" s="208">
        <v>0</v>
      </c>
      <c r="Q172" s="207">
        <v>3255</v>
      </c>
      <c r="R172" s="208">
        <v>18163</v>
      </c>
      <c r="S172" s="208">
        <v>0</v>
      </c>
      <c r="T172" s="203">
        <v>0</v>
      </c>
      <c r="U172" s="208">
        <v>2050</v>
      </c>
      <c r="V172" s="208">
        <v>20213</v>
      </c>
      <c r="W172" s="203">
        <v>0</v>
      </c>
      <c r="X172" s="208">
        <v>117985</v>
      </c>
      <c r="Y172" s="208">
        <v>0</v>
      </c>
      <c r="Z172" s="208">
        <v>117985</v>
      </c>
      <c r="AA172" s="208">
        <v>4624</v>
      </c>
      <c r="AB172" s="208">
        <v>0</v>
      </c>
      <c r="AC172" s="208">
        <v>122609</v>
      </c>
      <c r="AD172" s="209">
        <v>15.888168977581962</v>
      </c>
    </row>
    <row r="173" spans="1:30" ht="13.5" thickBot="1" x14ac:dyDescent="0.25">
      <c r="A173" s="48" t="s">
        <v>284</v>
      </c>
      <c r="B173" s="47" t="s">
        <v>283</v>
      </c>
      <c r="C173" s="48" t="s">
        <v>25</v>
      </c>
      <c r="D173" s="48" t="s">
        <v>2101</v>
      </c>
      <c r="E173" s="129" t="s">
        <v>20</v>
      </c>
      <c r="F173" s="129" t="s">
        <v>21</v>
      </c>
      <c r="G173" s="108">
        <v>7824</v>
      </c>
      <c r="H173" s="87" t="s">
        <v>1649</v>
      </c>
      <c r="I173" s="205">
        <v>0</v>
      </c>
      <c r="J173" s="207">
        <v>7824</v>
      </c>
      <c r="K173" s="208">
        <v>17940</v>
      </c>
      <c r="L173" s="208">
        <v>350742</v>
      </c>
      <c r="M173" s="208">
        <v>0</v>
      </c>
      <c r="N173" s="208">
        <v>0</v>
      </c>
      <c r="O173" s="208">
        <v>368682</v>
      </c>
      <c r="P173" s="208">
        <v>43967</v>
      </c>
      <c r="Q173" s="210">
        <v>0</v>
      </c>
      <c r="R173" s="203">
        <v>0</v>
      </c>
      <c r="S173" s="203">
        <v>0</v>
      </c>
      <c r="T173" s="203">
        <v>0</v>
      </c>
      <c r="U173" s="203">
        <v>0</v>
      </c>
      <c r="V173" s="203">
        <v>0</v>
      </c>
      <c r="W173" s="203">
        <v>0</v>
      </c>
      <c r="X173" s="208">
        <v>368682</v>
      </c>
      <c r="Y173" s="208">
        <v>43967</v>
      </c>
      <c r="Z173" s="208">
        <v>412649</v>
      </c>
      <c r="AA173" s="208">
        <v>6264</v>
      </c>
      <c r="AB173" s="208">
        <v>2580</v>
      </c>
      <c r="AC173" s="208">
        <v>421493</v>
      </c>
      <c r="AD173" s="209">
        <v>53.871804703476485</v>
      </c>
    </row>
    <row r="174" spans="1:30" ht="13.5" thickBot="1" x14ac:dyDescent="0.25">
      <c r="A174" s="48" t="s">
        <v>296</v>
      </c>
      <c r="B174" s="47" t="s">
        <v>295</v>
      </c>
      <c r="C174" s="48" t="s">
        <v>25</v>
      </c>
      <c r="D174" s="48" t="s">
        <v>2022</v>
      </c>
      <c r="E174" s="129" t="s">
        <v>20</v>
      </c>
      <c r="F174" s="129" t="s">
        <v>21</v>
      </c>
      <c r="G174" s="108">
        <v>9476</v>
      </c>
      <c r="H174" s="87" t="s">
        <v>1649</v>
      </c>
      <c r="I174" s="205">
        <v>0</v>
      </c>
      <c r="J174" s="207">
        <v>3951</v>
      </c>
      <c r="K174" s="208">
        <v>4333</v>
      </c>
      <c r="L174" s="208">
        <v>168418</v>
      </c>
      <c r="M174" s="208">
        <v>0</v>
      </c>
      <c r="N174" s="208">
        <v>0</v>
      </c>
      <c r="O174" s="208">
        <v>172751</v>
      </c>
      <c r="P174" s="208">
        <v>8256</v>
      </c>
      <c r="Q174" s="207">
        <v>5525</v>
      </c>
      <c r="R174" s="208">
        <v>6057</v>
      </c>
      <c r="S174" s="208">
        <v>0</v>
      </c>
      <c r="T174" s="208">
        <v>0</v>
      </c>
      <c r="U174" s="208">
        <v>0</v>
      </c>
      <c r="V174" s="208">
        <v>6057</v>
      </c>
      <c r="W174" s="208">
        <v>0</v>
      </c>
      <c r="X174" s="208">
        <v>178808</v>
      </c>
      <c r="Y174" s="208">
        <v>8256</v>
      </c>
      <c r="Z174" s="208">
        <v>187064</v>
      </c>
      <c r="AA174" s="208">
        <v>7586</v>
      </c>
      <c r="AB174" s="208">
        <v>0</v>
      </c>
      <c r="AC174" s="208">
        <v>194650</v>
      </c>
      <c r="AD174" s="209">
        <v>20.541367665681722</v>
      </c>
    </row>
    <row r="175" spans="1:30" ht="13.5" thickBot="1" x14ac:dyDescent="0.25">
      <c r="A175" s="48" t="s">
        <v>302</v>
      </c>
      <c r="B175" s="47" t="s">
        <v>301</v>
      </c>
      <c r="C175" s="48" t="s">
        <v>25</v>
      </c>
      <c r="D175" s="48" t="s">
        <v>1980</v>
      </c>
      <c r="E175" s="129" t="s">
        <v>20</v>
      </c>
      <c r="F175" s="129" t="s">
        <v>21</v>
      </c>
      <c r="G175" s="108">
        <v>10983</v>
      </c>
      <c r="H175" s="87" t="s">
        <v>1649</v>
      </c>
      <c r="I175" s="205">
        <v>0</v>
      </c>
      <c r="J175" s="207">
        <v>7116</v>
      </c>
      <c r="K175" s="208">
        <v>20436</v>
      </c>
      <c r="L175" s="208">
        <v>0</v>
      </c>
      <c r="M175" s="208">
        <v>358029</v>
      </c>
      <c r="N175" s="208">
        <v>0</v>
      </c>
      <c r="O175" s="208">
        <v>378465</v>
      </c>
      <c r="P175" s="208">
        <v>24733</v>
      </c>
      <c r="Q175" s="207">
        <v>3867</v>
      </c>
      <c r="R175" s="208">
        <v>11004</v>
      </c>
      <c r="S175" s="208">
        <v>51465</v>
      </c>
      <c r="T175" s="208">
        <v>0</v>
      </c>
      <c r="U175" s="208">
        <v>0</v>
      </c>
      <c r="V175" s="208">
        <v>62469</v>
      </c>
      <c r="W175" s="203">
        <v>0</v>
      </c>
      <c r="X175" s="208">
        <v>440934</v>
      </c>
      <c r="Y175" s="208">
        <v>24733</v>
      </c>
      <c r="Z175" s="208">
        <v>465667</v>
      </c>
      <c r="AA175" s="208">
        <v>8803</v>
      </c>
      <c r="AB175" s="208">
        <v>0</v>
      </c>
      <c r="AC175" s="208">
        <v>474470</v>
      </c>
      <c r="AD175" s="209">
        <v>43.200400619138669</v>
      </c>
    </row>
    <row r="176" spans="1:30" ht="13.5" thickBot="1" x14ac:dyDescent="0.25">
      <c r="A176" s="48" t="s">
        <v>310</v>
      </c>
      <c r="B176" s="47" t="s">
        <v>309</v>
      </c>
      <c r="C176" s="48" t="s">
        <v>25</v>
      </c>
      <c r="D176" s="48" t="s">
        <v>2262</v>
      </c>
      <c r="E176" s="129" t="s">
        <v>20</v>
      </c>
      <c r="F176" s="129" t="s">
        <v>21</v>
      </c>
      <c r="G176" s="108">
        <v>11239</v>
      </c>
      <c r="H176" s="87" t="s">
        <v>1648</v>
      </c>
      <c r="I176" s="205">
        <v>900</v>
      </c>
      <c r="J176" s="207">
        <v>9505</v>
      </c>
      <c r="K176" s="208">
        <v>41575</v>
      </c>
      <c r="L176" s="203">
        <v>0</v>
      </c>
      <c r="M176" s="203">
        <v>0</v>
      </c>
      <c r="N176" s="208">
        <v>10600</v>
      </c>
      <c r="O176" s="208">
        <v>52175</v>
      </c>
      <c r="P176" s="208">
        <v>21689</v>
      </c>
      <c r="Q176" s="207">
        <v>1734</v>
      </c>
      <c r="R176" s="208">
        <v>7919</v>
      </c>
      <c r="S176" s="203">
        <v>0</v>
      </c>
      <c r="T176" s="203">
        <v>0</v>
      </c>
      <c r="U176" s="208">
        <v>3000</v>
      </c>
      <c r="V176" s="208">
        <v>10919</v>
      </c>
      <c r="W176" s="208">
        <v>4131</v>
      </c>
      <c r="X176" s="208">
        <v>63094</v>
      </c>
      <c r="Y176" s="208">
        <v>25820</v>
      </c>
      <c r="Z176" s="208">
        <v>88914</v>
      </c>
      <c r="AA176" s="208">
        <v>9008</v>
      </c>
      <c r="AB176" s="208">
        <v>0</v>
      </c>
      <c r="AC176" s="208">
        <v>97922</v>
      </c>
      <c r="AD176" s="209">
        <v>8.7126968591511709</v>
      </c>
    </row>
    <row r="177" spans="1:30" ht="13.5" thickBot="1" x14ac:dyDescent="0.25">
      <c r="A177" s="48" t="s">
        <v>324</v>
      </c>
      <c r="B177" s="47" t="s">
        <v>323</v>
      </c>
      <c r="C177" s="48" t="s">
        <v>25</v>
      </c>
      <c r="D177" s="48" t="s">
        <v>2237</v>
      </c>
      <c r="E177" s="129" t="s">
        <v>20</v>
      </c>
      <c r="F177" s="129" t="s">
        <v>21</v>
      </c>
      <c r="G177" s="108">
        <v>8875</v>
      </c>
      <c r="H177" s="87" t="s">
        <v>1649</v>
      </c>
      <c r="I177" s="205">
        <v>0</v>
      </c>
      <c r="J177" s="207">
        <v>8875</v>
      </c>
      <c r="K177" s="208">
        <v>30541</v>
      </c>
      <c r="L177" s="208">
        <v>337696</v>
      </c>
      <c r="M177" s="203">
        <v>0</v>
      </c>
      <c r="N177" s="208">
        <v>26500</v>
      </c>
      <c r="O177" s="208">
        <v>394737</v>
      </c>
      <c r="P177" s="208">
        <v>17871</v>
      </c>
      <c r="Q177" s="210">
        <v>0</v>
      </c>
      <c r="R177" s="203">
        <v>0</v>
      </c>
      <c r="S177" s="203">
        <v>0</v>
      </c>
      <c r="T177" s="203">
        <v>0</v>
      </c>
      <c r="U177" s="203">
        <v>0</v>
      </c>
      <c r="V177" s="203">
        <v>0</v>
      </c>
      <c r="W177" s="203">
        <v>0</v>
      </c>
      <c r="X177" s="208">
        <v>394737</v>
      </c>
      <c r="Y177" s="208">
        <v>17871</v>
      </c>
      <c r="Z177" s="208">
        <v>412608</v>
      </c>
      <c r="AA177" s="208">
        <v>7105</v>
      </c>
      <c r="AB177" s="208">
        <v>0</v>
      </c>
      <c r="AC177" s="208">
        <v>419713</v>
      </c>
      <c r="AD177" s="209">
        <v>47.291605633802817</v>
      </c>
    </row>
    <row r="178" spans="1:30" ht="13.5" thickBot="1" x14ac:dyDescent="0.25">
      <c r="A178" s="48" t="s">
        <v>342</v>
      </c>
      <c r="B178" s="47" t="s">
        <v>341</v>
      </c>
      <c r="C178" s="48" t="s">
        <v>25</v>
      </c>
      <c r="D178" s="48" t="s">
        <v>2442</v>
      </c>
      <c r="E178" s="129" t="s">
        <v>61</v>
      </c>
      <c r="F178" s="129" t="s">
        <v>62</v>
      </c>
      <c r="G178" s="108">
        <v>8133</v>
      </c>
      <c r="H178" s="87" t="s">
        <v>1649</v>
      </c>
      <c r="I178" s="205">
        <v>0</v>
      </c>
      <c r="J178" s="207">
        <v>3979</v>
      </c>
      <c r="K178" s="208">
        <v>25210</v>
      </c>
      <c r="L178" s="208">
        <v>242491</v>
      </c>
      <c r="M178" s="208">
        <v>18124</v>
      </c>
      <c r="N178" s="203">
        <v>0</v>
      </c>
      <c r="O178" s="208">
        <v>285825</v>
      </c>
      <c r="P178" s="208">
        <v>16308</v>
      </c>
      <c r="Q178" s="207">
        <v>4154</v>
      </c>
      <c r="R178" s="208">
        <v>26319</v>
      </c>
      <c r="S178" s="203">
        <v>0</v>
      </c>
      <c r="T178" s="203">
        <v>0</v>
      </c>
      <c r="U178" s="208">
        <v>19764</v>
      </c>
      <c r="V178" s="208">
        <v>46083</v>
      </c>
      <c r="W178" s="208">
        <v>0</v>
      </c>
      <c r="X178" s="208">
        <v>331908</v>
      </c>
      <c r="Y178" s="208">
        <v>16308</v>
      </c>
      <c r="Z178" s="208">
        <v>348216</v>
      </c>
      <c r="AA178" s="208">
        <v>6519</v>
      </c>
      <c r="AB178" s="208">
        <v>0</v>
      </c>
      <c r="AC178" s="208">
        <v>354735</v>
      </c>
      <c r="AD178" s="209">
        <v>43.616746587974916</v>
      </c>
    </row>
    <row r="179" spans="1:30" ht="13.5" thickBot="1" x14ac:dyDescent="0.25">
      <c r="A179" s="48" t="s">
        <v>350</v>
      </c>
      <c r="B179" s="47" t="s">
        <v>349</v>
      </c>
      <c r="C179" s="48" t="s">
        <v>25</v>
      </c>
      <c r="D179" s="48" t="s">
        <v>1973</v>
      </c>
      <c r="E179" s="129" t="s">
        <v>15</v>
      </c>
      <c r="F179" s="129" t="s">
        <v>16</v>
      </c>
      <c r="G179" s="108">
        <v>7135</v>
      </c>
      <c r="H179" s="87" t="s">
        <v>1648</v>
      </c>
      <c r="I179" s="205">
        <v>13000</v>
      </c>
      <c r="J179" s="207">
        <v>7135</v>
      </c>
      <c r="K179" s="208">
        <v>44286</v>
      </c>
      <c r="L179" s="208">
        <v>290856</v>
      </c>
      <c r="M179" s="203">
        <v>0</v>
      </c>
      <c r="N179" s="203">
        <v>0</v>
      </c>
      <c r="O179" s="208">
        <v>335142</v>
      </c>
      <c r="P179" s="208">
        <v>3774</v>
      </c>
      <c r="Q179" s="210">
        <v>0</v>
      </c>
      <c r="R179" s="203">
        <v>0</v>
      </c>
      <c r="S179" s="203">
        <v>0</v>
      </c>
      <c r="T179" s="203">
        <v>0</v>
      </c>
      <c r="U179" s="203">
        <v>0</v>
      </c>
      <c r="V179" s="203">
        <v>0</v>
      </c>
      <c r="W179" s="203">
        <v>0</v>
      </c>
      <c r="X179" s="208">
        <v>335142</v>
      </c>
      <c r="Y179" s="208">
        <v>3774</v>
      </c>
      <c r="Z179" s="208">
        <v>338916</v>
      </c>
      <c r="AA179" s="208">
        <v>5718</v>
      </c>
      <c r="AB179" s="208">
        <v>0</v>
      </c>
      <c r="AC179" s="208">
        <v>344634</v>
      </c>
      <c r="AD179" s="209">
        <v>48.301892081289417</v>
      </c>
    </row>
    <row r="180" spans="1:30" ht="13.5" thickBot="1" x14ac:dyDescent="0.25">
      <c r="A180" s="48" t="s">
        <v>358</v>
      </c>
      <c r="B180" s="47" t="s">
        <v>357</v>
      </c>
      <c r="C180" s="48" t="s">
        <v>25</v>
      </c>
      <c r="D180" s="48" t="s">
        <v>2134</v>
      </c>
      <c r="E180" s="129" t="s">
        <v>20</v>
      </c>
      <c r="F180" s="129" t="s">
        <v>21</v>
      </c>
      <c r="G180" s="108">
        <v>11870</v>
      </c>
      <c r="H180" s="87" t="s">
        <v>1649</v>
      </c>
      <c r="I180" s="205">
        <v>0</v>
      </c>
      <c r="J180" s="207">
        <v>8305</v>
      </c>
      <c r="K180" s="208">
        <v>20455</v>
      </c>
      <c r="L180" s="208">
        <v>129975</v>
      </c>
      <c r="M180" s="208">
        <v>1153</v>
      </c>
      <c r="N180" s="208">
        <v>6888</v>
      </c>
      <c r="O180" s="208">
        <v>158471</v>
      </c>
      <c r="P180" s="208">
        <v>81700</v>
      </c>
      <c r="Q180" s="207">
        <v>3565</v>
      </c>
      <c r="R180" s="208">
        <v>8780</v>
      </c>
      <c r="S180" s="208">
        <v>0</v>
      </c>
      <c r="T180" s="208">
        <v>0</v>
      </c>
      <c r="U180" s="208">
        <v>13800</v>
      </c>
      <c r="V180" s="208">
        <v>22580</v>
      </c>
      <c r="W180" s="208">
        <v>0</v>
      </c>
      <c r="X180" s="208">
        <v>181051</v>
      </c>
      <c r="Y180" s="208">
        <v>81700</v>
      </c>
      <c r="Z180" s="208">
        <v>262751</v>
      </c>
      <c r="AA180" s="208">
        <v>10000</v>
      </c>
      <c r="AB180" s="208">
        <v>3500</v>
      </c>
      <c r="AC180" s="208">
        <v>276251</v>
      </c>
      <c r="AD180" s="209">
        <v>23.273041280539175</v>
      </c>
    </row>
    <row r="181" spans="1:30" ht="13.5" thickBot="1" x14ac:dyDescent="0.25">
      <c r="A181" s="48" t="s">
        <v>378</v>
      </c>
      <c r="B181" s="47" t="s">
        <v>377</v>
      </c>
      <c r="C181" s="48" t="s">
        <v>25</v>
      </c>
      <c r="D181" s="48" t="s">
        <v>1940</v>
      </c>
      <c r="E181" s="129" t="s">
        <v>101</v>
      </c>
      <c r="F181" s="129" t="s">
        <v>102</v>
      </c>
      <c r="G181" s="108">
        <v>8764</v>
      </c>
      <c r="H181" s="87" t="s">
        <v>1648</v>
      </c>
      <c r="I181" s="204" t="s">
        <v>1660</v>
      </c>
      <c r="J181" s="207">
        <v>6238</v>
      </c>
      <c r="K181" s="208">
        <v>15093</v>
      </c>
      <c r="L181" s="203">
        <v>0</v>
      </c>
      <c r="M181" s="208">
        <v>444819</v>
      </c>
      <c r="N181" s="203">
        <v>0</v>
      </c>
      <c r="O181" s="208">
        <v>459912</v>
      </c>
      <c r="P181" s="208">
        <v>19565</v>
      </c>
      <c r="Q181" s="207">
        <v>2526</v>
      </c>
      <c r="R181" s="203">
        <v>0</v>
      </c>
      <c r="S181" s="203">
        <v>0</v>
      </c>
      <c r="T181" s="203">
        <v>0</v>
      </c>
      <c r="U181" s="208">
        <v>43038</v>
      </c>
      <c r="V181" s="208">
        <v>43038</v>
      </c>
      <c r="W181" s="203">
        <v>0</v>
      </c>
      <c r="X181" s="208">
        <v>502950</v>
      </c>
      <c r="Y181" s="208">
        <v>19565</v>
      </c>
      <c r="Z181" s="208">
        <v>522515</v>
      </c>
      <c r="AA181" s="208">
        <v>7029</v>
      </c>
      <c r="AB181" s="208">
        <v>0</v>
      </c>
      <c r="AC181" s="208">
        <v>529544</v>
      </c>
      <c r="AD181" s="209">
        <v>60.422638064810592</v>
      </c>
    </row>
    <row r="182" spans="1:30" ht="13.5" thickBot="1" x14ac:dyDescent="0.25">
      <c r="A182" s="48" t="s">
        <v>410</v>
      </c>
      <c r="B182" s="47" t="s">
        <v>409</v>
      </c>
      <c r="C182" s="48" t="s">
        <v>25</v>
      </c>
      <c r="D182" s="48" t="s">
        <v>2215</v>
      </c>
      <c r="E182" s="129" t="s">
        <v>20</v>
      </c>
      <c r="F182" s="129" t="s">
        <v>21</v>
      </c>
      <c r="G182" s="108">
        <v>9555</v>
      </c>
      <c r="H182" s="87" t="s">
        <v>1649</v>
      </c>
      <c r="I182" s="205">
        <v>0</v>
      </c>
      <c r="J182" s="207">
        <v>1283</v>
      </c>
      <c r="K182" s="208">
        <v>3000</v>
      </c>
      <c r="L182" s="203">
        <v>0</v>
      </c>
      <c r="M182" s="208">
        <v>26199</v>
      </c>
      <c r="N182" s="208">
        <v>500</v>
      </c>
      <c r="O182" s="208">
        <v>29699</v>
      </c>
      <c r="P182" s="203">
        <v>0</v>
      </c>
      <c r="Q182" s="207">
        <v>8272</v>
      </c>
      <c r="R182" s="208">
        <v>27710</v>
      </c>
      <c r="S182" s="203">
        <v>0</v>
      </c>
      <c r="T182" s="208">
        <v>16750</v>
      </c>
      <c r="U182" s="203">
        <v>0</v>
      </c>
      <c r="V182" s="208">
        <v>44460</v>
      </c>
      <c r="W182" s="208">
        <v>7500</v>
      </c>
      <c r="X182" s="208">
        <v>74159</v>
      </c>
      <c r="Y182" s="208">
        <v>7500</v>
      </c>
      <c r="Z182" s="208">
        <v>81659</v>
      </c>
      <c r="AA182" s="208">
        <v>7658</v>
      </c>
      <c r="AB182" s="208">
        <v>0</v>
      </c>
      <c r="AC182" s="208">
        <v>89317</v>
      </c>
      <c r="AD182" s="209">
        <v>9.3476713762428041</v>
      </c>
    </row>
    <row r="183" spans="1:30" ht="13.5" thickBot="1" x14ac:dyDescent="0.25">
      <c r="A183" s="48" t="s">
        <v>408</v>
      </c>
      <c r="B183" s="47" t="s">
        <v>407</v>
      </c>
      <c r="C183" s="48" t="s">
        <v>25</v>
      </c>
      <c r="D183" s="48" t="s">
        <v>2517</v>
      </c>
      <c r="E183" s="129" t="s">
        <v>20</v>
      </c>
      <c r="F183" s="129" t="s">
        <v>21</v>
      </c>
      <c r="G183" s="108">
        <v>9533</v>
      </c>
      <c r="H183" s="87" t="s">
        <v>1648</v>
      </c>
      <c r="I183" s="205">
        <v>9000</v>
      </c>
      <c r="J183" s="207">
        <v>4992</v>
      </c>
      <c r="K183" s="208">
        <v>18437</v>
      </c>
      <c r="L183" s="203">
        <v>0</v>
      </c>
      <c r="M183" s="208">
        <v>28177</v>
      </c>
      <c r="N183" s="203">
        <v>0</v>
      </c>
      <c r="O183" s="208">
        <v>46614</v>
      </c>
      <c r="P183" s="208">
        <v>1520</v>
      </c>
      <c r="Q183" s="207">
        <v>4541</v>
      </c>
      <c r="R183" s="208">
        <v>18566</v>
      </c>
      <c r="S183" s="203">
        <v>0</v>
      </c>
      <c r="T183" s="203">
        <v>0</v>
      </c>
      <c r="U183" s="203">
        <v>0</v>
      </c>
      <c r="V183" s="208">
        <v>18566</v>
      </c>
      <c r="W183" s="208">
        <v>1382</v>
      </c>
      <c r="X183" s="208">
        <v>65180</v>
      </c>
      <c r="Y183" s="208">
        <v>2902</v>
      </c>
      <c r="Z183" s="208">
        <v>68082</v>
      </c>
      <c r="AA183" s="208">
        <v>1778</v>
      </c>
      <c r="AB183" s="208">
        <v>0</v>
      </c>
      <c r="AC183" s="208">
        <v>69860</v>
      </c>
      <c r="AD183" s="209">
        <v>7.3282282597293609</v>
      </c>
    </row>
    <row r="184" spans="1:30" ht="13.5" thickBot="1" x14ac:dyDescent="0.25">
      <c r="A184" s="48" t="s">
        <v>433</v>
      </c>
      <c r="B184" s="47" t="s">
        <v>432</v>
      </c>
      <c r="C184" s="48" t="s">
        <v>25</v>
      </c>
      <c r="D184" s="48" t="s">
        <v>2010</v>
      </c>
      <c r="E184" s="129" t="s">
        <v>20</v>
      </c>
      <c r="F184" s="129" t="s">
        <v>21</v>
      </c>
      <c r="G184" s="108">
        <v>10470</v>
      </c>
      <c r="H184" s="87" t="s">
        <v>1649</v>
      </c>
      <c r="I184" s="205">
        <v>0</v>
      </c>
      <c r="J184" s="207">
        <v>10470</v>
      </c>
      <c r="K184" s="208">
        <v>11263</v>
      </c>
      <c r="L184" s="208">
        <v>351864</v>
      </c>
      <c r="M184" s="203">
        <v>0</v>
      </c>
      <c r="N184" s="208">
        <v>4262</v>
      </c>
      <c r="O184" s="208">
        <v>367389</v>
      </c>
      <c r="P184" s="208">
        <v>10938</v>
      </c>
      <c r="Q184" s="210">
        <v>0</v>
      </c>
      <c r="R184" s="208">
        <v>0</v>
      </c>
      <c r="S184" s="208">
        <v>0</v>
      </c>
      <c r="T184" s="208">
        <v>0</v>
      </c>
      <c r="U184" s="208">
        <v>0</v>
      </c>
      <c r="V184" s="208">
        <v>0</v>
      </c>
      <c r="W184" s="208">
        <v>0</v>
      </c>
      <c r="X184" s="208">
        <v>367389</v>
      </c>
      <c r="Y184" s="208">
        <v>10938</v>
      </c>
      <c r="Z184" s="208">
        <v>378327</v>
      </c>
      <c r="AA184" s="208">
        <v>8392</v>
      </c>
      <c r="AB184" s="208">
        <v>0</v>
      </c>
      <c r="AC184" s="208">
        <v>386719</v>
      </c>
      <c r="AD184" s="209">
        <v>36.935912129894938</v>
      </c>
    </row>
    <row r="185" spans="1:30" ht="13.5" thickBot="1" x14ac:dyDescent="0.25">
      <c r="A185" s="48" t="s">
        <v>446</v>
      </c>
      <c r="B185" s="47" t="s">
        <v>445</v>
      </c>
      <c r="C185" s="48" t="s">
        <v>25</v>
      </c>
      <c r="D185" s="48" t="s">
        <v>2010</v>
      </c>
      <c r="E185" s="129" t="s">
        <v>20</v>
      </c>
      <c r="F185" s="129" t="s">
        <v>21</v>
      </c>
      <c r="G185" s="108">
        <v>11581</v>
      </c>
      <c r="H185" s="87" t="s">
        <v>1648</v>
      </c>
      <c r="I185" s="205">
        <v>5000</v>
      </c>
      <c r="J185" s="207">
        <v>5735</v>
      </c>
      <c r="K185" s="208">
        <v>5429</v>
      </c>
      <c r="L185" s="203">
        <v>0</v>
      </c>
      <c r="M185" s="208">
        <v>237340</v>
      </c>
      <c r="N185" s="203">
        <v>0</v>
      </c>
      <c r="O185" s="208">
        <v>242769</v>
      </c>
      <c r="P185" s="208">
        <v>6033</v>
      </c>
      <c r="Q185" s="207">
        <v>5846</v>
      </c>
      <c r="R185" s="208">
        <v>10846</v>
      </c>
      <c r="S185" s="208">
        <v>53242</v>
      </c>
      <c r="T185" s="203">
        <v>0</v>
      </c>
      <c r="U185" s="203">
        <v>0</v>
      </c>
      <c r="V185" s="208">
        <v>64088</v>
      </c>
      <c r="W185" s="203">
        <v>0</v>
      </c>
      <c r="X185" s="208">
        <v>306857</v>
      </c>
      <c r="Y185" s="208">
        <v>6033</v>
      </c>
      <c r="Z185" s="208">
        <v>312890</v>
      </c>
      <c r="AA185" s="208">
        <v>9282</v>
      </c>
      <c r="AB185" s="208">
        <v>0</v>
      </c>
      <c r="AC185" s="208">
        <v>322172</v>
      </c>
      <c r="AD185" s="209">
        <v>27.819013902080993</v>
      </c>
    </row>
    <row r="186" spans="1:30" ht="13.5" thickBot="1" x14ac:dyDescent="0.25">
      <c r="A186" s="48" t="s">
        <v>468</v>
      </c>
      <c r="B186" s="47" t="s">
        <v>467</v>
      </c>
      <c r="C186" s="48" t="s">
        <v>25</v>
      </c>
      <c r="D186" s="48" t="s">
        <v>2006</v>
      </c>
      <c r="E186" s="129" t="s">
        <v>469</v>
      </c>
      <c r="F186" s="129" t="s">
        <v>470</v>
      </c>
      <c r="G186" s="108">
        <v>7312</v>
      </c>
      <c r="H186" s="87" t="s">
        <v>1649</v>
      </c>
      <c r="I186" s="205">
        <v>0</v>
      </c>
      <c r="J186" s="207">
        <v>7312</v>
      </c>
      <c r="K186" s="208">
        <v>9816</v>
      </c>
      <c r="L186" s="208">
        <v>440430</v>
      </c>
      <c r="M186" s="203">
        <v>0</v>
      </c>
      <c r="N186" s="203">
        <v>0</v>
      </c>
      <c r="O186" s="208">
        <v>450246</v>
      </c>
      <c r="P186" s="208">
        <v>11250</v>
      </c>
      <c r="Q186" s="210">
        <v>0</v>
      </c>
      <c r="R186" s="203">
        <v>0</v>
      </c>
      <c r="S186" s="203">
        <v>0</v>
      </c>
      <c r="T186" s="203">
        <v>0</v>
      </c>
      <c r="U186" s="203">
        <v>0</v>
      </c>
      <c r="V186" s="203">
        <v>0</v>
      </c>
      <c r="W186" s="203">
        <v>0</v>
      </c>
      <c r="X186" s="208">
        <v>450246</v>
      </c>
      <c r="Y186" s="208">
        <v>11250</v>
      </c>
      <c r="Z186" s="208">
        <v>461496</v>
      </c>
      <c r="AA186" s="208">
        <v>0</v>
      </c>
      <c r="AB186" s="208">
        <v>0</v>
      </c>
      <c r="AC186" s="208">
        <v>461496</v>
      </c>
      <c r="AD186" s="209">
        <v>63.11487964989059</v>
      </c>
    </row>
    <row r="187" spans="1:30" ht="13.5" thickBot="1" x14ac:dyDescent="0.25">
      <c r="A187" s="48" t="s">
        <v>474</v>
      </c>
      <c r="B187" s="47" t="s">
        <v>473</v>
      </c>
      <c r="C187" s="48" t="s">
        <v>25</v>
      </c>
      <c r="D187" s="48" t="s">
        <v>2583</v>
      </c>
      <c r="E187" s="129" t="s">
        <v>20</v>
      </c>
      <c r="F187" s="129" t="s">
        <v>21</v>
      </c>
      <c r="G187" s="108">
        <v>8344</v>
      </c>
      <c r="H187" s="87" t="s">
        <v>1649</v>
      </c>
      <c r="I187" s="205">
        <v>0</v>
      </c>
      <c r="J187" s="207">
        <v>7611</v>
      </c>
      <c r="K187" s="208">
        <v>60354</v>
      </c>
      <c r="L187" s="203">
        <v>0</v>
      </c>
      <c r="M187" s="203">
        <v>0</v>
      </c>
      <c r="N187" s="208">
        <v>0</v>
      </c>
      <c r="O187" s="208">
        <v>60354</v>
      </c>
      <c r="P187" s="208">
        <v>115246</v>
      </c>
      <c r="Q187" s="207">
        <v>733</v>
      </c>
      <c r="R187" s="208">
        <v>5813</v>
      </c>
      <c r="S187" s="203">
        <v>0</v>
      </c>
      <c r="T187" s="203">
        <v>0</v>
      </c>
      <c r="U187" s="203">
        <v>0</v>
      </c>
      <c r="V187" s="208">
        <v>5813</v>
      </c>
      <c r="W187" s="203">
        <v>0</v>
      </c>
      <c r="X187" s="208">
        <v>66167</v>
      </c>
      <c r="Y187" s="208">
        <v>115246</v>
      </c>
      <c r="Z187" s="208">
        <v>181413</v>
      </c>
      <c r="AA187" s="208">
        <v>6687</v>
      </c>
      <c r="AB187" s="208">
        <v>0</v>
      </c>
      <c r="AC187" s="208">
        <v>188100</v>
      </c>
      <c r="AD187" s="209">
        <v>22.5431447746884</v>
      </c>
    </row>
    <row r="188" spans="1:30" ht="13.5" thickBot="1" x14ac:dyDescent="0.25">
      <c r="A188" s="48" t="s">
        <v>492</v>
      </c>
      <c r="B188" s="47" t="s">
        <v>491</v>
      </c>
      <c r="C188" s="48" t="s">
        <v>25</v>
      </c>
      <c r="D188" s="48" t="s">
        <v>1979</v>
      </c>
      <c r="E188" s="129" t="s">
        <v>101</v>
      </c>
      <c r="F188" s="129" t="s">
        <v>102</v>
      </c>
      <c r="G188" s="108">
        <v>10715</v>
      </c>
      <c r="H188" s="87" t="s">
        <v>1649</v>
      </c>
      <c r="I188" s="205">
        <v>0</v>
      </c>
      <c r="J188" s="207">
        <v>10715</v>
      </c>
      <c r="K188" s="208">
        <v>16158</v>
      </c>
      <c r="L188" s="208">
        <v>219469</v>
      </c>
      <c r="M188" s="208">
        <v>0</v>
      </c>
      <c r="N188" s="208">
        <v>6185</v>
      </c>
      <c r="O188" s="208">
        <v>241812</v>
      </c>
      <c r="P188" s="208">
        <v>10915</v>
      </c>
      <c r="Q188" s="210">
        <v>0</v>
      </c>
      <c r="R188" s="203">
        <v>0</v>
      </c>
      <c r="S188" s="203">
        <v>0</v>
      </c>
      <c r="T188" s="203">
        <v>0</v>
      </c>
      <c r="U188" s="203">
        <v>0</v>
      </c>
      <c r="V188" s="203">
        <v>0</v>
      </c>
      <c r="W188" s="203">
        <v>0</v>
      </c>
      <c r="X188" s="208">
        <v>241812</v>
      </c>
      <c r="Y188" s="208">
        <v>10915</v>
      </c>
      <c r="Z188" s="208">
        <v>252727</v>
      </c>
      <c r="AA188" s="208">
        <v>6184</v>
      </c>
      <c r="AB188" s="208">
        <v>0</v>
      </c>
      <c r="AC188" s="208">
        <v>258911</v>
      </c>
      <c r="AD188" s="209">
        <v>24.163415772281848</v>
      </c>
    </row>
    <row r="189" spans="1:30" ht="13.5" thickBot="1" x14ac:dyDescent="0.25">
      <c r="A189" s="48" t="s">
        <v>504</v>
      </c>
      <c r="B189" s="47" t="s">
        <v>503</v>
      </c>
      <c r="C189" s="48" t="s">
        <v>25</v>
      </c>
      <c r="D189" s="48" t="s">
        <v>2122</v>
      </c>
      <c r="E189" s="129" t="s">
        <v>61</v>
      </c>
      <c r="F189" s="129" t="s">
        <v>62</v>
      </c>
      <c r="G189" s="108">
        <v>7424</v>
      </c>
      <c r="H189" s="87" t="s">
        <v>1649</v>
      </c>
      <c r="I189" s="205">
        <v>0</v>
      </c>
      <c r="J189" s="207">
        <v>7424</v>
      </c>
      <c r="K189" s="208">
        <v>43280</v>
      </c>
      <c r="L189" s="208">
        <v>158290</v>
      </c>
      <c r="M189" s="208">
        <v>16663</v>
      </c>
      <c r="N189" s="208">
        <v>0</v>
      </c>
      <c r="O189" s="208">
        <v>218233</v>
      </c>
      <c r="P189" s="208">
        <v>56743</v>
      </c>
      <c r="Q189" s="210">
        <v>0</v>
      </c>
      <c r="R189" s="203">
        <v>0</v>
      </c>
      <c r="S189" s="203">
        <v>0</v>
      </c>
      <c r="T189" s="203">
        <v>0</v>
      </c>
      <c r="U189" s="203">
        <v>0</v>
      </c>
      <c r="V189" s="203">
        <v>0</v>
      </c>
      <c r="W189" s="203">
        <v>0</v>
      </c>
      <c r="X189" s="208">
        <v>218233</v>
      </c>
      <c r="Y189" s="208">
        <v>56743</v>
      </c>
      <c r="Z189" s="208">
        <v>274976</v>
      </c>
      <c r="AA189" s="208">
        <v>5951</v>
      </c>
      <c r="AB189" s="208">
        <v>0</v>
      </c>
      <c r="AC189" s="208">
        <v>280927</v>
      </c>
      <c r="AD189" s="209">
        <v>37.840382543103445</v>
      </c>
    </row>
    <row r="190" spans="1:30" ht="13.5" thickBot="1" x14ac:dyDescent="0.25">
      <c r="A190" s="48" t="s">
        <v>510</v>
      </c>
      <c r="B190" s="47" t="s">
        <v>509</v>
      </c>
      <c r="C190" s="48" t="s">
        <v>25</v>
      </c>
      <c r="D190" s="48" t="s">
        <v>2625</v>
      </c>
      <c r="E190" s="129" t="s">
        <v>15</v>
      </c>
      <c r="F190" s="129" t="s">
        <v>16</v>
      </c>
      <c r="G190" s="108">
        <v>9765</v>
      </c>
      <c r="H190" s="87" t="s">
        <v>1648</v>
      </c>
      <c r="I190" s="205">
        <v>13000</v>
      </c>
      <c r="J190" s="207">
        <v>9765</v>
      </c>
      <c r="K190" s="208">
        <v>55249</v>
      </c>
      <c r="L190" s="208">
        <v>301233</v>
      </c>
      <c r="M190" s="203">
        <v>0</v>
      </c>
      <c r="N190" s="208">
        <v>9081</v>
      </c>
      <c r="O190" s="208">
        <v>365563</v>
      </c>
      <c r="P190" s="208">
        <v>8377</v>
      </c>
      <c r="Q190" s="210">
        <v>0</v>
      </c>
      <c r="R190" s="203">
        <v>0</v>
      </c>
      <c r="S190" s="203">
        <v>0</v>
      </c>
      <c r="T190" s="203">
        <v>0</v>
      </c>
      <c r="U190" s="203">
        <v>0</v>
      </c>
      <c r="V190" s="203">
        <v>0</v>
      </c>
      <c r="W190" s="203">
        <v>0</v>
      </c>
      <c r="X190" s="208">
        <v>365563</v>
      </c>
      <c r="Y190" s="208">
        <v>8377</v>
      </c>
      <c r="Z190" s="208">
        <v>373940</v>
      </c>
      <c r="AA190" s="208">
        <v>7827</v>
      </c>
      <c r="AB190" s="208">
        <v>0</v>
      </c>
      <c r="AC190" s="208">
        <v>381767</v>
      </c>
      <c r="AD190" s="209">
        <v>39.095442908346136</v>
      </c>
    </row>
    <row r="191" spans="1:30" ht="13.5" thickBot="1" x14ac:dyDescent="0.25">
      <c r="A191" s="48" t="s">
        <v>520</v>
      </c>
      <c r="B191" s="47" t="s">
        <v>519</v>
      </c>
      <c r="C191" s="48" t="s">
        <v>25</v>
      </c>
      <c r="D191" s="48" t="s">
        <v>2641</v>
      </c>
      <c r="E191" s="129" t="s">
        <v>20</v>
      </c>
      <c r="F191" s="129" t="s">
        <v>21</v>
      </c>
      <c r="G191" s="108">
        <v>9623</v>
      </c>
      <c r="H191" s="87" t="s">
        <v>1649</v>
      </c>
      <c r="I191" s="205">
        <v>0</v>
      </c>
      <c r="J191" s="207">
        <v>6030</v>
      </c>
      <c r="K191" s="208">
        <v>50154</v>
      </c>
      <c r="L191" s="203">
        <v>0</v>
      </c>
      <c r="M191" s="203">
        <v>0</v>
      </c>
      <c r="N191" s="208">
        <v>54708</v>
      </c>
      <c r="O191" s="208">
        <v>104862</v>
      </c>
      <c r="P191" s="208">
        <v>7599</v>
      </c>
      <c r="Q191" s="207">
        <v>3593</v>
      </c>
      <c r="R191" s="208">
        <v>29003</v>
      </c>
      <c r="S191" s="203">
        <v>0</v>
      </c>
      <c r="T191" s="203">
        <v>0</v>
      </c>
      <c r="U191" s="208">
        <v>63027</v>
      </c>
      <c r="V191" s="208">
        <v>92030</v>
      </c>
      <c r="W191" s="208">
        <v>4528</v>
      </c>
      <c r="X191" s="208">
        <v>196892</v>
      </c>
      <c r="Y191" s="208">
        <v>12127</v>
      </c>
      <c r="Z191" s="208">
        <v>209019</v>
      </c>
      <c r="AA191" s="208">
        <v>8704</v>
      </c>
      <c r="AB191" s="208">
        <v>0</v>
      </c>
      <c r="AC191" s="208">
        <v>217723</v>
      </c>
      <c r="AD191" s="209">
        <v>22.625272783955108</v>
      </c>
    </row>
    <row r="192" spans="1:30" ht="13.5" thickBot="1" x14ac:dyDescent="0.25">
      <c r="A192" s="48" t="s">
        <v>524</v>
      </c>
      <c r="B192" s="47" t="s">
        <v>523</v>
      </c>
      <c r="C192" s="48" t="s">
        <v>25</v>
      </c>
      <c r="D192" s="48" t="s">
        <v>2349</v>
      </c>
      <c r="E192" s="129" t="s">
        <v>15</v>
      </c>
      <c r="F192" s="129" t="s">
        <v>16</v>
      </c>
      <c r="G192" s="108">
        <v>7656</v>
      </c>
      <c r="H192" s="87" t="s">
        <v>1648</v>
      </c>
      <c r="I192" s="205">
        <v>4281</v>
      </c>
      <c r="J192" s="207">
        <v>4568</v>
      </c>
      <c r="K192" s="208">
        <v>11316</v>
      </c>
      <c r="L192" s="208">
        <v>0</v>
      </c>
      <c r="M192" s="208">
        <v>54648</v>
      </c>
      <c r="N192" s="203">
        <v>0</v>
      </c>
      <c r="O192" s="208">
        <v>65964</v>
      </c>
      <c r="P192" s="208">
        <v>11956</v>
      </c>
      <c r="Q192" s="207">
        <v>3088</v>
      </c>
      <c r="R192" s="208">
        <v>7650</v>
      </c>
      <c r="S192" s="208">
        <v>0</v>
      </c>
      <c r="T192" s="203">
        <v>0</v>
      </c>
      <c r="U192" s="203">
        <v>0</v>
      </c>
      <c r="V192" s="208">
        <v>7650</v>
      </c>
      <c r="W192" s="203">
        <v>0</v>
      </c>
      <c r="X192" s="208">
        <v>73614</v>
      </c>
      <c r="Y192" s="208">
        <v>11956</v>
      </c>
      <c r="Z192" s="208">
        <v>85570</v>
      </c>
      <c r="AA192" s="208">
        <v>6136</v>
      </c>
      <c r="AB192" s="208">
        <v>0</v>
      </c>
      <c r="AC192" s="208">
        <v>91706</v>
      </c>
      <c r="AD192" s="209">
        <v>11.978317659352141</v>
      </c>
    </row>
    <row r="193" spans="1:30" ht="13.5" thickBot="1" x14ac:dyDescent="0.25">
      <c r="A193" s="48" t="s">
        <v>536</v>
      </c>
      <c r="B193" s="47" t="s">
        <v>535</v>
      </c>
      <c r="C193" s="48" t="s">
        <v>25</v>
      </c>
      <c r="D193" s="48" t="s">
        <v>2006</v>
      </c>
      <c r="E193" s="129" t="s">
        <v>20</v>
      </c>
      <c r="F193" s="129" t="s">
        <v>21</v>
      </c>
      <c r="G193" s="108">
        <v>8354</v>
      </c>
      <c r="H193" s="87" t="s">
        <v>1649</v>
      </c>
      <c r="I193" s="205">
        <v>0</v>
      </c>
      <c r="J193" s="207">
        <v>8245</v>
      </c>
      <c r="K193" s="208">
        <v>14673</v>
      </c>
      <c r="L193" s="208">
        <v>528580</v>
      </c>
      <c r="M193" s="208">
        <v>5165</v>
      </c>
      <c r="N193" s="208">
        <v>8036</v>
      </c>
      <c r="O193" s="208">
        <v>556454</v>
      </c>
      <c r="P193" s="208">
        <v>26866</v>
      </c>
      <c r="Q193" s="207">
        <v>109</v>
      </c>
      <c r="R193" s="208">
        <v>0</v>
      </c>
      <c r="S193" s="208">
        <v>0</v>
      </c>
      <c r="T193" s="208">
        <v>0</v>
      </c>
      <c r="U193" s="208">
        <v>0</v>
      </c>
      <c r="V193" s="208">
        <v>0</v>
      </c>
      <c r="W193" s="208">
        <v>0</v>
      </c>
      <c r="X193" s="208">
        <v>556454</v>
      </c>
      <c r="Y193" s="208">
        <v>26866</v>
      </c>
      <c r="Z193" s="208">
        <v>583320</v>
      </c>
      <c r="AA193" s="208">
        <v>8036</v>
      </c>
      <c r="AB193" s="208">
        <v>0</v>
      </c>
      <c r="AC193" s="208">
        <v>591356</v>
      </c>
      <c r="AD193" s="209">
        <v>70.787167823796977</v>
      </c>
    </row>
    <row r="194" spans="1:30" ht="13.5" thickBot="1" x14ac:dyDescent="0.25">
      <c r="A194" s="48" t="s">
        <v>554</v>
      </c>
      <c r="B194" s="47" t="s">
        <v>553</v>
      </c>
      <c r="C194" s="48" t="s">
        <v>25</v>
      </c>
      <c r="D194" s="48" t="s">
        <v>2679</v>
      </c>
      <c r="E194" s="129" t="s">
        <v>15</v>
      </c>
      <c r="F194" s="129" t="s">
        <v>16</v>
      </c>
      <c r="G194" s="108">
        <v>8640</v>
      </c>
      <c r="H194" s="87" t="s">
        <v>1649</v>
      </c>
      <c r="I194" s="205">
        <v>0</v>
      </c>
      <c r="J194" s="207">
        <v>8640</v>
      </c>
      <c r="K194" s="208">
        <v>74506</v>
      </c>
      <c r="L194" s="208">
        <v>195215</v>
      </c>
      <c r="M194" s="208">
        <v>0</v>
      </c>
      <c r="N194" s="208">
        <v>7043</v>
      </c>
      <c r="O194" s="208">
        <v>276764</v>
      </c>
      <c r="P194" s="208">
        <v>5223</v>
      </c>
      <c r="Q194" s="210">
        <v>0</v>
      </c>
      <c r="R194" s="203">
        <v>0</v>
      </c>
      <c r="S194" s="203">
        <v>0</v>
      </c>
      <c r="T194" s="203">
        <v>0</v>
      </c>
      <c r="U194" s="203">
        <v>0</v>
      </c>
      <c r="V194" s="203">
        <v>0</v>
      </c>
      <c r="W194" s="203">
        <v>0</v>
      </c>
      <c r="X194" s="208">
        <v>276764</v>
      </c>
      <c r="Y194" s="208">
        <v>5223</v>
      </c>
      <c r="Z194" s="208">
        <v>281987</v>
      </c>
      <c r="AA194" s="208">
        <v>10666</v>
      </c>
      <c r="AB194" s="208">
        <v>0</v>
      </c>
      <c r="AC194" s="208">
        <v>292653</v>
      </c>
      <c r="AD194" s="209">
        <v>33.871875000000003</v>
      </c>
    </row>
    <row r="195" spans="1:30" ht="13.5" thickBot="1" x14ac:dyDescent="0.25">
      <c r="A195" s="48" t="s">
        <v>564</v>
      </c>
      <c r="B195" s="47" t="s">
        <v>563</v>
      </c>
      <c r="C195" s="48" t="s">
        <v>25</v>
      </c>
      <c r="D195" s="48" t="s">
        <v>2022</v>
      </c>
      <c r="E195" s="129" t="s">
        <v>101</v>
      </c>
      <c r="F195" s="129" t="s">
        <v>102</v>
      </c>
      <c r="G195" s="108">
        <v>9969</v>
      </c>
      <c r="H195" s="87" t="s">
        <v>1649</v>
      </c>
      <c r="I195" s="205">
        <v>0</v>
      </c>
      <c r="J195" s="207">
        <v>9969</v>
      </c>
      <c r="K195" s="208">
        <v>10930</v>
      </c>
      <c r="L195" s="208">
        <v>453770</v>
      </c>
      <c r="M195" s="203">
        <v>0</v>
      </c>
      <c r="N195" s="208">
        <v>14839</v>
      </c>
      <c r="O195" s="208">
        <v>479539</v>
      </c>
      <c r="P195" s="208">
        <v>14632</v>
      </c>
      <c r="Q195" s="210">
        <v>0</v>
      </c>
      <c r="R195" s="203">
        <v>0</v>
      </c>
      <c r="S195" s="203">
        <v>0</v>
      </c>
      <c r="T195" s="203">
        <v>0</v>
      </c>
      <c r="U195" s="203">
        <v>0</v>
      </c>
      <c r="V195" s="203">
        <v>0</v>
      </c>
      <c r="W195" s="203">
        <v>0</v>
      </c>
      <c r="X195" s="208">
        <v>479539</v>
      </c>
      <c r="Y195" s="208">
        <v>14632</v>
      </c>
      <c r="Z195" s="208">
        <v>494171</v>
      </c>
      <c r="AA195" s="208">
        <v>7981</v>
      </c>
      <c r="AB195" s="208">
        <v>0</v>
      </c>
      <c r="AC195" s="208">
        <v>502152</v>
      </c>
      <c r="AD195" s="209">
        <v>50.371351188684926</v>
      </c>
    </row>
    <row r="196" spans="1:30" ht="13.5" thickBot="1" x14ac:dyDescent="0.25">
      <c r="A196" s="48" t="s">
        <v>568</v>
      </c>
      <c r="B196" s="47" t="s">
        <v>567</v>
      </c>
      <c r="C196" s="48" t="s">
        <v>25</v>
      </c>
      <c r="D196" s="48" t="s">
        <v>1980</v>
      </c>
      <c r="E196" s="129" t="s">
        <v>61</v>
      </c>
      <c r="F196" s="129" t="s">
        <v>62</v>
      </c>
      <c r="G196" s="108">
        <v>7034</v>
      </c>
      <c r="H196" s="87" t="s">
        <v>1649</v>
      </c>
      <c r="I196" s="205">
        <v>0</v>
      </c>
      <c r="J196" s="207">
        <v>7034</v>
      </c>
      <c r="K196" s="208">
        <v>20136</v>
      </c>
      <c r="L196" s="208">
        <v>154518</v>
      </c>
      <c r="M196" s="203">
        <v>0</v>
      </c>
      <c r="N196" s="203">
        <v>0</v>
      </c>
      <c r="O196" s="208">
        <v>174654</v>
      </c>
      <c r="P196" s="208">
        <v>9110</v>
      </c>
      <c r="Q196" s="210">
        <v>0</v>
      </c>
      <c r="R196" s="203">
        <v>0</v>
      </c>
      <c r="S196" s="203">
        <v>0</v>
      </c>
      <c r="T196" s="203">
        <v>0</v>
      </c>
      <c r="U196" s="203">
        <v>0</v>
      </c>
      <c r="V196" s="203">
        <v>0</v>
      </c>
      <c r="W196" s="203">
        <v>0</v>
      </c>
      <c r="X196" s="208">
        <v>174654</v>
      </c>
      <c r="Y196" s="208">
        <v>9110</v>
      </c>
      <c r="Z196" s="208">
        <v>183764</v>
      </c>
      <c r="AA196" s="208">
        <v>5638</v>
      </c>
      <c r="AB196" s="208">
        <v>0</v>
      </c>
      <c r="AC196" s="208">
        <v>189402</v>
      </c>
      <c r="AD196" s="209">
        <v>26.926642024452658</v>
      </c>
    </row>
    <row r="197" spans="1:30" ht="13.5" thickBot="1" x14ac:dyDescent="0.25">
      <c r="A197" s="48" t="s">
        <v>576</v>
      </c>
      <c r="B197" s="47" t="s">
        <v>575</v>
      </c>
      <c r="C197" s="48" t="s">
        <v>25</v>
      </c>
      <c r="D197" s="48" t="s">
        <v>2435</v>
      </c>
      <c r="E197" s="129" t="s">
        <v>20</v>
      </c>
      <c r="F197" s="129" t="s">
        <v>21</v>
      </c>
      <c r="G197" s="108">
        <v>8833</v>
      </c>
      <c r="H197" s="87" t="s">
        <v>1649</v>
      </c>
      <c r="I197" s="205">
        <v>0</v>
      </c>
      <c r="J197" s="207">
        <v>8833</v>
      </c>
      <c r="K197" s="208">
        <v>47717</v>
      </c>
      <c r="L197" s="208">
        <v>262384</v>
      </c>
      <c r="M197" s="208">
        <v>0</v>
      </c>
      <c r="N197" s="208">
        <v>0</v>
      </c>
      <c r="O197" s="208">
        <v>310101</v>
      </c>
      <c r="P197" s="208">
        <v>108967</v>
      </c>
      <c r="Q197" s="210">
        <v>0</v>
      </c>
      <c r="R197" s="203">
        <v>0</v>
      </c>
      <c r="S197" s="203">
        <v>0</v>
      </c>
      <c r="T197" s="203">
        <v>0</v>
      </c>
      <c r="U197" s="203">
        <v>0</v>
      </c>
      <c r="V197" s="203">
        <v>0</v>
      </c>
      <c r="W197" s="203">
        <v>0</v>
      </c>
      <c r="X197" s="208">
        <v>310101</v>
      </c>
      <c r="Y197" s="208">
        <v>108967</v>
      </c>
      <c r="Z197" s="208">
        <v>419068</v>
      </c>
      <c r="AA197" s="208">
        <v>7079</v>
      </c>
      <c r="AB197" s="208">
        <v>0</v>
      </c>
      <c r="AC197" s="208">
        <v>426147</v>
      </c>
      <c r="AD197" s="209">
        <v>48.244877165176042</v>
      </c>
    </row>
    <row r="198" spans="1:30" ht="13.5" thickBot="1" x14ac:dyDescent="0.25">
      <c r="A198" s="48" t="s">
        <v>584</v>
      </c>
      <c r="B198" s="47" t="s">
        <v>583</v>
      </c>
      <c r="C198" s="48" t="s">
        <v>25</v>
      </c>
      <c r="D198" s="48" t="s">
        <v>2110</v>
      </c>
      <c r="E198" s="129" t="s">
        <v>15</v>
      </c>
      <c r="F198" s="129" t="s">
        <v>16</v>
      </c>
      <c r="G198" s="108">
        <v>11503</v>
      </c>
      <c r="H198" s="87" t="s">
        <v>1648</v>
      </c>
      <c r="I198" s="205">
        <v>21281</v>
      </c>
      <c r="J198" s="207">
        <v>8248</v>
      </c>
      <c r="K198" s="208">
        <v>23787</v>
      </c>
      <c r="L198" s="208">
        <v>718542</v>
      </c>
      <c r="M198" s="203">
        <v>0</v>
      </c>
      <c r="N198" s="203">
        <v>0</v>
      </c>
      <c r="O198" s="208">
        <v>742329</v>
      </c>
      <c r="P198" s="208">
        <v>56419</v>
      </c>
      <c r="Q198" s="207">
        <v>3255</v>
      </c>
      <c r="R198" s="203">
        <v>0</v>
      </c>
      <c r="S198" s="203">
        <v>0</v>
      </c>
      <c r="T198" s="203">
        <v>0</v>
      </c>
      <c r="U198" s="203">
        <v>0</v>
      </c>
      <c r="V198" s="203">
        <v>0</v>
      </c>
      <c r="W198" s="203">
        <v>0</v>
      </c>
      <c r="X198" s="208">
        <v>742329</v>
      </c>
      <c r="Y198" s="208">
        <v>56419</v>
      </c>
      <c r="Z198" s="208">
        <v>798748</v>
      </c>
      <c r="AA198" s="208">
        <v>9220</v>
      </c>
      <c r="AB198" s="208">
        <v>0</v>
      </c>
      <c r="AC198" s="208">
        <v>807968</v>
      </c>
      <c r="AD198" s="209">
        <v>70.239763539946097</v>
      </c>
    </row>
    <row r="199" spans="1:30" ht="13.5" thickBot="1" x14ac:dyDescent="0.25">
      <c r="A199" s="48" t="s">
        <v>610</v>
      </c>
      <c r="B199" s="47" t="s">
        <v>609</v>
      </c>
      <c r="C199" s="48" t="s">
        <v>25</v>
      </c>
      <c r="D199" s="48" t="s">
        <v>2122</v>
      </c>
      <c r="E199" s="129" t="s">
        <v>15</v>
      </c>
      <c r="F199" s="129" t="s">
        <v>16</v>
      </c>
      <c r="G199" s="108">
        <v>8891</v>
      </c>
      <c r="H199" s="87" t="s">
        <v>1649</v>
      </c>
      <c r="I199" s="205">
        <v>0</v>
      </c>
      <c r="J199" s="207">
        <v>6226</v>
      </c>
      <c r="K199" s="208">
        <v>31060</v>
      </c>
      <c r="L199" s="208">
        <v>203541</v>
      </c>
      <c r="M199" s="203">
        <v>0</v>
      </c>
      <c r="N199" s="203">
        <v>0</v>
      </c>
      <c r="O199" s="208">
        <v>234601</v>
      </c>
      <c r="P199" s="208">
        <v>45953</v>
      </c>
      <c r="Q199" s="207">
        <v>2665</v>
      </c>
      <c r="R199" s="208">
        <v>10287</v>
      </c>
      <c r="S199" s="208">
        <v>12602</v>
      </c>
      <c r="T199" s="203">
        <v>0</v>
      </c>
      <c r="U199" s="208">
        <v>1350</v>
      </c>
      <c r="V199" s="208">
        <v>24239</v>
      </c>
      <c r="W199" s="203">
        <v>0</v>
      </c>
      <c r="X199" s="208">
        <v>258840</v>
      </c>
      <c r="Y199" s="208">
        <v>45953</v>
      </c>
      <c r="Z199" s="208">
        <v>304793</v>
      </c>
      <c r="AA199" s="208">
        <v>7126</v>
      </c>
      <c r="AB199" s="208">
        <v>0</v>
      </c>
      <c r="AC199" s="208">
        <v>311919</v>
      </c>
      <c r="AD199" s="209">
        <v>35.08255539309414</v>
      </c>
    </row>
    <row r="200" spans="1:30" ht="13.5" thickBot="1" x14ac:dyDescent="0.25">
      <c r="A200" s="48" t="s">
        <v>618</v>
      </c>
      <c r="B200" s="47" t="s">
        <v>617</v>
      </c>
      <c r="C200" s="48" t="s">
        <v>25</v>
      </c>
      <c r="D200" s="48" t="s">
        <v>2316</v>
      </c>
      <c r="E200" s="129" t="s">
        <v>20</v>
      </c>
      <c r="F200" s="129" t="s">
        <v>21</v>
      </c>
      <c r="G200" s="108">
        <v>8543</v>
      </c>
      <c r="H200" s="87" t="s">
        <v>1649</v>
      </c>
      <c r="I200" s="205">
        <v>0</v>
      </c>
      <c r="J200" s="207">
        <v>5479</v>
      </c>
      <c r="K200" s="208">
        <v>26245</v>
      </c>
      <c r="L200" s="208">
        <v>138354</v>
      </c>
      <c r="M200" s="208">
        <v>0</v>
      </c>
      <c r="N200" s="208">
        <v>0</v>
      </c>
      <c r="O200" s="208">
        <v>164599</v>
      </c>
      <c r="P200" s="208">
        <v>791</v>
      </c>
      <c r="Q200" s="207">
        <v>3064</v>
      </c>
      <c r="R200" s="208">
        <v>13942</v>
      </c>
      <c r="S200" s="208">
        <v>0</v>
      </c>
      <c r="T200" s="208">
        <v>0</v>
      </c>
      <c r="U200" s="208">
        <v>4250</v>
      </c>
      <c r="V200" s="208">
        <v>18192</v>
      </c>
      <c r="W200" s="203">
        <v>0</v>
      </c>
      <c r="X200" s="208">
        <v>182791</v>
      </c>
      <c r="Y200" s="208">
        <v>791</v>
      </c>
      <c r="Z200" s="208">
        <v>183582</v>
      </c>
      <c r="AA200" s="208">
        <v>8306</v>
      </c>
      <c r="AB200" s="208">
        <v>0</v>
      </c>
      <c r="AC200" s="208">
        <v>191888</v>
      </c>
      <c r="AD200" s="209">
        <v>22.461430410862693</v>
      </c>
    </row>
    <row r="201" spans="1:30" ht="13.5" thickBot="1" x14ac:dyDescent="0.25">
      <c r="A201" s="48" t="s">
        <v>626</v>
      </c>
      <c r="B201" s="47" t="s">
        <v>625</v>
      </c>
      <c r="C201" s="48" t="s">
        <v>25</v>
      </c>
      <c r="D201" s="48" t="s">
        <v>2022</v>
      </c>
      <c r="E201" s="129" t="s">
        <v>101</v>
      </c>
      <c r="F201" s="129" t="s">
        <v>102</v>
      </c>
      <c r="G201" s="108">
        <v>7580</v>
      </c>
      <c r="H201" s="87" t="s">
        <v>1648</v>
      </c>
      <c r="I201" s="205">
        <v>5773</v>
      </c>
      <c r="J201" s="207">
        <v>7580</v>
      </c>
      <c r="K201" s="208">
        <v>0</v>
      </c>
      <c r="L201" s="208">
        <v>405236</v>
      </c>
      <c r="M201" s="208">
        <v>0</v>
      </c>
      <c r="N201" s="208">
        <v>11185</v>
      </c>
      <c r="O201" s="208">
        <v>416421</v>
      </c>
      <c r="P201" s="208">
        <v>2474</v>
      </c>
      <c r="Q201" s="210">
        <v>0</v>
      </c>
      <c r="R201" s="203">
        <v>0</v>
      </c>
      <c r="S201" s="203">
        <v>0</v>
      </c>
      <c r="T201" s="203">
        <v>0</v>
      </c>
      <c r="U201" s="203">
        <v>0</v>
      </c>
      <c r="V201" s="203">
        <v>0</v>
      </c>
      <c r="W201" s="203">
        <v>0</v>
      </c>
      <c r="X201" s="208">
        <v>416421</v>
      </c>
      <c r="Y201" s="208">
        <v>2474</v>
      </c>
      <c r="Z201" s="208">
        <v>418895</v>
      </c>
      <c r="AA201" s="208">
        <v>14379</v>
      </c>
      <c r="AB201" s="208">
        <v>0</v>
      </c>
      <c r="AC201" s="208">
        <v>433274</v>
      </c>
      <c r="AD201" s="209">
        <v>57.160158311345647</v>
      </c>
    </row>
    <row r="202" spans="1:30" ht="13.5" thickBot="1" x14ac:dyDescent="0.25">
      <c r="A202" s="48" t="s">
        <v>634</v>
      </c>
      <c r="B202" s="47" t="s">
        <v>633</v>
      </c>
      <c r="C202" s="48" t="s">
        <v>25</v>
      </c>
      <c r="D202" s="48" t="s">
        <v>1979</v>
      </c>
      <c r="E202" s="129" t="s">
        <v>20</v>
      </c>
      <c r="F202" s="129" t="s">
        <v>21</v>
      </c>
      <c r="G202" s="108">
        <v>7903</v>
      </c>
      <c r="H202" s="87" t="s">
        <v>1649</v>
      </c>
      <c r="I202" s="205">
        <v>0</v>
      </c>
      <c r="J202" s="207">
        <v>7903</v>
      </c>
      <c r="K202" s="208">
        <v>10269</v>
      </c>
      <c r="L202" s="208">
        <v>130805</v>
      </c>
      <c r="M202" s="203">
        <v>0</v>
      </c>
      <c r="N202" s="203">
        <v>0</v>
      </c>
      <c r="O202" s="208">
        <v>141074</v>
      </c>
      <c r="P202" s="208">
        <v>202020</v>
      </c>
      <c r="Q202" s="210">
        <v>0</v>
      </c>
      <c r="R202" s="203">
        <v>0</v>
      </c>
      <c r="S202" s="203">
        <v>0</v>
      </c>
      <c r="T202" s="203">
        <v>0</v>
      </c>
      <c r="U202" s="203">
        <v>0</v>
      </c>
      <c r="V202" s="203">
        <v>0</v>
      </c>
      <c r="W202" s="203">
        <v>0</v>
      </c>
      <c r="X202" s="208">
        <v>141074</v>
      </c>
      <c r="Y202" s="208">
        <v>202020</v>
      </c>
      <c r="Z202" s="208">
        <v>343094</v>
      </c>
      <c r="AA202" s="208">
        <v>8229</v>
      </c>
      <c r="AB202" s="208">
        <v>0</v>
      </c>
      <c r="AC202" s="208">
        <v>351323</v>
      </c>
      <c r="AD202" s="209">
        <v>44.454384410983174</v>
      </c>
    </row>
    <row r="203" spans="1:30" ht="13.5" thickBot="1" x14ac:dyDescent="0.25">
      <c r="A203" s="48" t="s">
        <v>650</v>
      </c>
      <c r="B203" s="47" t="s">
        <v>649</v>
      </c>
      <c r="C203" s="48" t="s">
        <v>25</v>
      </c>
      <c r="D203" s="48" t="s">
        <v>1992</v>
      </c>
      <c r="E203" s="129" t="s">
        <v>15</v>
      </c>
      <c r="F203" s="129" t="s">
        <v>16</v>
      </c>
      <c r="G203" s="108">
        <v>11480</v>
      </c>
      <c r="H203" s="87" t="s">
        <v>1649</v>
      </c>
      <c r="I203" s="205">
        <v>0</v>
      </c>
      <c r="J203" s="207">
        <v>11480</v>
      </c>
      <c r="K203" s="208">
        <v>32544</v>
      </c>
      <c r="L203" s="208">
        <v>358450</v>
      </c>
      <c r="M203" s="203">
        <v>0</v>
      </c>
      <c r="N203" s="208">
        <v>34241</v>
      </c>
      <c r="O203" s="208">
        <v>425235</v>
      </c>
      <c r="P203" s="208">
        <v>28729</v>
      </c>
      <c r="Q203" s="210">
        <v>0</v>
      </c>
      <c r="R203" s="203">
        <v>0</v>
      </c>
      <c r="S203" s="203">
        <v>0</v>
      </c>
      <c r="T203" s="203">
        <v>0</v>
      </c>
      <c r="U203" s="203">
        <v>0</v>
      </c>
      <c r="V203" s="203">
        <v>0</v>
      </c>
      <c r="W203" s="203">
        <v>0</v>
      </c>
      <c r="X203" s="208">
        <v>425235</v>
      </c>
      <c r="Y203" s="208">
        <v>28729</v>
      </c>
      <c r="Z203" s="208">
        <v>453964</v>
      </c>
      <c r="AA203" s="208">
        <v>9201</v>
      </c>
      <c r="AB203" s="208">
        <v>0</v>
      </c>
      <c r="AC203" s="208">
        <v>463165</v>
      </c>
      <c r="AD203" s="209">
        <v>40.345383275261327</v>
      </c>
    </row>
    <row r="204" spans="1:30" ht="13.5" thickBot="1" x14ac:dyDescent="0.25">
      <c r="A204" s="48" t="s">
        <v>652</v>
      </c>
      <c r="B204" s="47" t="s">
        <v>651</v>
      </c>
      <c r="C204" s="48" t="s">
        <v>25</v>
      </c>
      <c r="D204" s="48" t="s">
        <v>2101</v>
      </c>
      <c r="E204" s="129" t="s">
        <v>61</v>
      </c>
      <c r="F204" s="129" t="s">
        <v>62</v>
      </c>
      <c r="G204" s="108">
        <v>7798</v>
      </c>
      <c r="H204" s="87" t="s">
        <v>1648</v>
      </c>
      <c r="I204" s="205">
        <v>4624</v>
      </c>
      <c r="J204" s="207">
        <v>7798</v>
      </c>
      <c r="K204" s="208">
        <v>19102</v>
      </c>
      <c r="L204" s="208">
        <v>188868</v>
      </c>
      <c r="M204" s="208">
        <v>0</v>
      </c>
      <c r="N204" s="208">
        <v>6354</v>
      </c>
      <c r="O204" s="208">
        <v>214324</v>
      </c>
      <c r="P204" s="208">
        <v>17899</v>
      </c>
      <c r="Q204" s="210">
        <v>0</v>
      </c>
      <c r="R204" s="203">
        <v>0</v>
      </c>
      <c r="S204" s="203">
        <v>0</v>
      </c>
      <c r="T204" s="203">
        <v>0</v>
      </c>
      <c r="U204" s="203">
        <v>0</v>
      </c>
      <c r="V204" s="203">
        <v>0</v>
      </c>
      <c r="W204" s="203">
        <v>0</v>
      </c>
      <c r="X204" s="208">
        <v>214324</v>
      </c>
      <c r="Y204" s="208">
        <v>17899</v>
      </c>
      <c r="Z204" s="208">
        <v>232223</v>
      </c>
      <c r="AA204" s="208">
        <v>6250</v>
      </c>
      <c r="AB204" s="208">
        <v>0</v>
      </c>
      <c r="AC204" s="208">
        <v>238473</v>
      </c>
      <c r="AD204" s="209">
        <v>30.581302898179022</v>
      </c>
    </row>
    <row r="205" spans="1:30" ht="13.5" thickBot="1" x14ac:dyDescent="0.25">
      <c r="A205" s="48" t="s">
        <v>660</v>
      </c>
      <c r="B205" s="47" t="s">
        <v>659</v>
      </c>
      <c r="C205" s="48" t="s">
        <v>25</v>
      </c>
      <c r="D205" s="48" t="s">
        <v>1973</v>
      </c>
      <c r="E205" s="129" t="s">
        <v>20</v>
      </c>
      <c r="F205" s="129" t="s">
        <v>21</v>
      </c>
      <c r="G205" s="108">
        <v>7357</v>
      </c>
      <c r="H205" s="87" t="s">
        <v>1649</v>
      </c>
      <c r="I205" s="205">
        <v>0</v>
      </c>
      <c r="J205" s="207">
        <v>4446</v>
      </c>
      <c r="K205" s="208">
        <v>24095</v>
      </c>
      <c r="L205" s="208">
        <v>58583</v>
      </c>
      <c r="M205" s="208">
        <v>91376</v>
      </c>
      <c r="N205" s="208">
        <v>0</v>
      </c>
      <c r="O205" s="208">
        <v>174054</v>
      </c>
      <c r="P205" s="208">
        <v>8397</v>
      </c>
      <c r="Q205" s="207">
        <v>2911</v>
      </c>
      <c r="R205" s="208">
        <v>15776</v>
      </c>
      <c r="S205" s="203">
        <v>0</v>
      </c>
      <c r="T205" s="208">
        <v>24539</v>
      </c>
      <c r="U205" s="203">
        <v>0</v>
      </c>
      <c r="V205" s="208">
        <v>40315</v>
      </c>
      <c r="W205" s="203">
        <v>0</v>
      </c>
      <c r="X205" s="208">
        <v>214369</v>
      </c>
      <c r="Y205" s="208">
        <v>8397</v>
      </c>
      <c r="Z205" s="208">
        <v>222766</v>
      </c>
      <c r="AA205" s="208">
        <v>7837</v>
      </c>
      <c r="AB205" s="208">
        <v>162</v>
      </c>
      <c r="AC205" s="208">
        <v>230765</v>
      </c>
      <c r="AD205" s="209">
        <v>31.366725567486746</v>
      </c>
    </row>
    <row r="206" spans="1:30" ht="13.5" thickBot="1" x14ac:dyDescent="0.25">
      <c r="A206" s="48" t="s">
        <v>666</v>
      </c>
      <c r="B206" s="47" t="s">
        <v>665</v>
      </c>
      <c r="C206" s="48" t="s">
        <v>25</v>
      </c>
      <c r="D206" s="48" t="s">
        <v>1953</v>
      </c>
      <c r="E206" s="129" t="s">
        <v>15</v>
      </c>
      <c r="F206" s="129" t="s">
        <v>16</v>
      </c>
      <c r="G206" s="108">
        <v>7103</v>
      </c>
      <c r="H206" s="87" t="s">
        <v>1649</v>
      </c>
      <c r="I206" s="205">
        <v>0</v>
      </c>
      <c r="J206" s="207">
        <v>7101</v>
      </c>
      <c r="K206" s="208">
        <v>22297</v>
      </c>
      <c r="L206" s="208">
        <v>213980</v>
      </c>
      <c r="M206" s="203">
        <v>0</v>
      </c>
      <c r="N206" s="208">
        <v>44219</v>
      </c>
      <c r="O206" s="208">
        <v>280496</v>
      </c>
      <c r="P206" s="208">
        <v>22279</v>
      </c>
      <c r="Q206" s="207">
        <v>2</v>
      </c>
      <c r="R206" s="203">
        <v>0</v>
      </c>
      <c r="S206" s="203">
        <v>0</v>
      </c>
      <c r="T206" s="203">
        <v>0</v>
      </c>
      <c r="U206" s="203">
        <v>0</v>
      </c>
      <c r="V206" s="203">
        <v>0</v>
      </c>
      <c r="W206" s="203">
        <v>0</v>
      </c>
      <c r="X206" s="208">
        <v>280496</v>
      </c>
      <c r="Y206" s="208">
        <v>22279</v>
      </c>
      <c r="Z206" s="208">
        <v>302775</v>
      </c>
      <c r="AA206" s="208">
        <v>5693</v>
      </c>
      <c r="AB206" s="208">
        <v>0</v>
      </c>
      <c r="AC206" s="208">
        <v>308468</v>
      </c>
      <c r="AD206" s="209">
        <v>43.427847388427423</v>
      </c>
    </row>
    <row r="207" spans="1:30" ht="13.5" thickBot="1" x14ac:dyDescent="0.25">
      <c r="A207" s="48" t="s">
        <v>670</v>
      </c>
      <c r="B207" s="47" t="s">
        <v>669</v>
      </c>
      <c r="C207" s="48" t="s">
        <v>25</v>
      </c>
      <c r="D207" s="48" t="s">
        <v>2002</v>
      </c>
      <c r="E207" s="129" t="s">
        <v>101</v>
      </c>
      <c r="F207" s="129" t="s">
        <v>102</v>
      </c>
      <c r="G207" s="108">
        <v>10188</v>
      </c>
      <c r="H207" s="87" t="s">
        <v>1649</v>
      </c>
      <c r="I207" s="205">
        <v>0</v>
      </c>
      <c r="J207" s="207">
        <v>10188</v>
      </c>
      <c r="K207" s="208">
        <v>39244</v>
      </c>
      <c r="L207" s="208">
        <v>456206</v>
      </c>
      <c r="M207" s="203">
        <v>0</v>
      </c>
      <c r="N207" s="203">
        <v>0</v>
      </c>
      <c r="O207" s="208">
        <v>495450</v>
      </c>
      <c r="P207" s="203">
        <v>0</v>
      </c>
      <c r="Q207" s="210">
        <v>0</v>
      </c>
      <c r="R207" s="208">
        <v>0</v>
      </c>
      <c r="S207" s="203">
        <v>0</v>
      </c>
      <c r="T207" s="203">
        <v>0</v>
      </c>
      <c r="U207" s="203">
        <v>0</v>
      </c>
      <c r="V207" s="208">
        <v>0</v>
      </c>
      <c r="W207" s="203">
        <v>0</v>
      </c>
      <c r="X207" s="208">
        <v>495450</v>
      </c>
      <c r="Y207" s="203">
        <v>0</v>
      </c>
      <c r="Z207" s="208">
        <v>495450</v>
      </c>
      <c r="AA207" s="208">
        <v>8020</v>
      </c>
      <c r="AB207" s="208">
        <v>0</v>
      </c>
      <c r="AC207" s="208">
        <v>503470</v>
      </c>
      <c r="AD207" s="209">
        <v>49.417942677659994</v>
      </c>
    </row>
    <row r="208" spans="1:30" ht="13.5" thickBot="1" x14ac:dyDescent="0.25">
      <c r="A208" s="48" t="s">
        <v>676</v>
      </c>
      <c r="B208" s="47" t="s">
        <v>675</v>
      </c>
      <c r="C208" s="48" t="s">
        <v>25</v>
      </c>
      <c r="D208" s="48" t="s">
        <v>1947</v>
      </c>
      <c r="E208" s="129" t="s">
        <v>101</v>
      </c>
      <c r="F208" s="129" t="s">
        <v>102</v>
      </c>
      <c r="G208" s="108">
        <v>7272</v>
      </c>
      <c r="H208" s="87" t="s">
        <v>1649</v>
      </c>
      <c r="I208" s="205">
        <v>0</v>
      </c>
      <c r="J208" s="207">
        <v>3340</v>
      </c>
      <c r="K208" s="208">
        <v>6376</v>
      </c>
      <c r="L208" s="208">
        <v>0</v>
      </c>
      <c r="M208" s="208">
        <v>246666</v>
      </c>
      <c r="N208" s="208">
        <v>0</v>
      </c>
      <c r="O208" s="208">
        <v>253042</v>
      </c>
      <c r="P208" s="208">
        <v>22372</v>
      </c>
      <c r="Q208" s="207">
        <v>3932</v>
      </c>
      <c r="R208" s="208">
        <v>7506</v>
      </c>
      <c r="S208" s="208">
        <v>0</v>
      </c>
      <c r="T208" s="208">
        <v>0</v>
      </c>
      <c r="U208" s="208">
        <v>0</v>
      </c>
      <c r="V208" s="208">
        <v>7506</v>
      </c>
      <c r="W208" s="208">
        <v>0</v>
      </c>
      <c r="X208" s="208">
        <v>260548</v>
      </c>
      <c r="Y208" s="208">
        <v>22372</v>
      </c>
      <c r="Z208" s="208">
        <v>282920</v>
      </c>
      <c r="AA208" s="208">
        <v>5822</v>
      </c>
      <c r="AB208" s="208">
        <v>0</v>
      </c>
      <c r="AC208" s="208">
        <v>288742</v>
      </c>
      <c r="AD208" s="209">
        <v>39.705995599559955</v>
      </c>
    </row>
    <row r="209" spans="1:30" ht="13.5" thickBot="1" x14ac:dyDescent="0.25">
      <c r="A209" s="48" t="s">
        <v>682</v>
      </c>
      <c r="B209" s="47" t="s">
        <v>681</v>
      </c>
      <c r="C209" s="48" t="s">
        <v>25</v>
      </c>
      <c r="D209" s="48" t="s">
        <v>2442</v>
      </c>
      <c r="E209" s="129" t="s">
        <v>253</v>
      </c>
      <c r="F209" s="129" t="s">
        <v>254</v>
      </c>
      <c r="G209" s="108">
        <v>11377</v>
      </c>
      <c r="H209" s="87" t="s">
        <v>1648</v>
      </c>
      <c r="I209" s="205">
        <v>16000</v>
      </c>
      <c r="J209" s="207">
        <v>4069</v>
      </c>
      <c r="K209" s="208">
        <v>20408</v>
      </c>
      <c r="L209" s="208">
        <v>129811</v>
      </c>
      <c r="M209" s="203">
        <v>0</v>
      </c>
      <c r="N209" s="208">
        <v>13701</v>
      </c>
      <c r="O209" s="208">
        <v>163920</v>
      </c>
      <c r="P209" s="208">
        <v>0</v>
      </c>
      <c r="Q209" s="207">
        <v>7308</v>
      </c>
      <c r="R209" s="208">
        <v>36652</v>
      </c>
      <c r="S209" s="203">
        <v>0</v>
      </c>
      <c r="T209" s="208">
        <v>39252</v>
      </c>
      <c r="U209" s="208">
        <v>7300</v>
      </c>
      <c r="V209" s="208">
        <v>83204</v>
      </c>
      <c r="W209" s="208">
        <v>0</v>
      </c>
      <c r="X209" s="208">
        <v>247124</v>
      </c>
      <c r="Y209" s="208">
        <v>0</v>
      </c>
      <c r="Z209" s="208">
        <v>247124</v>
      </c>
      <c r="AA209" s="208">
        <v>10856</v>
      </c>
      <c r="AB209" s="208">
        <v>776</v>
      </c>
      <c r="AC209" s="208">
        <v>258756</v>
      </c>
      <c r="AD209" s="209">
        <v>22.743781313175706</v>
      </c>
    </row>
    <row r="210" spans="1:30" ht="13.5" thickBot="1" x14ac:dyDescent="0.25">
      <c r="A210" s="48" t="s">
        <v>694</v>
      </c>
      <c r="B210" s="47" t="s">
        <v>693</v>
      </c>
      <c r="C210" s="48" t="s">
        <v>25</v>
      </c>
      <c r="D210" s="48" t="s">
        <v>2446</v>
      </c>
      <c r="E210" s="129" t="s">
        <v>20</v>
      </c>
      <c r="F210" s="129" t="s">
        <v>21</v>
      </c>
      <c r="G210" s="108">
        <v>8386</v>
      </c>
      <c r="H210" s="87" t="s">
        <v>1649</v>
      </c>
      <c r="I210" s="205">
        <v>0</v>
      </c>
      <c r="J210" s="207">
        <v>4403</v>
      </c>
      <c r="K210" s="208">
        <v>19845</v>
      </c>
      <c r="L210" s="208">
        <v>222416</v>
      </c>
      <c r="M210" s="208">
        <v>0</v>
      </c>
      <c r="N210" s="208">
        <v>0</v>
      </c>
      <c r="O210" s="208">
        <v>242261</v>
      </c>
      <c r="P210" s="208">
        <v>528265</v>
      </c>
      <c r="Q210" s="207">
        <v>3983</v>
      </c>
      <c r="R210" s="208">
        <v>8106</v>
      </c>
      <c r="S210" s="208">
        <v>89959</v>
      </c>
      <c r="T210" s="208">
        <v>0</v>
      </c>
      <c r="U210" s="208">
        <v>0</v>
      </c>
      <c r="V210" s="208">
        <v>98065</v>
      </c>
      <c r="W210" s="208">
        <v>0</v>
      </c>
      <c r="X210" s="208">
        <v>340326</v>
      </c>
      <c r="Y210" s="208">
        <v>528265</v>
      </c>
      <c r="Z210" s="208">
        <v>868591</v>
      </c>
      <c r="AA210" s="208">
        <v>6722</v>
      </c>
      <c r="AB210" s="208">
        <v>0</v>
      </c>
      <c r="AC210" s="208">
        <v>875313</v>
      </c>
      <c r="AD210" s="209">
        <v>104.37789172430242</v>
      </c>
    </row>
    <row r="211" spans="1:30" ht="13.5" thickBot="1" x14ac:dyDescent="0.25">
      <c r="A211" s="48" t="s">
        <v>700</v>
      </c>
      <c r="B211" s="47" t="s">
        <v>699</v>
      </c>
      <c r="C211" s="48" t="s">
        <v>25</v>
      </c>
      <c r="D211" s="48" t="s">
        <v>2155</v>
      </c>
      <c r="E211" s="129" t="s">
        <v>61</v>
      </c>
      <c r="F211" s="129" t="s">
        <v>62</v>
      </c>
      <c r="G211" s="108">
        <v>9110</v>
      </c>
      <c r="H211" s="87" t="s">
        <v>1649</v>
      </c>
      <c r="I211" s="205">
        <v>0</v>
      </c>
      <c r="J211" s="207">
        <v>9110</v>
      </c>
      <c r="K211" s="208">
        <v>18143</v>
      </c>
      <c r="L211" s="208">
        <v>66329</v>
      </c>
      <c r="M211" s="208">
        <v>138500</v>
      </c>
      <c r="N211" s="208">
        <v>0</v>
      </c>
      <c r="O211" s="208">
        <v>222972</v>
      </c>
      <c r="P211" s="208">
        <v>11356</v>
      </c>
      <c r="Q211" s="210">
        <v>0</v>
      </c>
      <c r="R211" s="203">
        <v>0</v>
      </c>
      <c r="S211" s="203">
        <v>0</v>
      </c>
      <c r="T211" s="203">
        <v>0</v>
      </c>
      <c r="U211" s="203">
        <v>0</v>
      </c>
      <c r="V211" s="203">
        <v>0</v>
      </c>
      <c r="W211" s="203">
        <v>0</v>
      </c>
      <c r="X211" s="208">
        <v>222972</v>
      </c>
      <c r="Y211" s="208">
        <v>11356</v>
      </c>
      <c r="Z211" s="208">
        <v>234328</v>
      </c>
      <c r="AA211" s="208">
        <v>7302</v>
      </c>
      <c r="AB211" s="208">
        <v>0</v>
      </c>
      <c r="AC211" s="208">
        <v>241630</v>
      </c>
      <c r="AD211" s="209">
        <v>26.523600439077935</v>
      </c>
    </row>
    <row r="212" spans="1:30" ht="13.5" thickBot="1" x14ac:dyDescent="0.25">
      <c r="A212" s="48" t="s">
        <v>702</v>
      </c>
      <c r="B212" s="47" t="s">
        <v>701</v>
      </c>
      <c r="C212" s="48" t="s">
        <v>25</v>
      </c>
      <c r="D212" s="48" t="s">
        <v>2606</v>
      </c>
      <c r="E212" s="129" t="s">
        <v>20</v>
      </c>
      <c r="F212" s="129" t="s">
        <v>21</v>
      </c>
      <c r="G212" s="108">
        <v>9645</v>
      </c>
      <c r="H212" s="87" t="s">
        <v>1649</v>
      </c>
      <c r="I212" s="205">
        <v>0</v>
      </c>
      <c r="J212" s="207">
        <v>8599</v>
      </c>
      <c r="K212" s="208">
        <v>30807</v>
      </c>
      <c r="L212" s="208">
        <v>0</v>
      </c>
      <c r="M212" s="208">
        <v>419244</v>
      </c>
      <c r="N212" s="208">
        <v>0</v>
      </c>
      <c r="O212" s="208">
        <v>450051</v>
      </c>
      <c r="P212" s="208">
        <v>1954658</v>
      </c>
      <c r="Q212" s="207">
        <v>1046</v>
      </c>
      <c r="R212" s="208">
        <v>3747</v>
      </c>
      <c r="S212" s="208">
        <v>0</v>
      </c>
      <c r="T212" s="208">
        <v>0</v>
      </c>
      <c r="U212" s="208">
        <v>0</v>
      </c>
      <c r="V212" s="208">
        <v>3747</v>
      </c>
      <c r="W212" s="208">
        <v>0</v>
      </c>
      <c r="X212" s="208">
        <v>453798</v>
      </c>
      <c r="Y212" s="208">
        <v>1954658</v>
      </c>
      <c r="Z212" s="208">
        <v>2408456</v>
      </c>
      <c r="AA212" s="208">
        <v>7731</v>
      </c>
      <c r="AB212" s="208">
        <v>0</v>
      </c>
      <c r="AC212" s="208">
        <v>2416187</v>
      </c>
      <c r="AD212" s="209">
        <v>250.51187143597718</v>
      </c>
    </row>
    <row r="213" spans="1:30" ht="13.5" thickBot="1" x14ac:dyDescent="0.25">
      <c r="A213" s="48" t="s">
        <v>718</v>
      </c>
      <c r="B213" s="47" t="s">
        <v>717</v>
      </c>
      <c r="C213" s="48" t="s">
        <v>25</v>
      </c>
      <c r="D213" s="48" t="s">
        <v>2435</v>
      </c>
      <c r="E213" s="129" t="s">
        <v>20</v>
      </c>
      <c r="F213" s="129" t="s">
        <v>21</v>
      </c>
      <c r="G213" s="108">
        <v>9301</v>
      </c>
      <c r="H213" s="87" t="s">
        <v>1649</v>
      </c>
      <c r="I213" s="205">
        <v>0</v>
      </c>
      <c r="J213" s="207">
        <v>3606</v>
      </c>
      <c r="K213" s="208">
        <v>24773</v>
      </c>
      <c r="L213" s="208">
        <v>164745</v>
      </c>
      <c r="M213" s="208">
        <v>0</v>
      </c>
      <c r="N213" s="208">
        <v>0</v>
      </c>
      <c r="O213" s="208">
        <v>189518</v>
      </c>
      <c r="P213" s="208">
        <v>12780</v>
      </c>
      <c r="Q213" s="207">
        <v>5695</v>
      </c>
      <c r="R213" s="208">
        <v>39125</v>
      </c>
      <c r="S213" s="208">
        <v>0</v>
      </c>
      <c r="T213" s="208">
        <v>0</v>
      </c>
      <c r="U213" s="208">
        <v>5686</v>
      </c>
      <c r="V213" s="208">
        <v>44811</v>
      </c>
      <c r="W213" s="208">
        <v>0</v>
      </c>
      <c r="X213" s="208">
        <v>234329</v>
      </c>
      <c r="Y213" s="208">
        <v>12780</v>
      </c>
      <c r="Z213" s="208">
        <v>247109</v>
      </c>
      <c r="AA213" s="208">
        <v>0</v>
      </c>
      <c r="AB213" s="208">
        <v>0</v>
      </c>
      <c r="AC213" s="208">
        <v>247109</v>
      </c>
      <c r="AD213" s="209">
        <v>26.568003440490269</v>
      </c>
    </row>
    <row r="214" spans="1:30" ht="13.5" thickBot="1" x14ac:dyDescent="0.25">
      <c r="A214" s="48" t="s">
        <v>722</v>
      </c>
      <c r="B214" s="47" t="s">
        <v>721</v>
      </c>
      <c r="C214" s="48" t="s">
        <v>25</v>
      </c>
      <c r="D214" s="48" t="s">
        <v>2890</v>
      </c>
      <c r="E214" s="129" t="s">
        <v>20</v>
      </c>
      <c r="F214" s="129" t="s">
        <v>21</v>
      </c>
      <c r="G214" s="108">
        <v>7851</v>
      </c>
      <c r="H214" s="87" t="s">
        <v>1648</v>
      </c>
      <c r="I214" s="205">
        <v>1763</v>
      </c>
      <c r="J214" s="207">
        <v>7851</v>
      </c>
      <c r="K214" s="208">
        <v>44937</v>
      </c>
      <c r="L214" s="208">
        <v>100080</v>
      </c>
      <c r="M214" s="208">
        <v>0</v>
      </c>
      <c r="N214" s="208">
        <v>0</v>
      </c>
      <c r="O214" s="208">
        <v>145017</v>
      </c>
      <c r="P214" s="208">
        <v>4489</v>
      </c>
      <c r="Q214" s="210">
        <v>0</v>
      </c>
      <c r="R214" s="203">
        <v>0</v>
      </c>
      <c r="S214" s="203">
        <v>0</v>
      </c>
      <c r="T214" s="203">
        <v>0</v>
      </c>
      <c r="U214" s="203">
        <v>0</v>
      </c>
      <c r="V214" s="203">
        <v>0</v>
      </c>
      <c r="W214" s="203">
        <v>0</v>
      </c>
      <c r="X214" s="208">
        <v>145017</v>
      </c>
      <c r="Y214" s="208">
        <v>4489</v>
      </c>
      <c r="Z214" s="208">
        <v>149506</v>
      </c>
      <c r="AA214" s="208">
        <v>6292</v>
      </c>
      <c r="AB214" s="208">
        <v>5345</v>
      </c>
      <c r="AC214" s="208">
        <v>161143</v>
      </c>
      <c r="AD214" s="209">
        <v>20.525156031078843</v>
      </c>
    </row>
    <row r="215" spans="1:30" ht="13.5" thickBot="1" x14ac:dyDescent="0.25">
      <c r="A215" s="48" t="s">
        <v>724</v>
      </c>
      <c r="B215" s="47" t="s">
        <v>723</v>
      </c>
      <c r="C215" s="48" t="s">
        <v>25</v>
      </c>
      <c r="D215" s="48" t="s">
        <v>2148</v>
      </c>
      <c r="E215" s="129" t="s">
        <v>20</v>
      </c>
      <c r="F215" s="129" t="s">
        <v>21</v>
      </c>
      <c r="G215" s="108">
        <v>10250</v>
      </c>
      <c r="H215" s="87" t="s">
        <v>1649</v>
      </c>
      <c r="I215" s="205">
        <v>0</v>
      </c>
      <c r="J215" s="207">
        <v>9845</v>
      </c>
      <c r="K215" s="208">
        <v>51872</v>
      </c>
      <c r="L215" s="208">
        <v>255679</v>
      </c>
      <c r="M215" s="208">
        <v>17636</v>
      </c>
      <c r="N215" s="208">
        <v>20244</v>
      </c>
      <c r="O215" s="208">
        <v>345431</v>
      </c>
      <c r="P215" s="208">
        <v>17946</v>
      </c>
      <c r="Q215" s="207">
        <v>405</v>
      </c>
      <c r="R215" s="208">
        <v>2056</v>
      </c>
      <c r="S215" s="208">
        <v>10142</v>
      </c>
      <c r="T215" s="203">
        <v>0</v>
      </c>
      <c r="U215" s="203">
        <v>0</v>
      </c>
      <c r="V215" s="208">
        <v>12198</v>
      </c>
      <c r="W215" s="208">
        <v>712</v>
      </c>
      <c r="X215" s="208">
        <v>357629</v>
      </c>
      <c r="Y215" s="208">
        <v>18658</v>
      </c>
      <c r="Z215" s="208">
        <v>376287</v>
      </c>
      <c r="AA215" s="208">
        <v>3226</v>
      </c>
      <c r="AB215" s="208">
        <v>680</v>
      </c>
      <c r="AC215" s="208">
        <v>380193</v>
      </c>
      <c r="AD215" s="209">
        <v>37.091999999999999</v>
      </c>
    </row>
    <row r="216" spans="1:30" ht="13.5" thickBot="1" x14ac:dyDescent="0.25">
      <c r="A216" s="48" t="s">
        <v>734</v>
      </c>
      <c r="B216" s="47" t="s">
        <v>733</v>
      </c>
      <c r="C216" s="48" t="s">
        <v>25</v>
      </c>
      <c r="D216" s="48" t="s">
        <v>1984</v>
      </c>
      <c r="E216" s="129" t="s">
        <v>20</v>
      </c>
      <c r="F216" s="129" t="s">
        <v>21</v>
      </c>
      <c r="G216" s="108">
        <v>10662</v>
      </c>
      <c r="H216" s="87" t="s">
        <v>1649</v>
      </c>
      <c r="I216" s="205">
        <v>0</v>
      </c>
      <c r="J216" s="207">
        <v>7482</v>
      </c>
      <c r="K216" s="208">
        <v>61652</v>
      </c>
      <c r="L216" s="208">
        <v>151853</v>
      </c>
      <c r="M216" s="208">
        <v>0</v>
      </c>
      <c r="N216" s="208">
        <v>3122</v>
      </c>
      <c r="O216" s="208">
        <v>216627</v>
      </c>
      <c r="P216" s="208">
        <v>17560</v>
      </c>
      <c r="Q216" s="207">
        <v>3180</v>
      </c>
      <c r="R216" s="208">
        <v>21546</v>
      </c>
      <c r="S216" s="208">
        <v>50136</v>
      </c>
      <c r="T216" s="208">
        <v>0</v>
      </c>
      <c r="U216" s="208">
        <v>0</v>
      </c>
      <c r="V216" s="208">
        <v>71682</v>
      </c>
      <c r="W216" s="208">
        <v>0</v>
      </c>
      <c r="X216" s="208">
        <v>288309</v>
      </c>
      <c r="Y216" s="208">
        <v>17560</v>
      </c>
      <c r="Z216" s="208">
        <v>305869</v>
      </c>
      <c r="AA216" s="208">
        <v>8546</v>
      </c>
      <c r="AB216" s="208">
        <v>0</v>
      </c>
      <c r="AC216" s="208">
        <v>314415</v>
      </c>
      <c r="AD216" s="209">
        <v>29.489307822172201</v>
      </c>
    </row>
    <row r="217" spans="1:30" ht="13.5" thickBot="1" x14ac:dyDescent="0.25">
      <c r="A217" s="48" t="s">
        <v>738</v>
      </c>
      <c r="B217" s="47" t="s">
        <v>737</v>
      </c>
      <c r="C217" s="48" t="s">
        <v>25</v>
      </c>
      <c r="D217" s="48" t="s">
        <v>2101</v>
      </c>
      <c r="E217" s="129" t="s">
        <v>61</v>
      </c>
      <c r="F217" s="129" t="s">
        <v>62</v>
      </c>
      <c r="G217" s="108">
        <v>11985</v>
      </c>
      <c r="H217" s="87" t="s">
        <v>1649</v>
      </c>
      <c r="I217" s="205">
        <v>0</v>
      </c>
      <c r="J217" s="207">
        <v>11985</v>
      </c>
      <c r="K217" s="208">
        <v>29359</v>
      </c>
      <c r="L217" s="208">
        <v>161529</v>
      </c>
      <c r="M217" s="208">
        <v>0</v>
      </c>
      <c r="N217" s="208">
        <v>28084</v>
      </c>
      <c r="O217" s="208">
        <v>218972</v>
      </c>
      <c r="P217" s="208">
        <v>29987</v>
      </c>
      <c r="Q217" s="210">
        <v>0</v>
      </c>
      <c r="R217" s="203">
        <v>0</v>
      </c>
      <c r="S217" s="203">
        <v>0</v>
      </c>
      <c r="T217" s="203">
        <v>0</v>
      </c>
      <c r="U217" s="203">
        <v>0</v>
      </c>
      <c r="V217" s="203">
        <v>0</v>
      </c>
      <c r="W217" s="203">
        <v>0</v>
      </c>
      <c r="X217" s="208">
        <v>218972</v>
      </c>
      <c r="Y217" s="208">
        <v>29987</v>
      </c>
      <c r="Z217" s="208">
        <v>248959</v>
      </c>
      <c r="AA217" s="208">
        <v>9606</v>
      </c>
      <c r="AB217" s="208">
        <v>0</v>
      </c>
      <c r="AC217" s="208">
        <v>258565</v>
      </c>
      <c r="AD217" s="209">
        <v>21.574050896954528</v>
      </c>
    </row>
    <row r="218" spans="1:30" ht="13.5" thickBot="1" x14ac:dyDescent="0.25">
      <c r="A218" s="48" t="s">
        <v>740</v>
      </c>
      <c r="B218" s="47" t="s">
        <v>739</v>
      </c>
      <c r="C218" s="48" t="s">
        <v>25</v>
      </c>
      <c r="D218" s="48" t="s">
        <v>1984</v>
      </c>
      <c r="E218" s="129" t="s">
        <v>20</v>
      </c>
      <c r="F218" s="129" t="s">
        <v>21</v>
      </c>
      <c r="G218" s="108">
        <v>8147</v>
      </c>
      <c r="H218" s="87" t="s">
        <v>1649</v>
      </c>
      <c r="I218" s="205">
        <v>0</v>
      </c>
      <c r="J218" s="207">
        <v>2910</v>
      </c>
      <c r="K218" s="208">
        <v>21407</v>
      </c>
      <c r="L218" s="208">
        <v>59019</v>
      </c>
      <c r="M218" s="208">
        <v>0</v>
      </c>
      <c r="N218" s="208">
        <v>0</v>
      </c>
      <c r="O218" s="208">
        <v>80426</v>
      </c>
      <c r="P218" s="208">
        <v>10748</v>
      </c>
      <c r="Q218" s="207">
        <v>5237</v>
      </c>
      <c r="R218" s="208">
        <v>38524</v>
      </c>
      <c r="S218" s="208">
        <v>106214</v>
      </c>
      <c r="T218" s="203">
        <v>0</v>
      </c>
      <c r="U218" s="203">
        <v>0</v>
      </c>
      <c r="V218" s="208">
        <v>144738</v>
      </c>
      <c r="W218" s="203">
        <v>0</v>
      </c>
      <c r="X218" s="208">
        <v>225164</v>
      </c>
      <c r="Y218" s="208">
        <v>10748</v>
      </c>
      <c r="Z218" s="208">
        <v>235912</v>
      </c>
      <c r="AA218" s="208">
        <v>6530</v>
      </c>
      <c r="AB218" s="208">
        <v>0</v>
      </c>
      <c r="AC218" s="208">
        <v>242442</v>
      </c>
      <c r="AD218" s="209">
        <v>29.758438689088006</v>
      </c>
    </row>
    <row r="219" spans="1:30" ht="13.5" thickBot="1" x14ac:dyDescent="0.25">
      <c r="A219" s="48" t="s">
        <v>748</v>
      </c>
      <c r="B219" s="47" t="s">
        <v>747</v>
      </c>
      <c r="C219" s="48" t="s">
        <v>25</v>
      </c>
      <c r="D219" s="48" t="s">
        <v>2148</v>
      </c>
      <c r="E219" s="129" t="s">
        <v>61</v>
      </c>
      <c r="F219" s="129" t="s">
        <v>62</v>
      </c>
      <c r="G219" s="108">
        <v>9714</v>
      </c>
      <c r="H219" s="87" t="s">
        <v>1648</v>
      </c>
      <c r="I219" s="204" t="s">
        <v>1660</v>
      </c>
      <c r="J219" s="207">
        <v>5310</v>
      </c>
      <c r="K219" s="208">
        <v>51985</v>
      </c>
      <c r="L219" s="208">
        <v>239569</v>
      </c>
      <c r="M219" s="208">
        <v>0</v>
      </c>
      <c r="N219" s="208">
        <v>3091</v>
      </c>
      <c r="O219" s="208">
        <v>294645</v>
      </c>
      <c r="P219" s="208">
        <v>24920</v>
      </c>
      <c r="Q219" s="207">
        <v>4404</v>
      </c>
      <c r="R219" s="203">
        <v>0</v>
      </c>
      <c r="S219" s="203">
        <v>0</v>
      </c>
      <c r="T219" s="203">
        <v>0</v>
      </c>
      <c r="U219" s="203">
        <v>0</v>
      </c>
      <c r="V219" s="203">
        <v>0</v>
      </c>
      <c r="W219" s="203">
        <v>0</v>
      </c>
      <c r="X219" s="208">
        <v>294645</v>
      </c>
      <c r="Y219" s="208">
        <v>24920</v>
      </c>
      <c r="Z219" s="208">
        <v>319565</v>
      </c>
      <c r="AA219" s="208">
        <v>7786</v>
      </c>
      <c r="AB219" s="208">
        <v>0</v>
      </c>
      <c r="AC219" s="208">
        <v>327351</v>
      </c>
      <c r="AD219" s="209">
        <v>33.69888820259419</v>
      </c>
    </row>
    <row r="220" spans="1:30" ht="13.5" thickBot="1" x14ac:dyDescent="0.25">
      <c r="A220" s="48" t="s">
        <v>776</v>
      </c>
      <c r="B220" s="47" t="s">
        <v>775</v>
      </c>
      <c r="C220" s="48" t="s">
        <v>25</v>
      </c>
      <c r="D220" s="48" t="s">
        <v>2034</v>
      </c>
      <c r="E220" s="129" t="s">
        <v>20</v>
      </c>
      <c r="F220" s="129" t="s">
        <v>21</v>
      </c>
      <c r="G220" s="108">
        <v>9514</v>
      </c>
      <c r="H220" s="87" t="s">
        <v>1648</v>
      </c>
      <c r="I220" s="205">
        <v>20000</v>
      </c>
      <c r="J220" s="207">
        <v>9514</v>
      </c>
      <c r="K220" s="208">
        <v>44803</v>
      </c>
      <c r="L220" s="208">
        <v>2667</v>
      </c>
      <c r="M220" s="203">
        <v>0</v>
      </c>
      <c r="N220" s="208">
        <v>7500</v>
      </c>
      <c r="O220" s="208">
        <v>54970</v>
      </c>
      <c r="P220" s="208">
        <v>11587</v>
      </c>
      <c r="Q220" s="210">
        <v>0</v>
      </c>
      <c r="R220" s="203">
        <v>0</v>
      </c>
      <c r="S220" s="203">
        <v>0</v>
      </c>
      <c r="T220" s="203">
        <v>0</v>
      </c>
      <c r="U220" s="203">
        <v>0</v>
      </c>
      <c r="V220" s="203">
        <v>0</v>
      </c>
      <c r="W220" s="203">
        <v>0</v>
      </c>
      <c r="X220" s="208">
        <v>54970</v>
      </c>
      <c r="Y220" s="208">
        <v>11587</v>
      </c>
      <c r="Z220" s="208">
        <v>66557</v>
      </c>
      <c r="AA220" s="208">
        <v>3776</v>
      </c>
      <c r="AB220" s="208">
        <v>0</v>
      </c>
      <c r="AC220" s="208">
        <v>70333</v>
      </c>
      <c r="AD220" s="209">
        <v>7.3925793567374392</v>
      </c>
    </row>
    <row r="221" spans="1:30" ht="13.5" thickBot="1" x14ac:dyDescent="0.25">
      <c r="A221" s="48" t="s">
        <v>790</v>
      </c>
      <c r="B221" s="47" t="s">
        <v>789</v>
      </c>
      <c r="C221" s="48" t="s">
        <v>25</v>
      </c>
      <c r="D221" s="48" t="s">
        <v>2674</v>
      </c>
      <c r="E221" s="129" t="s">
        <v>20</v>
      </c>
      <c r="F221" s="129" t="s">
        <v>21</v>
      </c>
      <c r="G221" s="108">
        <v>9138</v>
      </c>
      <c r="H221" s="87" t="s">
        <v>1649</v>
      </c>
      <c r="I221" s="205">
        <v>0</v>
      </c>
      <c r="J221" s="207">
        <v>9138</v>
      </c>
      <c r="K221" s="208">
        <v>170502</v>
      </c>
      <c r="L221" s="208">
        <v>96442</v>
      </c>
      <c r="M221" s="203">
        <v>0</v>
      </c>
      <c r="N221" s="208">
        <v>7378</v>
      </c>
      <c r="O221" s="208">
        <v>274322</v>
      </c>
      <c r="P221" s="208">
        <v>27688</v>
      </c>
      <c r="Q221" s="210">
        <v>0</v>
      </c>
      <c r="R221" s="203">
        <v>0</v>
      </c>
      <c r="S221" s="203">
        <v>0</v>
      </c>
      <c r="T221" s="203">
        <v>0</v>
      </c>
      <c r="U221" s="203">
        <v>0</v>
      </c>
      <c r="V221" s="203">
        <v>0</v>
      </c>
      <c r="W221" s="203">
        <v>0</v>
      </c>
      <c r="X221" s="208">
        <v>274322</v>
      </c>
      <c r="Y221" s="208">
        <v>27688</v>
      </c>
      <c r="Z221" s="208">
        <v>302010</v>
      </c>
      <c r="AA221" s="208">
        <v>7378</v>
      </c>
      <c r="AB221" s="208">
        <v>0</v>
      </c>
      <c r="AC221" s="208">
        <v>309388</v>
      </c>
      <c r="AD221" s="209">
        <v>33.857299190194794</v>
      </c>
    </row>
    <row r="222" spans="1:30" ht="13.5" thickBot="1" x14ac:dyDescent="0.25">
      <c r="A222" s="48" t="s">
        <v>792</v>
      </c>
      <c r="B222" s="47" t="s">
        <v>791</v>
      </c>
      <c r="C222" s="48" t="s">
        <v>25</v>
      </c>
      <c r="D222" s="48" t="s">
        <v>2241</v>
      </c>
      <c r="E222" s="129" t="s">
        <v>20</v>
      </c>
      <c r="F222" s="129" t="s">
        <v>21</v>
      </c>
      <c r="G222" s="108">
        <v>7370</v>
      </c>
      <c r="H222" s="87" t="s">
        <v>1649</v>
      </c>
      <c r="I222" s="205">
        <v>0</v>
      </c>
      <c r="J222" s="207">
        <v>7370</v>
      </c>
      <c r="K222" s="208">
        <v>21790</v>
      </c>
      <c r="L222" s="208">
        <v>374445</v>
      </c>
      <c r="M222" s="208">
        <v>5907</v>
      </c>
      <c r="N222" s="208">
        <v>0</v>
      </c>
      <c r="O222" s="208">
        <v>402142</v>
      </c>
      <c r="P222" s="208">
        <v>15036</v>
      </c>
      <c r="Q222" s="210">
        <v>0</v>
      </c>
      <c r="R222" s="203">
        <v>0</v>
      </c>
      <c r="S222" s="203">
        <v>0</v>
      </c>
      <c r="T222" s="203">
        <v>0</v>
      </c>
      <c r="U222" s="203">
        <v>0</v>
      </c>
      <c r="V222" s="203">
        <v>0</v>
      </c>
      <c r="W222" s="203">
        <v>0</v>
      </c>
      <c r="X222" s="208">
        <v>402142</v>
      </c>
      <c r="Y222" s="208">
        <v>15036</v>
      </c>
      <c r="Z222" s="208">
        <v>417178</v>
      </c>
      <c r="AA222" s="208">
        <v>5907</v>
      </c>
      <c r="AB222" s="208">
        <v>0</v>
      </c>
      <c r="AC222" s="208">
        <v>423085</v>
      </c>
      <c r="AD222" s="209">
        <v>57.40637720488467</v>
      </c>
    </row>
    <row r="223" spans="1:30" ht="13.5" thickBot="1" x14ac:dyDescent="0.25">
      <c r="A223" s="48" t="s">
        <v>796</v>
      </c>
      <c r="B223" s="47" t="s">
        <v>795</v>
      </c>
      <c r="C223" s="48" t="s">
        <v>25</v>
      </c>
      <c r="D223" s="48" t="s">
        <v>2237</v>
      </c>
      <c r="E223" s="129" t="s">
        <v>20</v>
      </c>
      <c r="F223" s="129" t="s">
        <v>21</v>
      </c>
      <c r="G223" s="108">
        <v>8533</v>
      </c>
      <c r="H223" s="87" t="s">
        <v>1649</v>
      </c>
      <c r="I223" s="205">
        <v>0</v>
      </c>
      <c r="J223" s="207">
        <v>7634</v>
      </c>
      <c r="K223" s="208">
        <v>29338</v>
      </c>
      <c r="L223" s="208">
        <v>250781</v>
      </c>
      <c r="M223" s="203">
        <v>0</v>
      </c>
      <c r="N223" s="208">
        <v>50715</v>
      </c>
      <c r="O223" s="208">
        <v>330834</v>
      </c>
      <c r="P223" s="203">
        <v>0</v>
      </c>
      <c r="Q223" s="207">
        <v>899</v>
      </c>
      <c r="R223" s="208">
        <v>3456</v>
      </c>
      <c r="S223" s="203">
        <v>0</v>
      </c>
      <c r="T223" s="203">
        <v>0</v>
      </c>
      <c r="U223" s="203">
        <v>0</v>
      </c>
      <c r="V223" s="208">
        <v>3456</v>
      </c>
      <c r="W223" s="203">
        <v>0</v>
      </c>
      <c r="X223" s="208">
        <v>334290</v>
      </c>
      <c r="Y223" s="203">
        <v>0</v>
      </c>
      <c r="Z223" s="208">
        <v>334290</v>
      </c>
      <c r="AA223" s="208">
        <v>6839</v>
      </c>
      <c r="AB223" s="208">
        <v>0</v>
      </c>
      <c r="AC223" s="208">
        <v>341129</v>
      </c>
      <c r="AD223" s="209">
        <v>39.977616313137233</v>
      </c>
    </row>
    <row r="224" spans="1:30" ht="13.5" thickBot="1" x14ac:dyDescent="0.25">
      <c r="A224" s="48" t="s">
        <v>798</v>
      </c>
      <c r="B224" s="47" t="s">
        <v>797</v>
      </c>
      <c r="C224" s="48" t="s">
        <v>25</v>
      </c>
      <c r="D224" s="48" t="s">
        <v>2367</v>
      </c>
      <c r="E224" s="129" t="s">
        <v>15</v>
      </c>
      <c r="F224" s="129" t="s">
        <v>16</v>
      </c>
      <c r="G224" s="108">
        <v>11811</v>
      </c>
      <c r="H224" s="87" t="s">
        <v>1649</v>
      </c>
      <c r="I224" s="205">
        <v>0</v>
      </c>
      <c r="J224" s="207">
        <v>11811</v>
      </c>
      <c r="K224" s="208">
        <v>23333</v>
      </c>
      <c r="L224" s="208">
        <v>314359</v>
      </c>
      <c r="M224" s="203">
        <v>0</v>
      </c>
      <c r="N224" s="208">
        <v>15120</v>
      </c>
      <c r="O224" s="208">
        <v>352812</v>
      </c>
      <c r="P224" s="208">
        <v>40243</v>
      </c>
      <c r="Q224" s="210">
        <v>0</v>
      </c>
      <c r="R224" s="203">
        <v>0</v>
      </c>
      <c r="S224" s="203">
        <v>0</v>
      </c>
      <c r="T224" s="203">
        <v>0</v>
      </c>
      <c r="U224" s="203">
        <v>0</v>
      </c>
      <c r="V224" s="203">
        <v>0</v>
      </c>
      <c r="W224" s="203">
        <v>0</v>
      </c>
      <c r="X224" s="208">
        <v>352812</v>
      </c>
      <c r="Y224" s="208">
        <v>40243</v>
      </c>
      <c r="Z224" s="208">
        <v>393055</v>
      </c>
      <c r="AA224" s="208">
        <v>9467</v>
      </c>
      <c r="AB224" s="208">
        <v>763</v>
      </c>
      <c r="AC224" s="208">
        <v>403285</v>
      </c>
      <c r="AD224" s="209">
        <v>34.144864956396582</v>
      </c>
    </row>
    <row r="225" spans="1:30" ht="13.5" thickBot="1" x14ac:dyDescent="0.25">
      <c r="A225" s="48" t="s">
        <v>804</v>
      </c>
      <c r="B225" s="47" t="s">
        <v>803</v>
      </c>
      <c r="C225" s="48" t="s">
        <v>25</v>
      </c>
      <c r="D225" s="48" t="s">
        <v>2148</v>
      </c>
      <c r="E225" s="129" t="s">
        <v>20</v>
      </c>
      <c r="F225" s="129" t="s">
        <v>21</v>
      </c>
      <c r="G225" s="108">
        <v>10014</v>
      </c>
      <c r="H225" s="87" t="s">
        <v>1648</v>
      </c>
      <c r="I225" s="205">
        <v>5856</v>
      </c>
      <c r="J225" s="207">
        <v>10014</v>
      </c>
      <c r="K225" s="208">
        <v>53571</v>
      </c>
      <c r="L225" s="208">
        <v>152910</v>
      </c>
      <c r="M225" s="203">
        <v>0</v>
      </c>
      <c r="N225" s="203">
        <v>0</v>
      </c>
      <c r="O225" s="208">
        <v>206481</v>
      </c>
      <c r="P225" s="208">
        <v>39881</v>
      </c>
      <c r="Q225" s="210">
        <v>0</v>
      </c>
      <c r="R225" s="208">
        <v>0</v>
      </c>
      <c r="S225" s="208">
        <v>0</v>
      </c>
      <c r="T225" s="208">
        <v>0</v>
      </c>
      <c r="U225" s="208">
        <v>0</v>
      </c>
      <c r="V225" s="208">
        <v>0</v>
      </c>
      <c r="W225" s="208">
        <v>0</v>
      </c>
      <c r="X225" s="208">
        <v>206481</v>
      </c>
      <c r="Y225" s="208">
        <v>39881</v>
      </c>
      <c r="Z225" s="208">
        <v>246362</v>
      </c>
      <c r="AA225" s="208">
        <v>8600</v>
      </c>
      <c r="AB225" s="208">
        <v>0</v>
      </c>
      <c r="AC225" s="208">
        <v>254962</v>
      </c>
      <c r="AD225" s="209">
        <v>25.460555222688235</v>
      </c>
    </row>
    <row r="226" spans="1:30" ht="13.5" thickBot="1" x14ac:dyDescent="0.25">
      <c r="A226" s="48" t="s">
        <v>19</v>
      </c>
      <c r="B226" s="47" t="s">
        <v>18</v>
      </c>
      <c r="C226" s="48" t="s">
        <v>22</v>
      </c>
      <c r="D226" s="48" t="s">
        <v>1947</v>
      </c>
      <c r="E226" s="129" t="s">
        <v>20</v>
      </c>
      <c r="F226" s="129" t="s">
        <v>21</v>
      </c>
      <c r="G226" s="108">
        <v>21133</v>
      </c>
      <c r="H226" s="87" t="s">
        <v>1649</v>
      </c>
      <c r="I226" s="205">
        <v>0</v>
      </c>
      <c r="J226" s="207">
        <v>21133</v>
      </c>
      <c r="K226" s="208">
        <v>47527</v>
      </c>
      <c r="L226" s="208">
        <v>907782</v>
      </c>
      <c r="M226" s="203">
        <v>0</v>
      </c>
      <c r="N226" s="203">
        <v>0</v>
      </c>
      <c r="O226" s="208">
        <v>955309</v>
      </c>
      <c r="P226" s="208">
        <v>21244</v>
      </c>
      <c r="Q226" s="210">
        <v>0</v>
      </c>
      <c r="R226" s="203">
        <v>0</v>
      </c>
      <c r="S226" s="203">
        <v>0</v>
      </c>
      <c r="T226" s="203">
        <v>0</v>
      </c>
      <c r="U226" s="203">
        <v>0</v>
      </c>
      <c r="V226" s="203">
        <v>0</v>
      </c>
      <c r="W226" s="203">
        <v>0</v>
      </c>
      <c r="X226" s="208">
        <v>955309</v>
      </c>
      <c r="Y226" s="208">
        <v>21244</v>
      </c>
      <c r="Z226" s="208">
        <v>976553</v>
      </c>
      <c r="AA226" s="208">
        <v>16939</v>
      </c>
      <c r="AB226" s="208">
        <v>0</v>
      </c>
      <c r="AC226" s="208">
        <v>993492</v>
      </c>
      <c r="AD226" s="209">
        <v>47.011403965362227</v>
      </c>
    </row>
    <row r="227" spans="1:30" ht="13.5" thickBot="1" x14ac:dyDescent="0.25">
      <c r="A227" s="48" t="s">
        <v>36</v>
      </c>
      <c r="B227" s="47" t="s">
        <v>35</v>
      </c>
      <c r="C227" s="48" t="s">
        <v>22</v>
      </c>
      <c r="D227" s="48" t="s">
        <v>1973</v>
      </c>
      <c r="E227" s="129" t="s">
        <v>20</v>
      </c>
      <c r="F227" s="129" t="s">
        <v>21</v>
      </c>
      <c r="G227" s="108">
        <v>17401</v>
      </c>
      <c r="H227" s="87" t="s">
        <v>1649</v>
      </c>
      <c r="I227" s="205">
        <v>0</v>
      </c>
      <c r="J227" s="207">
        <v>16743</v>
      </c>
      <c r="K227" s="208">
        <v>89006</v>
      </c>
      <c r="L227" s="208">
        <v>982605</v>
      </c>
      <c r="M227" s="208">
        <v>0</v>
      </c>
      <c r="N227" s="203">
        <v>0</v>
      </c>
      <c r="O227" s="208">
        <v>1071611</v>
      </c>
      <c r="P227" s="208">
        <v>54352</v>
      </c>
      <c r="Q227" s="207">
        <v>658</v>
      </c>
      <c r="R227" s="208">
        <v>3498</v>
      </c>
      <c r="S227" s="203">
        <v>0</v>
      </c>
      <c r="T227" s="203">
        <v>0</v>
      </c>
      <c r="U227" s="203">
        <v>0</v>
      </c>
      <c r="V227" s="208">
        <v>3498</v>
      </c>
      <c r="W227" s="203">
        <v>0</v>
      </c>
      <c r="X227" s="208">
        <v>1075109</v>
      </c>
      <c r="Y227" s="208">
        <v>54352</v>
      </c>
      <c r="Z227" s="208">
        <v>1129461</v>
      </c>
      <c r="AA227" s="208">
        <v>13947</v>
      </c>
      <c r="AB227" s="208">
        <v>4332</v>
      </c>
      <c r="AC227" s="208">
        <v>1147740</v>
      </c>
      <c r="AD227" s="209">
        <v>65.958278259870127</v>
      </c>
    </row>
    <row r="228" spans="1:30" ht="13.5" thickBot="1" x14ac:dyDescent="0.25">
      <c r="A228" s="48" t="s">
        <v>64</v>
      </c>
      <c r="B228" s="47" t="s">
        <v>63</v>
      </c>
      <c r="C228" s="48" t="s">
        <v>22</v>
      </c>
      <c r="D228" s="48" t="s">
        <v>1940</v>
      </c>
      <c r="E228" s="129" t="s">
        <v>15</v>
      </c>
      <c r="F228" s="129" t="s">
        <v>16</v>
      </c>
      <c r="G228" s="108">
        <v>21412</v>
      </c>
      <c r="H228" s="87" t="s">
        <v>1649</v>
      </c>
      <c r="I228" s="205">
        <v>0</v>
      </c>
      <c r="J228" s="207">
        <v>21412</v>
      </c>
      <c r="K228" s="208">
        <v>45735</v>
      </c>
      <c r="L228" s="208">
        <v>1084626</v>
      </c>
      <c r="M228" s="208">
        <v>204339</v>
      </c>
      <c r="N228" s="208">
        <v>22015</v>
      </c>
      <c r="O228" s="208">
        <v>1356715</v>
      </c>
      <c r="P228" s="208">
        <v>34988</v>
      </c>
      <c r="Q228" s="210">
        <v>0</v>
      </c>
      <c r="R228" s="203">
        <v>0</v>
      </c>
      <c r="S228" s="203">
        <v>0</v>
      </c>
      <c r="T228" s="203">
        <v>0</v>
      </c>
      <c r="U228" s="203">
        <v>0</v>
      </c>
      <c r="V228" s="203">
        <v>0</v>
      </c>
      <c r="W228" s="203">
        <v>0</v>
      </c>
      <c r="X228" s="208">
        <v>1356715</v>
      </c>
      <c r="Y228" s="208">
        <v>34988</v>
      </c>
      <c r="Z228" s="208">
        <v>1391703</v>
      </c>
      <c r="AA228" s="208">
        <v>17162</v>
      </c>
      <c r="AB228" s="208">
        <v>0</v>
      </c>
      <c r="AC228" s="208">
        <v>1408865</v>
      </c>
      <c r="AD228" s="209">
        <v>65.79791705585653</v>
      </c>
    </row>
    <row r="229" spans="1:30" ht="13.5" thickBot="1" x14ac:dyDescent="0.25">
      <c r="A229" s="48" t="s">
        <v>68</v>
      </c>
      <c r="B229" s="47" t="s">
        <v>67</v>
      </c>
      <c r="C229" s="48" t="s">
        <v>22</v>
      </c>
      <c r="D229" s="48" t="s">
        <v>1979</v>
      </c>
      <c r="E229" s="129" t="s">
        <v>20</v>
      </c>
      <c r="F229" s="129" t="s">
        <v>21</v>
      </c>
      <c r="G229" s="108">
        <v>25883</v>
      </c>
      <c r="H229" s="87" t="s">
        <v>1649</v>
      </c>
      <c r="I229" s="205">
        <v>0</v>
      </c>
      <c r="J229" s="207">
        <v>25883</v>
      </c>
      <c r="K229" s="208">
        <v>16050</v>
      </c>
      <c r="L229" s="208">
        <v>910346</v>
      </c>
      <c r="M229" s="203">
        <v>0</v>
      </c>
      <c r="N229" s="203">
        <v>0</v>
      </c>
      <c r="O229" s="208">
        <v>926396</v>
      </c>
      <c r="P229" s="208">
        <v>44815</v>
      </c>
      <c r="Q229" s="210">
        <v>0</v>
      </c>
      <c r="R229" s="203">
        <v>0</v>
      </c>
      <c r="S229" s="203">
        <v>0</v>
      </c>
      <c r="T229" s="203">
        <v>0</v>
      </c>
      <c r="U229" s="203">
        <v>0</v>
      </c>
      <c r="V229" s="203">
        <v>0</v>
      </c>
      <c r="W229" s="203">
        <v>0</v>
      </c>
      <c r="X229" s="208">
        <v>926396</v>
      </c>
      <c r="Y229" s="208">
        <v>44815</v>
      </c>
      <c r="Z229" s="208">
        <v>971211</v>
      </c>
      <c r="AA229" s="208">
        <v>20721</v>
      </c>
      <c r="AB229" s="208">
        <v>0</v>
      </c>
      <c r="AC229" s="208">
        <v>991932</v>
      </c>
      <c r="AD229" s="209">
        <v>38.323687362361397</v>
      </c>
    </row>
    <row r="230" spans="1:30" ht="13.5" thickBot="1" x14ac:dyDescent="0.25">
      <c r="A230" s="48" t="s">
        <v>88</v>
      </c>
      <c r="B230" s="47" t="s">
        <v>87</v>
      </c>
      <c r="C230" s="48" t="s">
        <v>22</v>
      </c>
      <c r="D230" s="48" t="s">
        <v>2057</v>
      </c>
      <c r="E230" s="129" t="s">
        <v>20</v>
      </c>
      <c r="F230" s="129" t="s">
        <v>21</v>
      </c>
      <c r="G230" s="108">
        <v>24787</v>
      </c>
      <c r="H230" s="87" t="s">
        <v>1648</v>
      </c>
      <c r="I230" s="204" t="s">
        <v>1660</v>
      </c>
      <c r="J230" s="207">
        <v>10038</v>
      </c>
      <c r="K230" s="208">
        <v>73722</v>
      </c>
      <c r="L230" s="208">
        <v>287413</v>
      </c>
      <c r="M230" s="208">
        <v>12290</v>
      </c>
      <c r="N230" s="203">
        <v>0</v>
      </c>
      <c r="O230" s="208">
        <v>373425</v>
      </c>
      <c r="P230" s="208">
        <v>59455</v>
      </c>
      <c r="Q230" s="207">
        <v>14749</v>
      </c>
      <c r="R230" s="208">
        <v>108308</v>
      </c>
      <c r="S230" s="203">
        <v>0</v>
      </c>
      <c r="T230" s="203">
        <v>0</v>
      </c>
      <c r="U230" s="203">
        <v>0</v>
      </c>
      <c r="V230" s="208">
        <v>108308</v>
      </c>
      <c r="W230" s="208">
        <v>25000</v>
      </c>
      <c r="X230" s="208">
        <v>481733</v>
      </c>
      <c r="Y230" s="208">
        <v>84455</v>
      </c>
      <c r="Z230" s="208">
        <v>566188</v>
      </c>
      <c r="AA230" s="208">
        <v>20358</v>
      </c>
      <c r="AB230" s="208">
        <v>1941</v>
      </c>
      <c r="AC230" s="208">
        <v>588487</v>
      </c>
      <c r="AD230" s="209">
        <v>23.74175979344011</v>
      </c>
    </row>
    <row r="231" spans="1:30" ht="13.5" thickBot="1" x14ac:dyDescent="0.25">
      <c r="A231" s="48" t="s">
        <v>94</v>
      </c>
      <c r="B231" s="47" t="s">
        <v>93</v>
      </c>
      <c r="C231" s="48" t="s">
        <v>22</v>
      </c>
      <c r="D231" s="48" t="s">
        <v>1940</v>
      </c>
      <c r="E231" s="129" t="s">
        <v>20</v>
      </c>
      <c r="F231" s="129" t="s">
        <v>21</v>
      </c>
      <c r="G231" s="108">
        <v>14970</v>
      </c>
      <c r="H231" s="87" t="s">
        <v>1649</v>
      </c>
      <c r="I231" s="205">
        <v>0</v>
      </c>
      <c r="J231" s="207">
        <v>14970</v>
      </c>
      <c r="K231" s="208">
        <v>31975</v>
      </c>
      <c r="L231" s="208">
        <v>0</v>
      </c>
      <c r="M231" s="208">
        <v>571236</v>
      </c>
      <c r="N231" s="208">
        <v>0</v>
      </c>
      <c r="O231" s="208">
        <v>603211</v>
      </c>
      <c r="P231" s="208">
        <v>46445</v>
      </c>
      <c r="Q231" s="210">
        <v>0</v>
      </c>
      <c r="R231" s="208">
        <v>0</v>
      </c>
      <c r="S231" s="208">
        <v>0</v>
      </c>
      <c r="T231" s="208">
        <v>0</v>
      </c>
      <c r="U231" s="208">
        <v>0</v>
      </c>
      <c r="V231" s="208">
        <v>0</v>
      </c>
      <c r="W231" s="208">
        <v>0</v>
      </c>
      <c r="X231" s="208">
        <v>603211</v>
      </c>
      <c r="Y231" s="208">
        <v>46445</v>
      </c>
      <c r="Z231" s="208">
        <v>649656</v>
      </c>
      <c r="AA231" s="208">
        <v>6057</v>
      </c>
      <c r="AB231" s="208">
        <v>1886</v>
      </c>
      <c r="AC231" s="208">
        <v>657599</v>
      </c>
      <c r="AD231" s="209">
        <v>43.927788911155645</v>
      </c>
    </row>
    <row r="232" spans="1:30" ht="13.5" thickBot="1" x14ac:dyDescent="0.25">
      <c r="A232" s="48" t="s">
        <v>104</v>
      </c>
      <c r="B232" s="47" t="s">
        <v>103</v>
      </c>
      <c r="C232" s="48" t="s">
        <v>22</v>
      </c>
      <c r="D232" s="48" t="s">
        <v>2034</v>
      </c>
      <c r="E232" s="129" t="s">
        <v>20</v>
      </c>
      <c r="F232" s="129" t="s">
        <v>21</v>
      </c>
      <c r="G232" s="108">
        <v>20025</v>
      </c>
      <c r="H232" s="87" t="s">
        <v>1649</v>
      </c>
      <c r="I232" s="205">
        <v>0</v>
      </c>
      <c r="J232" s="207">
        <v>10601</v>
      </c>
      <c r="K232" s="208">
        <v>57388</v>
      </c>
      <c r="L232" s="203">
        <v>0</v>
      </c>
      <c r="M232" s="208">
        <v>153927</v>
      </c>
      <c r="N232" s="208">
        <v>176300</v>
      </c>
      <c r="O232" s="208">
        <v>387615</v>
      </c>
      <c r="P232" s="208">
        <v>29524</v>
      </c>
      <c r="Q232" s="207">
        <v>9424</v>
      </c>
      <c r="R232" s="208">
        <v>24218</v>
      </c>
      <c r="S232" s="208">
        <v>30670</v>
      </c>
      <c r="T232" s="203">
        <v>0</v>
      </c>
      <c r="U232" s="203">
        <v>0</v>
      </c>
      <c r="V232" s="208">
        <v>54888</v>
      </c>
      <c r="W232" s="203">
        <v>0</v>
      </c>
      <c r="X232" s="208">
        <v>442503</v>
      </c>
      <c r="Y232" s="208">
        <v>29524</v>
      </c>
      <c r="Z232" s="208">
        <v>472027</v>
      </c>
      <c r="AA232" s="208">
        <v>16186</v>
      </c>
      <c r="AB232" s="208">
        <v>0</v>
      </c>
      <c r="AC232" s="208">
        <v>488213</v>
      </c>
      <c r="AD232" s="209">
        <v>24.380174781523095</v>
      </c>
    </row>
    <row r="233" spans="1:30" ht="13.5" thickBot="1" x14ac:dyDescent="0.25">
      <c r="A233" s="48" t="s">
        <v>116</v>
      </c>
      <c r="B233" s="47" t="s">
        <v>115</v>
      </c>
      <c r="C233" s="48" t="s">
        <v>22</v>
      </c>
      <c r="D233" s="48" t="s">
        <v>1940</v>
      </c>
      <c r="E233" s="129" t="s">
        <v>15</v>
      </c>
      <c r="F233" s="129" t="s">
        <v>16</v>
      </c>
      <c r="G233" s="108">
        <v>15175</v>
      </c>
      <c r="H233" s="87" t="s">
        <v>1649</v>
      </c>
      <c r="I233" s="205">
        <v>0</v>
      </c>
      <c r="J233" s="207">
        <v>15175</v>
      </c>
      <c r="K233" s="208">
        <v>32412</v>
      </c>
      <c r="L233" s="208">
        <v>1078176</v>
      </c>
      <c r="M233" s="203">
        <v>0</v>
      </c>
      <c r="N233" s="203">
        <v>0</v>
      </c>
      <c r="O233" s="208">
        <v>1110588</v>
      </c>
      <c r="P233" s="208">
        <v>71318</v>
      </c>
      <c r="Q233" s="210">
        <v>0</v>
      </c>
      <c r="R233" s="203">
        <v>0</v>
      </c>
      <c r="S233" s="203">
        <v>0</v>
      </c>
      <c r="T233" s="203">
        <v>0</v>
      </c>
      <c r="U233" s="203">
        <v>0</v>
      </c>
      <c r="V233" s="203">
        <v>0</v>
      </c>
      <c r="W233" s="203">
        <v>0</v>
      </c>
      <c r="X233" s="208">
        <v>1110588</v>
      </c>
      <c r="Y233" s="208">
        <v>71318</v>
      </c>
      <c r="Z233" s="208">
        <v>1181906</v>
      </c>
      <c r="AA233" s="208">
        <v>12163</v>
      </c>
      <c r="AB233" s="208">
        <v>0</v>
      </c>
      <c r="AC233" s="208">
        <v>1194069</v>
      </c>
      <c r="AD233" s="209">
        <v>78.686589785831956</v>
      </c>
    </row>
    <row r="234" spans="1:30" ht="13.5" thickBot="1" x14ac:dyDescent="0.25">
      <c r="A234" s="48" t="s">
        <v>118</v>
      </c>
      <c r="B234" s="47" t="s">
        <v>117</v>
      </c>
      <c r="C234" s="48" t="s">
        <v>22</v>
      </c>
      <c r="D234" s="48" t="s">
        <v>2101</v>
      </c>
      <c r="E234" s="129" t="s">
        <v>15</v>
      </c>
      <c r="F234" s="129" t="s">
        <v>16</v>
      </c>
      <c r="G234" s="108">
        <v>12667</v>
      </c>
      <c r="H234" s="87" t="s">
        <v>1649</v>
      </c>
      <c r="I234" s="205">
        <v>0</v>
      </c>
      <c r="J234" s="207">
        <v>10514</v>
      </c>
      <c r="K234" s="208">
        <v>24857</v>
      </c>
      <c r="L234" s="208">
        <v>303499</v>
      </c>
      <c r="M234" s="203">
        <v>0</v>
      </c>
      <c r="N234" s="203">
        <v>0</v>
      </c>
      <c r="O234" s="208">
        <v>328356</v>
      </c>
      <c r="P234" s="208">
        <v>33269</v>
      </c>
      <c r="Q234" s="207">
        <v>2153</v>
      </c>
      <c r="R234" s="208">
        <v>6173</v>
      </c>
      <c r="S234" s="203">
        <v>0</v>
      </c>
      <c r="T234" s="203">
        <v>0</v>
      </c>
      <c r="U234" s="203">
        <v>0</v>
      </c>
      <c r="V234" s="208">
        <v>6173</v>
      </c>
      <c r="W234" s="203">
        <v>0</v>
      </c>
      <c r="X234" s="208">
        <v>334529</v>
      </c>
      <c r="Y234" s="208">
        <v>33269</v>
      </c>
      <c r="Z234" s="208">
        <v>367798</v>
      </c>
      <c r="AA234" s="208">
        <v>10780</v>
      </c>
      <c r="AB234" s="208">
        <v>0</v>
      </c>
      <c r="AC234" s="208">
        <v>378578</v>
      </c>
      <c r="AD234" s="209">
        <v>29.886950343412014</v>
      </c>
    </row>
    <row r="235" spans="1:30" ht="13.5" thickBot="1" x14ac:dyDescent="0.25">
      <c r="A235" s="48" t="s">
        <v>122</v>
      </c>
      <c r="B235" s="47" t="s">
        <v>121</v>
      </c>
      <c r="C235" s="48" t="s">
        <v>22</v>
      </c>
      <c r="D235" s="48" t="s">
        <v>2037</v>
      </c>
      <c r="E235" s="129" t="s">
        <v>20</v>
      </c>
      <c r="F235" s="129" t="s">
        <v>21</v>
      </c>
      <c r="G235" s="108">
        <v>19336</v>
      </c>
      <c r="H235" s="87" t="s">
        <v>1648</v>
      </c>
      <c r="I235" s="205">
        <v>17835</v>
      </c>
      <c r="J235" s="207">
        <v>19336</v>
      </c>
      <c r="K235" s="208">
        <v>79072</v>
      </c>
      <c r="L235" s="208">
        <v>494141</v>
      </c>
      <c r="M235" s="203">
        <v>0</v>
      </c>
      <c r="N235" s="208">
        <v>354</v>
      </c>
      <c r="O235" s="208">
        <v>573567</v>
      </c>
      <c r="P235" s="208">
        <v>22347</v>
      </c>
      <c r="Q235" s="210">
        <v>0</v>
      </c>
      <c r="R235" s="203">
        <v>0</v>
      </c>
      <c r="S235" s="203">
        <v>0</v>
      </c>
      <c r="T235" s="203">
        <v>0</v>
      </c>
      <c r="U235" s="203">
        <v>0</v>
      </c>
      <c r="V235" s="203">
        <v>0</v>
      </c>
      <c r="W235" s="203">
        <v>0</v>
      </c>
      <c r="X235" s="208">
        <v>573567</v>
      </c>
      <c r="Y235" s="208">
        <v>22347</v>
      </c>
      <c r="Z235" s="208">
        <v>595914</v>
      </c>
      <c r="AA235" s="208">
        <v>15480</v>
      </c>
      <c r="AB235" s="208">
        <v>0</v>
      </c>
      <c r="AC235" s="208">
        <v>611394</v>
      </c>
      <c r="AD235" s="209">
        <v>31.619466280513034</v>
      </c>
    </row>
    <row r="236" spans="1:30" ht="13.5" thickBot="1" x14ac:dyDescent="0.25">
      <c r="A236" s="48" t="s">
        <v>158</v>
      </c>
      <c r="B236" s="47" t="s">
        <v>157</v>
      </c>
      <c r="C236" s="48" t="s">
        <v>22</v>
      </c>
      <c r="D236" s="48" t="s">
        <v>1973</v>
      </c>
      <c r="E236" s="129" t="s">
        <v>20</v>
      </c>
      <c r="F236" s="129" t="s">
        <v>21</v>
      </c>
      <c r="G236" s="108">
        <v>15068</v>
      </c>
      <c r="H236" s="87" t="s">
        <v>1649</v>
      </c>
      <c r="I236" s="205">
        <v>0</v>
      </c>
      <c r="J236" s="207">
        <v>15068</v>
      </c>
      <c r="K236" s="208">
        <v>57447</v>
      </c>
      <c r="L236" s="208">
        <v>738704</v>
      </c>
      <c r="M236" s="208">
        <v>5000</v>
      </c>
      <c r="N236" s="203">
        <v>0</v>
      </c>
      <c r="O236" s="208">
        <v>801151</v>
      </c>
      <c r="P236" s="208">
        <v>11018</v>
      </c>
      <c r="Q236" s="210">
        <v>0</v>
      </c>
      <c r="R236" s="208">
        <v>0</v>
      </c>
      <c r="S236" s="203">
        <v>0</v>
      </c>
      <c r="T236" s="203">
        <v>0</v>
      </c>
      <c r="U236" s="203">
        <v>0</v>
      </c>
      <c r="V236" s="208">
        <v>0</v>
      </c>
      <c r="W236" s="203">
        <v>0</v>
      </c>
      <c r="X236" s="208">
        <v>801151</v>
      </c>
      <c r="Y236" s="208">
        <v>11018</v>
      </c>
      <c r="Z236" s="208">
        <v>812169</v>
      </c>
      <c r="AA236" s="208">
        <v>19965</v>
      </c>
      <c r="AB236" s="208">
        <v>0</v>
      </c>
      <c r="AC236" s="208">
        <v>832134</v>
      </c>
      <c r="AD236" s="209">
        <v>55.225245553490844</v>
      </c>
    </row>
    <row r="237" spans="1:30" ht="13.5" thickBot="1" x14ac:dyDescent="0.25">
      <c r="A237" s="48" t="s">
        <v>162</v>
      </c>
      <c r="B237" s="47" t="s">
        <v>161</v>
      </c>
      <c r="C237" s="48" t="s">
        <v>22</v>
      </c>
      <c r="D237" s="48" t="s">
        <v>2055</v>
      </c>
      <c r="E237" s="129" t="s">
        <v>20</v>
      </c>
      <c r="F237" s="129" t="s">
        <v>21</v>
      </c>
      <c r="G237" s="108">
        <v>24370</v>
      </c>
      <c r="H237" s="87" t="s">
        <v>1648</v>
      </c>
      <c r="I237" s="205">
        <v>37988</v>
      </c>
      <c r="J237" s="207">
        <v>16002</v>
      </c>
      <c r="K237" s="208">
        <v>26327</v>
      </c>
      <c r="L237" s="208">
        <v>631739</v>
      </c>
      <c r="M237" s="203">
        <v>0</v>
      </c>
      <c r="N237" s="208">
        <v>7841</v>
      </c>
      <c r="O237" s="208">
        <v>665907</v>
      </c>
      <c r="P237" s="208">
        <v>32966</v>
      </c>
      <c r="Q237" s="207">
        <v>8368</v>
      </c>
      <c r="R237" s="208">
        <v>14102</v>
      </c>
      <c r="S237" s="203">
        <v>0</v>
      </c>
      <c r="T237" s="203">
        <v>0</v>
      </c>
      <c r="U237" s="208">
        <v>3108</v>
      </c>
      <c r="V237" s="208">
        <v>17210</v>
      </c>
      <c r="W237" s="208">
        <v>0</v>
      </c>
      <c r="X237" s="208">
        <v>683117</v>
      </c>
      <c r="Y237" s="208">
        <v>32966</v>
      </c>
      <c r="Z237" s="208">
        <v>716083</v>
      </c>
      <c r="AA237" s="208">
        <v>19042</v>
      </c>
      <c r="AB237" s="208">
        <v>0</v>
      </c>
      <c r="AC237" s="208">
        <v>735125</v>
      </c>
      <c r="AD237" s="209">
        <v>30.165162084530159</v>
      </c>
    </row>
    <row r="238" spans="1:30" ht="13.5" thickBot="1" x14ac:dyDescent="0.25">
      <c r="A238" s="48" t="s">
        <v>166</v>
      </c>
      <c r="B238" s="47" t="s">
        <v>165</v>
      </c>
      <c r="C238" s="48" t="s">
        <v>22</v>
      </c>
      <c r="D238" s="48" t="s">
        <v>2178</v>
      </c>
      <c r="E238" s="129" t="s">
        <v>20</v>
      </c>
      <c r="F238" s="129" t="s">
        <v>21</v>
      </c>
      <c r="G238" s="108">
        <v>13894</v>
      </c>
      <c r="H238" s="87" t="s">
        <v>1649</v>
      </c>
      <c r="I238" s="205">
        <v>0</v>
      </c>
      <c r="J238" s="207">
        <v>13894</v>
      </c>
      <c r="K238" s="208">
        <v>90034</v>
      </c>
      <c r="L238" s="208">
        <v>640959</v>
      </c>
      <c r="M238" s="203">
        <v>0</v>
      </c>
      <c r="N238" s="208">
        <v>2737</v>
      </c>
      <c r="O238" s="208">
        <v>733730</v>
      </c>
      <c r="P238" s="208">
        <v>168713</v>
      </c>
      <c r="Q238" s="210">
        <v>0</v>
      </c>
      <c r="R238" s="203">
        <v>0</v>
      </c>
      <c r="S238" s="203">
        <v>0</v>
      </c>
      <c r="T238" s="203">
        <v>0</v>
      </c>
      <c r="U238" s="203">
        <v>0</v>
      </c>
      <c r="V238" s="203">
        <v>0</v>
      </c>
      <c r="W238" s="203">
        <v>0</v>
      </c>
      <c r="X238" s="208">
        <v>733730</v>
      </c>
      <c r="Y238" s="208">
        <v>168713</v>
      </c>
      <c r="Z238" s="208">
        <v>902443</v>
      </c>
      <c r="AA238" s="208">
        <v>11136</v>
      </c>
      <c r="AB238" s="208">
        <v>0</v>
      </c>
      <c r="AC238" s="208">
        <v>913579</v>
      </c>
      <c r="AD238" s="209">
        <v>65.753490715416731</v>
      </c>
    </row>
    <row r="239" spans="1:30" ht="13.5" thickBot="1" x14ac:dyDescent="0.25">
      <c r="A239" s="48" t="s">
        <v>168</v>
      </c>
      <c r="B239" s="47" t="s">
        <v>167</v>
      </c>
      <c r="C239" s="48" t="s">
        <v>22</v>
      </c>
      <c r="D239" s="48" t="s">
        <v>2006</v>
      </c>
      <c r="E239" s="129" t="s">
        <v>15</v>
      </c>
      <c r="F239" s="129" t="s">
        <v>16</v>
      </c>
      <c r="G239" s="108">
        <v>15010</v>
      </c>
      <c r="H239" s="87" t="s">
        <v>1649</v>
      </c>
      <c r="I239" s="205">
        <v>0</v>
      </c>
      <c r="J239" s="207">
        <v>15010</v>
      </c>
      <c r="K239" s="208">
        <v>20151</v>
      </c>
      <c r="L239" s="208">
        <v>1728501</v>
      </c>
      <c r="M239" s="203">
        <v>0</v>
      </c>
      <c r="N239" s="203">
        <v>0</v>
      </c>
      <c r="O239" s="208">
        <v>1748652</v>
      </c>
      <c r="P239" s="208">
        <v>162776</v>
      </c>
      <c r="Q239" s="210">
        <v>0</v>
      </c>
      <c r="R239" s="203">
        <v>0</v>
      </c>
      <c r="S239" s="203">
        <v>0</v>
      </c>
      <c r="T239" s="203">
        <v>0</v>
      </c>
      <c r="U239" s="203">
        <v>0</v>
      </c>
      <c r="V239" s="203">
        <v>0</v>
      </c>
      <c r="W239" s="203">
        <v>0</v>
      </c>
      <c r="X239" s="208">
        <v>1748652</v>
      </c>
      <c r="Y239" s="208">
        <v>162776</v>
      </c>
      <c r="Z239" s="208">
        <v>1911428</v>
      </c>
      <c r="AA239" s="208">
        <v>41516</v>
      </c>
      <c r="AB239" s="208">
        <v>0</v>
      </c>
      <c r="AC239" s="208">
        <v>1952944</v>
      </c>
      <c r="AD239" s="209">
        <v>130.109526982012</v>
      </c>
    </row>
    <row r="240" spans="1:30" ht="13.5" thickBot="1" x14ac:dyDescent="0.25">
      <c r="A240" s="48" t="s">
        <v>182</v>
      </c>
      <c r="B240" s="47" t="s">
        <v>181</v>
      </c>
      <c r="C240" s="48" t="s">
        <v>22</v>
      </c>
      <c r="D240" s="48" t="s">
        <v>2057</v>
      </c>
      <c r="E240" s="129" t="s">
        <v>20</v>
      </c>
      <c r="F240" s="129" t="s">
        <v>21</v>
      </c>
      <c r="G240" s="108">
        <v>12982</v>
      </c>
      <c r="H240" s="87" t="s">
        <v>1648</v>
      </c>
      <c r="I240" s="205">
        <v>17489</v>
      </c>
      <c r="J240" s="207">
        <v>6503</v>
      </c>
      <c r="K240" s="208">
        <v>47758</v>
      </c>
      <c r="L240" s="208">
        <v>221279</v>
      </c>
      <c r="M240" s="208">
        <v>0</v>
      </c>
      <c r="N240" s="208">
        <v>0</v>
      </c>
      <c r="O240" s="208">
        <v>269037</v>
      </c>
      <c r="P240" s="208">
        <v>25030</v>
      </c>
      <c r="Q240" s="207">
        <v>6479</v>
      </c>
      <c r="R240" s="208">
        <v>47582</v>
      </c>
      <c r="S240" s="203">
        <v>0</v>
      </c>
      <c r="T240" s="203">
        <v>0</v>
      </c>
      <c r="U240" s="208">
        <v>9000</v>
      </c>
      <c r="V240" s="208">
        <v>56582</v>
      </c>
      <c r="W240" s="203">
        <v>0</v>
      </c>
      <c r="X240" s="208">
        <v>325619</v>
      </c>
      <c r="Y240" s="208">
        <v>25030</v>
      </c>
      <c r="Z240" s="208">
        <v>350649</v>
      </c>
      <c r="AA240" s="208">
        <v>10492</v>
      </c>
      <c r="AB240" s="208">
        <v>3730</v>
      </c>
      <c r="AC240" s="208">
        <v>364871</v>
      </c>
      <c r="AD240" s="209">
        <v>28.105915883531043</v>
      </c>
    </row>
    <row r="241" spans="1:30" ht="13.5" thickBot="1" x14ac:dyDescent="0.25">
      <c r="A241" s="48" t="s">
        <v>192</v>
      </c>
      <c r="B241" s="47" t="s">
        <v>191</v>
      </c>
      <c r="C241" s="48" t="s">
        <v>22</v>
      </c>
      <c r="D241" s="48" t="s">
        <v>2022</v>
      </c>
      <c r="E241" s="129" t="s">
        <v>15</v>
      </c>
      <c r="F241" s="129" t="s">
        <v>16</v>
      </c>
      <c r="G241" s="108">
        <v>14854</v>
      </c>
      <c r="H241" s="87" t="s">
        <v>1648</v>
      </c>
      <c r="I241" s="205">
        <v>2500</v>
      </c>
      <c r="J241" s="207">
        <v>14854</v>
      </c>
      <c r="K241" s="208">
        <v>19805</v>
      </c>
      <c r="L241" s="208">
        <v>794138</v>
      </c>
      <c r="M241" s="208">
        <v>0</v>
      </c>
      <c r="N241" s="208">
        <v>34678</v>
      </c>
      <c r="O241" s="208">
        <v>848621</v>
      </c>
      <c r="P241" s="208">
        <v>26269</v>
      </c>
      <c r="Q241" s="210">
        <v>0</v>
      </c>
      <c r="R241" s="208">
        <v>0</v>
      </c>
      <c r="S241" s="208">
        <v>0</v>
      </c>
      <c r="T241" s="208">
        <v>0</v>
      </c>
      <c r="U241" s="208">
        <v>0</v>
      </c>
      <c r="V241" s="208">
        <v>0</v>
      </c>
      <c r="W241" s="208">
        <v>0</v>
      </c>
      <c r="X241" s="208">
        <v>848621</v>
      </c>
      <c r="Y241" s="208">
        <v>26269</v>
      </c>
      <c r="Z241" s="208">
        <v>874890</v>
      </c>
      <c r="AA241" s="208">
        <v>11906</v>
      </c>
      <c r="AB241" s="208">
        <v>1000</v>
      </c>
      <c r="AC241" s="208">
        <v>887796</v>
      </c>
      <c r="AD241" s="209">
        <v>59.768143261074457</v>
      </c>
    </row>
    <row r="242" spans="1:30" ht="13.5" thickBot="1" x14ac:dyDescent="0.25">
      <c r="A242" s="48" t="s">
        <v>198</v>
      </c>
      <c r="B242" s="47" t="s">
        <v>197</v>
      </c>
      <c r="C242" s="48" t="s">
        <v>22</v>
      </c>
      <c r="D242" s="48" t="s">
        <v>2229</v>
      </c>
      <c r="E242" s="129" t="s">
        <v>101</v>
      </c>
      <c r="F242" s="129" t="s">
        <v>102</v>
      </c>
      <c r="G242" s="108">
        <v>14074</v>
      </c>
      <c r="H242" s="87" t="s">
        <v>1649</v>
      </c>
      <c r="I242" s="205">
        <v>0</v>
      </c>
      <c r="J242" s="207">
        <v>14074</v>
      </c>
      <c r="K242" s="208">
        <v>115942</v>
      </c>
      <c r="L242" s="208">
        <v>254216</v>
      </c>
      <c r="M242" s="208">
        <v>122018</v>
      </c>
      <c r="N242" s="208">
        <v>0</v>
      </c>
      <c r="O242" s="208">
        <v>492176</v>
      </c>
      <c r="P242" s="208">
        <v>0</v>
      </c>
      <c r="Q242" s="210">
        <v>0</v>
      </c>
      <c r="R242" s="203">
        <v>0</v>
      </c>
      <c r="S242" s="203">
        <v>0</v>
      </c>
      <c r="T242" s="203">
        <v>0</v>
      </c>
      <c r="U242" s="203">
        <v>0</v>
      </c>
      <c r="V242" s="203">
        <v>0</v>
      </c>
      <c r="W242" s="203">
        <v>0</v>
      </c>
      <c r="X242" s="208">
        <v>492176</v>
      </c>
      <c r="Y242" s="208">
        <v>0</v>
      </c>
      <c r="Z242" s="208">
        <v>492176</v>
      </c>
      <c r="AA242" s="208">
        <v>0</v>
      </c>
      <c r="AB242" s="208">
        <v>0</v>
      </c>
      <c r="AC242" s="208">
        <v>492176</v>
      </c>
      <c r="AD242" s="209">
        <v>34.970584055705558</v>
      </c>
    </row>
    <row r="243" spans="1:30" ht="13.5" thickBot="1" x14ac:dyDescent="0.25">
      <c r="A243" s="48" t="s">
        <v>224</v>
      </c>
      <c r="B243" s="47" t="s">
        <v>223</v>
      </c>
      <c r="C243" s="48" t="s">
        <v>22</v>
      </c>
      <c r="D243" s="48" t="s">
        <v>2037</v>
      </c>
      <c r="E243" s="129" t="s">
        <v>20</v>
      </c>
      <c r="F243" s="129" t="s">
        <v>21</v>
      </c>
      <c r="G243" s="108">
        <v>20542</v>
      </c>
      <c r="H243" s="87" t="s">
        <v>1649</v>
      </c>
      <c r="I243" s="205">
        <v>0</v>
      </c>
      <c r="J243" s="207">
        <v>20542</v>
      </c>
      <c r="K243" s="208">
        <v>84004</v>
      </c>
      <c r="L243" s="208">
        <v>781051</v>
      </c>
      <c r="M243" s="203">
        <v>0</v>
      </c>
      <c r="N243" s="208">
        <v>0</v>
      </c>
      <c r="O243" s="208">
        <v>865055</v>
      </c>
      <c r="P243" s="208">
        <v>51444</v>
      </c>
      <c r="Q243" s="210">
        <v>0</v>
      </c>
      <c r="R243" s="203">
        <v>0</v>
      </c>
      <c r="S243" s="203">
        <v>0</v>
      </c>
      <c r="T243" s="203">
        <v>0</v>
      </c>
      <c r="U243" s="203">
        <v>0</v>
      </c>
      <c r="V243" s="203">
        <v>0</v>
      </c>
      <c r="W243" s="203">
        <v>0</v>
      </c>
      <c r="X243" s="208">
        <v>865055</v>
      </c>
      <c r="Y243" s="208">
        <v>51444</v>
      </c>
      <c r="Z243" s="208">
        <v>916499</v>
      </c>
      <c r="AA243" s="208">
        <v>16446</v>
      </c>
      <c r="AB243" s="208">
        <v>0</v>
      </c>
      <c r="AC243" s="208">
        <v>932945</v>
      </c>
      <c r="AD243" s="209">
        <v>45.416463830201536</v>
      </c>
    </row>
    <row r="244" spans="1:30" ht="13.5" thickBot="1" x14ac:dyDescent="0.25">
      <c r="A244" s="48" t="s">
        <v>226</v>
      </c>
      <c r="B244" s="47" t="s">
        <v>225</v>
      </c>
      <c r="C244" s="48" t="s">
        <v>22</v>
      </c>
      <c r="D244" s="48" t="s">
        <v>2006</v>
      </c>
      <c r="E244" s="129" t="s">
        <v>101</v>
      </c>
      <c r="F244" s="129" t="s">
        <v>102</v>
      </c>
      <c r="G244" s="108">
        <v>19591</v>
      </c>
      <c r="H244" s="87" t="s">
        <v>1649</v>
      </c>
      <c r="I244" s="205">
        <v>0</v>
      </c>
      <c r="J244" s="207">
        <v>19591</v>
      </c>
      <c r="K244" s="208">
        <v>27092</v>
      </c>
      <c r="L244" s="208">
        <v>1441461</v>
      </c>
      <c r="M244" s="203">
        <v>0</v>
      </c>
      <c r="N244" s="203">
        <v>0</v>
      </c>
      <c r="O244" s="208">
        <v>1468553</v>
      </c>
      <c r="P244" s="208">
        <v>99857</v>
      </c>
      <c r="Q244" s="210">
        <v>0</v>
      </c>
      <c r="R244" s="203">
        <v>0</v>
      </c>
      <c r="S244" s="203">
        <v>0</v>
      </c>
      <c r="T244" s="203">
        <v>0</v>
      </c>
      <c r="U244" s="203">
        <v>0</v>
      </c>
      <c r="V244" s="203">
        <v>0</v>
      </c>
      <c r="W244" s="203">
        <v>0</v>
      </c>
      <c r="X244" s="208">
        <v>1468553</v>
      </c>
      <c r="Y244" s="208">
        <v>99857</v>
      </c>
      <c r="Z244" s="208">
        <v>1568410</v>
      </c>
      <c r="AA244" s="208">
        <v>39741</v>
      </c>
      <c r="AB244" s="208">
        <v>2579</v>
      </c>
      <c r="AC244" s="208">
        <v>1610730</v>
      </c>
      <c r="AD244" s="209">
        <v>82.217855137563163</v>
      </c>
    </row>
    <row r="245" spans="1:30" ht="13.5" thickBot="1" x14ac:dyDescent="0.25">
      <c r="A245" s="48" t="s">
        <v>234</v>
      </c>
      <c r="B245" s="47" t="s">
        <v>233</v>
      </c>
      <c r="C245" s="48" t="s">
        <v>22</v>
      </c>
      <c r="D245" s="48" t="s">
        <v>2152</v>
      </c>
      <c r="E245" s="129" t="s">
        <v>101</v>
      </c>
      <c r="F245" s="129" t="s">
        <v>102</v>
      </c>
      <c r="G245" s="108">
        <v>13306</v>
      </c>
      <c r="H245" s="87" t="s">
        <v>1649</v>
      </c>
      <c r="I245" s="205">
        <v>0</v>
      </c>
      <c r="J245" s="207">
        <v>13306</v>
      </c>
      <c r="K245" s="208">
        <v>49058</v>
      </c>
      <c r="L245" s="208">
        <v>371826</v>
      </c>
      <c r="M245" s="203">
        <v>0</v>
      </c>
      <c r="N245" s="203">
        <v>0</v>
      </c>
      <c r="O245" s="208">
        <v>420884</v>
      </c>
      <c r="P245" s="208">
        <v>22240</v>
      </c>
      <c r="Q245" s="210">
        <v>0</v>
      </c>
      <c r="R245" s="203">
        <v>0</v>
      </c>
      <c r="S245" s="203">
        <v>0</v>
      </c>
      <c r="T245" s="203">
        <v>0</v>
      </c>
      <c r="U245" s="203">
        <v>0</v>
      </c>
      <c r="V245" s="203">
        <v>0</v>
      </c>
      <c r="W245" s="203">
        <v>0</v>
      </c>
      <c r="X245" s="208">
        <v>420884</v>
      </c>
      <c r="Y245" s="208">
        <v>22240</v>
      </c>
      <c r="Z245" s="208">
        <v>443124</v>
      </c>
      <c r="AA245" s="208">
        <v>14206</v>
      </c>
      <c r="AB245" s="208">
        <v>0</v>
      </c>
      <c r="AC245" s="208">
        <v>457330</v>
      </c>
      <c r="AD245" s="209">
        <v>34.370208928303022</v>
      </c>
    </row>
    <row r="246" spans="1:30" ht="13.5" thickBot="1" x14ac:dyDescent="0.25">
      <c r="A246" s="48" t="s">
        <v>244</v>
      </c>
      <c r="B246" s="47" t="s">
        <v>243</v>
      </c>
      <c r="C246" s="48" t="s">
        <v>22</v>
      </c>
      <c r="D246" s="48" t="s">
        <v>2055</v>
      </c>
      <c r="E246" s="129" t="s">
        <v>20</v>
      </c>
      <c r="F246" s="129" t="s">
        <v>21</v>
      </c>
      <c r="G246" s="108">
        <v>12670</v>
      </c>
      <c r="H246" s="87" t="s">
        <v>1649</v>
      </c>
      <c r="I246" s="205">
        <v>0</v>
      </c>
      <c r="J246" s="207">
        <v>12670</v>
      </c>
      <c r="K246" s="208">
        <v>28359</v>
      </c>
      <c r="L246" s="208">
        <v>316660</v>
      </c>
      <c r="M246" s="208">
        <v>0</v>
      </c>
      <c r="N246" s="208">
        <v>0</v>
      </c>
      <c r="O246" s="208">
        <v>345019</v>
      </c>
      <c r="P246" s="208">
        <v>17591</v>
      </c>
      <c r="Q246" s="210">
        <v>0</v>
      </c>
      <c r="R246" s="203">
        <v>0</v>
      </c>
      <c r="S246" s="203">
        <v>0</v>
      </c>
      <c r="T246" s="203">
        <v>0</v>
      </c>
      <c r="U246" s="203">
        <v>0</v>
      </c>
      <c r="V246" s="203">
        <v>0</v>
      </c>
      <c r="W246" s="203">
        <v>0</v>
      </c>
      <c r="X246" s="208">
        <v>345019</v>
      </c>
      <c r="Y246" s="208">
        <v>17591</v>
      </c>
      <c r="Z246" s="208">
        <v>362610</v>
      </c>
      <c r="AA246" s="208">
        <v>10155</v>
      </c>
      <c r="AB246" s="208">
        <v>0</v>
      </c>
      <c r="AC246" s="208">
        <v>372765</v>
      </c>
      <c r="AD246" s="209">
        <v>29.421073401736386</v>
      </c>
    </row>
    <row r="247" spans="1:30" ht="13.5" thickBot="1" x14ac:dyDescent="0.25">
      <c r="A247" s="48" t="s">
        <v>260</v>
      </c>
      <c r="B247" s="47" t="s">
        <v>259</v>
      </c>
      <c r="C247" s="48" t="s">
        <v>22</v>
      </c>
      <c r="D247" s="48" t="s">
        <v>2262</v>
      </c>
      <c r="E247" s="129" t="s">
        <v>20</v>
      </c>
      <c r="F247" s="129" t="s">
        <v>21</v>
      </c>
      <c r="G247" s="108">
        <v>25830</v>
      </c>
      <c r="H247" s="87" t="s">
        <v>1649</v>
      </c>
      <c r="I247" s="205">
        <v>0</v>
      </c>
      <c r="J247" s="207">
        <v>12616</v>
      </c>
      <c r="K247" s="208">
        <v>42837</v>
      </c>
      <c r="L247" s="208">
        <v>0</v>
      </c>
      <c r="M247" s="208">
        <v>400000</v>
      </c>
      <c r="N247" s="208">
        <v>0</v>
      </c>
      <c r="O247" s="208">
        <v>442837</v>
      </c>
      <c r="P247" s="208">
        <v>33938</v>
      </c>
      <c r="Q247" s="207">
        <v>13214</v>
      </c>
      <c r="R247" s="208">
        <v>44869</v>
      </c>
      <c r="S247" s="208">
        <v>0</v>
      </c>
      <c r="T247" s="208">
        <v>0</v>
      </c>
      <c r="U247" s="208">
        <v>0</v>
      </c>
      <c r="V247" s="208">
        <v>44869</v>
      </c>
      <c r="W247" s="208">
        <v>0</v>
      </c>
      <c r="X247" s="208">
        <v>487706</v>
      </c>
      <c r="Y247" s="208">
        <v>33938</v>
      </c>
      <c r="Z247" s="208">
        <v>521644</v>
      </c>
      <c r="AA247" s="208">
        <v>20679</v>
      </c>
      <c r="AB247" s="208">
        <v>0</v>
      </c>
      <c r="AC247" s="208">
        <v>542323</v>
      </c>
      <c r="AD247" s="209">
        <v>20.995857530003871</v>
      </c>
    </row>
    <row r="248" spans="1:30" ht="13.5" thickBot="1" x14ac:dyDescent="0.25">
      <c r="A248" s="48" t="s">
        <v>268</v>
      </c>
      <c r="B248" s="47" t="s">
        <v>267</v>
      </c>
      <c r="C248" s="48" t="s">
        <v>22</v>
      </c>
      <c r="D248" s="48" t="s">
        <v>1973</v>
      </c>
      <c r="E248" s="129" t="s">
        <v>101</v>
      </c>
      <c r="F248" s="129" t="s">
        <v>102</v>
      </c>
      <c r="G248" s="108">
        <v>14230</v>
      </c>
      <c r="H248" s="87" t="s">
        <v>1648</v>
      </c>
      <c r="I248" s="205">
        <v>25000</v>
      </c>
      <c r="J248" s="207">
        <v>8835</v>
      </c>
      <c r="K248" s="208">
        <v>43810</v>
      </c>
      <c r="L248" s="208">
        <v>304362</v>
      </c>
      <c r="M248" s="208">
        <v>0</v>
      </c>
      <c r="N248" s="208">
        <v>0</v>
      </c>
      <c r="O248" s="208">
        <v>348172</v>
      </c>
      <c r="P248" s="208">
        <v>8726</v>
      </c>
      <c r="Q248" s="207">
        <v>5395</v>
      </c>
      <c r="R248" s="208">
        <v>26753</v>
      </c>
      <c r="S248" s="208">
        <v>0</v>
      </c>
      <c r="T248" s="208">
        <v>0</v>
      </c>
      <c r="U248" s="208">
        <v>4301</v>
      </c>
      <c r="V248" s="208">
        <v>31054</v>
      </c>
      <c r="W248" s="208">
        <v>0</v>
      </c>
      <c r="X248" s="208">
        <v>379226</v>
      </c>
      <c r="Y248" s="208">
        <v>8726</v>
      </c>
      <c r="Z248" s="208">
        <v>387952</v>
      </c>
      <c r="AA248" s="208">
        <v>13325</v>
      </c>
      <c r="AB248" s="208">
        <v>40854</v>
      </c>
      <c r="AC248" s="208">
        <v>442131</v>
      </c>
      <c r="AD248" s="209">
        <v>31.070344342937457</v>
      </c>
    </row>
    <row r="249" spans="1:30" ht="13.5" thickBot="1" x14ac:dyDescent="0.25">
      <c r="A249" s="48" t="s">
        <v>270</v>
      </c>
      <c r="B249" s="47" t="s">
        <v>269</v>
      </c>
      <c r="C249" s="48" t="s">
        <v>22</v>
      </c>
      <c r="D249" s="48" t="s">
        <v>1940</v>
      </c>
      <c r="E249" s="129" t="s">
        <v>20</v>
      </c>
      <c r="F249" s="129" t="s">
        <v>21</v>
      </c>
      <c r="G249" s="108">
        <v>19900</v>
      </c>
      <c r="H249" s="87" t="s">
        <v>1649</v>
      </c>
      <c r="I249" s="205">
        <v>0</v>
      </c>
      <c r="J249" s="207">
        <v>19900</v>
      </c>
      <c r="K249" s="208">
        <v>42505</v>
      </c>
      <c r="L249" s="208">
        <v>1938302</v>
      </c>
      <c r="M249" s="208">
        <v>0</v>
      </c>
      <c r="N249" s="208">
        <v>24157</v>
      </c>
      <c r="O249" s="208">
        <v>2004964</v>
      </c>
      <c r="P249" s="208">
        <v>48733</v>
      </c>
      <c r="Q249" s="210">
        <v>0</v>
      </c>
      <c r="R249" s="208">
        <v>0</v>
      </c>
      <c r="S249" s="208">
        <v>0</v>
      </c>
      <c r="T249" s="208">
        <v>0</v>
      </c>
      <c r="U249" s="208">
        <v>0</v>
      </c>
      <c r="V249" s="208">
        <v>0</v>
      </c>
      <c r="W249" s="208">
        <v>0</v>
      </c>
      <c r="X249" s="208">
        <v>2004964</v>
      </c>
      <c r="Y249" s="208">
        <v>48733</v>
      </c>
      <c r="Z249" s="208">
        <v>2053697</v>
      </c>
      <c r="AA249" s="208">
        <v>23848</v>
      </c>
      <c r="AB249" s="208">
        <v>1260</v>
      </c>
      <c r="AC249" s="208">
        <v>2078805</v>
      </c>
      <c r="AD249" s="209">
        <v>104.46256281407035</v>
      </c>
    </row>
    <row r="250" spans="1:30" ht="13.5" thickBot="1" x14ac:dyDescent="0.25">
      <c r="A250" s="48" t="s">
        <v>274</v>
      </c>
      <c r="B250" s="47" t="s">
        <v>273</v>
      </c>
      <c r="C250" s="48" t="s">
        <v>22</v>
      </c>
      <c r="D250" s="48" t="s">
        <v>2148</v>
      </c>
      <c r="E250" s="129" t="s">
        <v>20</v>
      </c>
      <c r="F250" s="129" t="s">
        <v>21</v>
      </c>
      <c r="G250" s="108">
        <v>17626</v>
      </c>
      <c r="H250" s="87" t="s">
        <v>1648</v>
      </c>
      <c r="I250" s="205">
        <v>30000</v>
      </c>
      <c r="J250" s="207">
        <v>17626</v>
      </c>
      <c r="K250" s="208">
        <v>70048</v>
      </c>
      <c r="L250" s="208">
        <v>624511</v>
      </c>
      <c r="M250" s="208">
        <v>26650</v>
      </c>
      <c r="N250" s="208">
        <v>0</v>
      </c>
      <c r="O250" s="208">
        <v>721209</v>
      </c>
      <c r="P250" s="208">
        <v>36905</v>
      </c>
      <c r="Q250" s="210">
        <v>0</v>
      </c>
      <c r="R250" s="203">
        <v>0</v>
      </c>
      <c r="S250" s="203">
        <v>0</v>
      </c>
      <c r="T250" s="203">
        <v>0</v>
      </c>
      <c r="U250" s="203">
        <v>0</v>
      </c>
      <c r="V250" s="203">
        <v>0</v>
      </c>
      <c r="W250" s="203">
        <v>0</v>
      </c>
      <c r="X250" s="208">
        <v>721209</v>
      </c>
      <c r="Y250" s="208">
        <v>36905</v>
      </c>
      <c r="Z250" s="208">
        <v>758114</v>
      </c>
      <c r="AA250" s="208">
        <v>14128</v>
      </c>
      <c r="AB250" s="208">
        <v>0</v>
      </c>
      <c r="AC250" s="208">
        <v>772242</v>
      </c>
      <c r="AD250" s="209">
        <v>43.812663111312837</v>
      </c>
    </row>
    <row r="251" spans="1:30" ht="13.5" thickBot="1" x14ac:dyDescent="0.25">
      <c r="A251" s="48" t="s">
        <v>276</v>
      </c>
      <c r="B251" s="47" t="s">
        <v>275</v>
      </c>
      <c r="C251" s="48" t="s">
        <v>22</v>
      </c>
      <c r="D251" s="48" t="s">
        <v>1979</v>
      </c>
      <c r="E251" s="129" t="s">
        <v>20</v>
      </c>
      <c r="F251" s="129" t="s">
        <v>21</v>
      </c>
      <c r="G251" s="108">
        <v>17823</v>
      </c>
      <c r="H251" s="87" t="s">
        <v>1649</v>
      </c>
      <c r="I251" s="205">
        <v>0</v>
      </c>
      <c r="J251" s="207">
        <v>9878</v>
      </c>
      <c r="K251" s="208">
        <v>0</v>
      </c>
      <c r="L251" s="208">
        <v>247046</v>
      </c>
      <c r="M251" s="208">
        <v>84586</v>
      </c>
      <c r="N251" s="208">
        <v>17737</v>
      </c>
      <c r="O251" s="208">
        <v>349369</v>
      </c>
      <c r="P251" s="208">
        <v>27123</v>
      </c>
      <c r="Q251" s="207">
        <v>7945</v>
      </c>
      <c r="R251" s="203">
        <v>0</v>
      </c>
      <c r="S251" s="203">
        <v>0</v>
      </c>
      <c r="T251" s="203">
        <v>0</v>
      </c>
      <c r="U251" s="208">
        <v>20532</v>
      </c>
      <c r="V251" s="208">
        <v>20532</v>
      </c>
      <c r="W251" s="203">
        <v>0</v>
      </c>
      <c r="X251" s="208">
        <v>369901</v>
      </c>
      <c r="Y251" s="208">
        <v>27123</v>
      </c>
      <c r="Z251" s="208">
        <v>397024</v>
      </c>
      <c r="AA251" s="208">
        <v>8500</v>
      </c>
      <c r="AB251" s="208">
        <v>0</v>
      </c>
      <c r="AC251" s="208">
        <v>405524</v>
      </c>
      <c r="AD251" s="209">
        <v>22.752847444313527</v>
      </c>
    </row>
    <row r="252" spans="1:30" ht="13.5" thickBot="1" x14ac:dyDescent="0.25">
      <c r="A252" s="48" t="s">
        <v>282</v>
      </c>
      <c r="B252" s="47" t="s">
        <v>281</v>
      </c>
      <c r="C252" s="48" t="s">
        <v>22</v>
      </c>
      <c r="D252" s="48" t="s">
        <v>2110</v>
      </c>
      <c r="E252" s="129" t="s">
        <v>20</v>
      </c>
      <c r="F252" s="129" t="s">
        <v>21</v>
      </c>
      <c r="G252" s="108">
        <v>17068</v>
      </c>
      <c r="H252" s="87" t="s">
        <v>1649</v>
      </c>
      <c r="I252" s="205">
        <v>0</v>
      </c>
      <c r="J252" s="207">
        <v>16169</v>
      </c>
      <c r="K252" s="208">
        <v>33416</v>
      </c>
      <c r="L252" s="208">
        <v>803124</v>
      </c>
      <c r="M252" s="203">
        <v>0</v>
      </c>
      <c r="N252" s="208">
        <v>0</v>
      </c>
      <c r="O252" s="208">
        <v>836540</v>
      </c>
      <c r="P252" s="208">
        <v>9218</v>
      </c>
      <c r="Q252" s="207">
        <v>899</v>
      </c>
      <c r="R252" s="208">
        <v>1859</v>
      </c>
      <c r="S252" s="208">
        <v>2027</v>
      </c>
      <c r="T252" s="203">
        <v>0</v>
      </c>
      <c r="U252" s="203">
        <v>0</v>
      </c>
      <c r="V252" s="208">
        <v>3886</v>
      </c>
      <c r="W252" s="203">
        <v>0</v>
      </c>
      <c r="X252" s="208">
        <v>840426</v>
      </c>
      <c r="Y252" s="208">
        <v>9218</v>
      </c>
      <c r="Z252" s="208">
        <v>849644</v>
      </c>
      <c r="AA252" s="208">
        <v>26988</v>
      </c>
      <c r="AB252" s="208">
        <v>0</v>
      </c>
      <c r="AC252" s="208">
        <v>876632</v>
      </c>
      <c r="AD252" s="209">
        <v>51.361143660651514</v>
      </c>
    </row>
    <row r="253" spans="1:30" ht="13.5" thickBot="1" x14ac:dyDescent="0.25">
      <c r="A253" s="48" t="s">
        <v>288</v>
      </c>
      <c r="B253" s="47" t="s">
        <v>287</v>
      </c>
      <c r="C253" s="48" t="s">
        <v>22</v>
      </c>
      <c r="D253" s="48" t="s">
        <v>2010</v>
      </c>
      <c r="E253" s="129" t="s">
        <v>20</v>
      </c>
      <c r="F253" s="129" t="s">
        <v>21</v>
      </c>
      <c r="G253" s="108">
        <v>14480</v>
      </c>
      <c r="H253" s="87" t="s">
        <v>1649</v>
      </c>
      <c r="I253" s="205">
        <v>0</v>
      </c>
      <c r="J253" s="207">
        <v>14480</v>
      </c>
      <c r="K253" s="208">
        <v>13699</v>
      </c>
      <c r="L253" s="208">
        <v>460518</v>
      </c>
      <c r="M253" s="208">
        <v>0</v>
      </c>
      <c r="N253" s="208">
        <v>0</v>
      </c>
      <c r="O253" s="208">
        <v>474217</v>
      </c>
      <c r="P253" s="208">
        <v>137587</v>
      </c>
      <c r="Q253" s="210">
        <v>0</v>
      </c>
      <c r="R253" s="208">
        <v>0</v>
      </c>
      <c r="S253" s="208">
        <v>0</v>
      </c>
      <c r="T253" s="208">
        <v>0</v>
      </c>
      <c r="U253" s="208">
        <v>0</v>
      </c>
      <c r="V253" s="208">
        <v>0</v>
      </c>
      <c r="W253" s="208">
        <v>0</v>
      </c>
      <c r="X253" s="208">
        <v>474217</v>
      </c>
      <c r="Y253" s="208">
        <v>137587</v>
      </c>
      <c r="Z253" s="208">
        <v>611804</v>
      </c>
      <c r="AA253" s="208">
        <v>11606</v>
      </c>
      <c r="AB253" s="208">
        <v>0</v>
      </c>
      <c r="AC253" s="208">
        <v>623410</v>
      </c>
      <c r="AD253" s="209">
        <v>43.053176795580107</v>
      </c>
    </row>
    <row r="254" spans="1:30" ht="13.5" thickBot="1" x14ac:dyDescent="0.25">
      <c r="A254" s="48" t="s">
        <v>292</v>
      </c>
      <c r="B254" s="47" t="s">
        <v>291</v>
      </c>
      <c r="C254" s="48" t="s">
        <v>22</v>
      </c>
      <c r="D254" s="48" t="s">
        <v>2237</v>
      </c>
      <c r="E254" s="129" t="s">
        <v>15</v>
      </c>
      <c r="F254" s="129" t="s">
        <v>16</v>
      </c>
      <c r="G254" s="108">
        <v>13326</v>
      </c>
      <c r="H254" s="87" t="s">
        <v>1649</v>
      </c>
      <c r="I254" s="205">
        <v>0</v>
      </c>
      <c r="J254" s="207">
        <v>13326</v>
      </c>
      <c r="K254" s="208">
        <v>49136</v>
      </c>
      <c r="L254" s="208">
        <v>567001</v>
      </c>
      <c r="M254" s="203">
        <v>0</v>
      </c>
      <c r="N254" s="208">
        <v>19124</v>
      </c>
      <c r="O254" s="208">
        <v>635261</v>
      </c>
      <c r="P254" s="208">
        <v>219831</v>
      </c>
      <c r="Q254" s="210">
        <v>0</v>
      </c>
      <c r="R254" s="203">
        <v>0</v>
      </c>
      <c r="S254" s="203">
        <v>0</v>
      </c>
      <c r="T254" s="203">
        <v>0</v>
      </c>
      <c r="U254" s="203">
        <v>0</v>
      </c>
      <c r="V254" s="203">
        <v>0</v>
      </c>
      <c r="W254" s="203">
        <v>0</v>
      </c>
      <c r="X254" s="208">
        <v>635261</v>
      </c>
      <c r="Y254" s="208">
        <v>219831</v>
      </c>
      <c r="Z254" s="208">
        <v>855092</v>
      </c>
      <c r="AA254" s="208">
        <v>36137</v>
      </c>
      <c r="AB254" s="208">
        <v>0</v>
      </c>
      <c r="AC254" s="208">
        <v>891229</v>
      </c>
      <c r="AD254" s="209">
        <v>66.878958427134918</v>
      </c>
    </row>
    <row r="255" spans="1:30" ht="13.5" thickBot="1" x14ac:dyDescent="0.25">
      <c r="A255" s="48" t="s">
        <v>294</v>
      </c>
      <c r="B255" s="47" t="s">
        <v>293</v>
      </c>
      <c r="C255" s="48" t="s">
        <v>22</v>
      </c>
      <c r="D255" s="48" t="s">
        <v>2367</v>
      </c>
      <c r="E255" s="129" t="s">
        <v>61</v>
      </c>
      <c r="F255" s="129" t="s">
        <v>62</v>
      </c>
      <c r="G255" s="108">
        <v>13598</v>
      </c>
      <c r="H255" s="87" t="s">
        <v>1649</v>
      </c>
      <c r="I255" s="205">
        <v>0</v>
      </c>
      <c r="J255" s="207">
        <v>13598</v>
      </c>
      <c r="K255" s="208">
        <v>26863</v>
      </c>
      <c r="L255" s="208">
        <v>180310</v>
      </c>
      <c r="M255" s="208">
        <v>0</v>
      </c>
      <c r="N255" s="208">
        <v>0</v>
      </c>
      <c r="O255" s="208">
        <v>207173</v>
      </c>
      <c r="P255" s="208">
        <v>1816</v>
      </c>
      <c r="Q255" s="210">
        <v>0</v>
      </c>
      <c r="R255" s="208">
        <v>26863</v>
      </c>
      <c r="S255" s="208">
        <v>50805</v>
      </c>
      <c r="T255" s="208">
        <v>0</v>
      </c>
      <c r="U255" s="208">
        <v>0</v>
      </c>
      <c r="V255" s="208">
        <v>77668</v>
      </c>
      <c r="W255" s="208">
        <v>2412</v>
      </c>
      <c r="X255" s="208">
        <v>284841</v>
      </c>
      <c r="Y255" s="208">
        <v>4228</v>
      </c>
      <c r="Z255" s="208">
        <v>289069</v>
      </c>
      <c r="AA255" s="208">
        <v>10899</v>
      </c>
      <c r="AB255" s="208">
        <v>0</v>
      </c>
      <c r="AC255" s="208">
        <v>299968</v>
      </c>
      <c r="AD255" s="209">
        <v>22.059714663921167</v>
      </c>
    </row>
    <row r="256" spans="1:30" ht="13.5" thickBot="1" x14ac:dyDescent="0.25">
      <c r="A256" s="48" t="s">
        <v>312</v>
      </c>
      <c r="B256" s="47" t="s">
        <v>311</v>
      </c>
      <c r="C256" s="48" t="s">
        <v>22</v>
      </c>
      <c r="D256" s="48" t="s">
        <v>2391</v>
      </c>
      <c r="E256" s="129" t="s">
        <v>15</v>
      </c>
      <c r="F256" s="129" t="s">
        <v>16</v>
      </c>
      <c r="G256" s="108">
        <v>25692</v>
      </c>
      <c r="H256" s="87" t="s">
        <v>1649</v>
      </c>
      <c r="I256" s="205">
        <v>0</v>
      </c>
      <c r="J256" s="207">
        <v>25692</v>
      </c>
      <c r="K256" s="208">
        <v>181186</v>
      </c>
      <c r="L256" s="208">
        <v>481656</v>
      </c>
      <c r="M256" s="203">
        <v>0</v>
      </c>
      <c r="N256" s="203">
        <v>0</v>
      </c>
      <c r="O256" s="208">
        <v>662842</v>
      </c>
      <c r="P256" s="208">
        <v>18977</v>
      </c>
      <c r="Q256" s="210">
        <v>0</v>
      </c>
      <c r="R256" s="203">
        <v>0</v>
      </c>
      <c r="S256" s="203">
        <v>0</v>
      </c>
      <c r="T256" s="203">
        <v>0</v>
      </c>
      <c r="U256" s="203">
        <v>0</v>
      </c>
      <c r="V256" s="203">
        <v>0</v>
      </c>
      <c r="W256" s="203">
        <v>0</v>
      </c>
      <c r="X256" s="208">
        <v>662842</v>
      </c>
      <c r="Y256" s="208">
        <v>18977</v>
      </c>
      <c r="Z256" s="208">
        <v>681819</v>
      </c>
      <c r="AA256" s="208">
        <v>20592.78</v>
      </c>
      <c r="AB256" s="208">
        <v>0</v>
      </c>
      <c r="AC256" s="208">
        <v>702411.78</v>
      </c>
      <c r="AD256" s="209">
        <v>27.339708080336294</v>
      </c>
    </row>
    <row r="257" spans="1:30" ht="13.5" thickBot="1" x14ac:dyDescent="0.25">
      <c r="A257" s="48" t="s">
        <v>320</v>
      </c>
      <c r="B257" s="47" t="s">
        <v>319</v>
      </c>
      <c r="C257" s="48" t="s">
        <v>22</v>
      </c>
      <c r="D257" s="48" t="s">
        <v>2055</v>
      </c>
      <c r="E257" s="129" t="s">
        <v>20</v>
      </c>
      <c r="F257" s="129" t="s">
        <v>21</v>
      </c>
      <c r="G257" s="108">
        <v>15959</v>
      </c>
      <c r="H257" s="87" t="s">
        <v>1649</v>
      </c>
      <c r="I257" s="205">
        <v>0</v>
      </c>
      <c r="J257" s="207">
        <v>15959</v>
      </c>
      <c r="K257" s="208">
        <v>50078</v>
      </c>
      <c r="L257" s="208">
        <v>644420</v>
      </c>
      <c r="M257" s="208">
        <v>0</v>
      </c>
      <c r="N257" s="208">
        <v>0</v>
      </c>
      <c r="O257" s="208">
        <v>694498</v>
      </c>
      <c r="P257" s="208">
        <v>30397</v>
      </c>
      <c r="Q257" s="210">
        <v>0</v>
      </c>
      <c r="R257" s="203">
        <v>0</v>
      </c>
      <c r="S257" s="203">
        <v>0</v>
      </c>
      <c r="T257" s="203">
        <v>0</v>
      </c>
      <c r="U257" s="203">
        <v>0</v>
      </c>
      <c r="V257" s="203">
        <v>0</v>
      </c>
      <c r="W257" s="203">
        <v>0</v>
      </c>
      <c r="X257" s="208">
        <v>694498</v>
      </c>
      <c r="Y257" s="208">
        <v>30397</v>
      </c>
      <c r="Z257" s="208">
        <v>724895</v>
      </c>
      <c r="AA257" s="208">
        <v>12792</v>
      </c>
      <c r="AB257" s="208">
        <v>0</v>
      </c>
      <c r="AC257" s="208">
        <v>737687</v>
      </c>
      <c r="AD257" s="209">
        <v>46.223886208409048</v>
      </c>
    </row>
    <row r="258" spans="1:30" ht="13.5" thickBot="1" x14ac:dyDescent="0.25">
      <c r="A258" s="48" t="s">
        <v>330</v>
      </c>
      <c r="B258" s="47" t="s">
        <v>329</v>
      </c>
      <c r="C258" s="48" t="s">
        <v>22</v>
      </c>
      <c r="D258" s="48" t="s">
        <v>2110</v>
      </c>
      <c r="E258" s="129" t="s">
        <v>20</v>
      </c>
      <c r="F258" s="129" t="s">
        <v>21</v>
      </c>
      <c r="G258" s="108">
        <v>21165</v>
      </c>
      <c r="H258" s="87" t="s">
        <v>1649</v>
      </c>
      <c r="I258" s="205">
        <v>0</v>
      </c>
      <c r="J258" s="207">
        <v>21165</v>
      </c>
      <c r="K258" s="208">
        <v>43767</v>
      </c>
      <c r="L258" s="208">
        <v>840880</v>
      </c>
      <c r="M258" s="208">
        <v>0</v>
      </c>
      <c r="N258" s="208">
        <v>0</v>
      </c>
      <c r="O258" s="208">
        <v>884647</v>
      </c>
      <c r="P258" s="208">
        <v>44550</v>
      </c>
      <c r="Q258" s="210">
        <v>0</v>
      </c>
      <c r="R258" s="203">
        <v>0</v>
      </c>
      <c r="S258" s="203">
        <v>0</v>
      </c>
      <c r="T258" s="203">
        <v>0</v>
      </c>
      <c r="U258" s="203">
        <v>0</v>
      </c>
      <c r="V258" s="203">
        <v>0</v>
      </c>
      <c r="W258" s="203">
        <v>0</v>
      </c>
      <c r="X258" s="208">
        <v>884647</v>
      </c>
      <c r="Y258" s="208">
        <v>44550</v>
      </c>
      <c r="Z258" s="208">
        <v>929197</v>
      </c>
      <c r="AA258" s="208">
        <v>16944</v>
      </c>
      <c r="AB258" s="208">
        <v>0</v>
      </c>
      <c r="AC258" s="208">
        <v>946141</v>
      </c>
      <c r="AD258" s="209">
        <v>44.703094731868653</v>
      </c>
    </row>
    <row r="259" spans="1:30" ht="13.5" thickBot="1" x14ac:dyDescent="0.25">
      <c r="A259" s="48" t="s">
        <v>332</v>
      </c>
      <c r="B259" s="47" t="s">
        <v>331</v>
      </c>
      <c r="C259" s="48" t="s">
        <v>22</v>
      </c>
      <c r="D259" s="48" t="s">
        <v>1979</v>
      </c>
      <c r="E259" s="129" t="s">
        <v>20</v>
      </c>
      <c r="F259" s="129" t="s">
        <v>21</v>
      </c>
      <c r="G259" s="108">
        <v>22423</v>
      </c>
      <c r="H259" s="87" t="s">
        <v>1649</v>
      </c>
      <c r="I259" s="205">
        <v>0</v>
      </c>
      <c r="J259" s="207">
        <v>22423</v>
      </c>
      <c r="K259" s="208">
        <v>17533</v>
      </c>
      <c r="L259" s="208">
        <v>368410</v>
      </c>
      <c r="M259" s="208">
        <v>0</v>
      </c>
      <c r="N259" s="208">
        <v>17951</v>
      </c>
      <c r="O259" s="208">
        <v>403894</v>
      </c>
      <c r="P259" s="208">
        <v>19212</v>
      </c>
      <c r="Q259" s="210">
        <v>0</v>
      </c>
      <c r="R259" s="203">
        <v>0</v>
      </c>
      <c r="S259" s="203">
        <v>0</v>
      </c>
      <c r="T259" s="203">
        <v>0</v>
      </c>
      <c r="U259" s="203">
        <v>0</v>
      </c>
      <c r="V259" s="203">
        <v>0</v>
      </c>
      <c r="W259" s="203">
        <v>0</v>
      </c>
      <c r="X259" s="208">
        <v>403894</v>
      </c>
      <c r="Y259" s="208">
        <v>19212</v>
      </c>
      <c r="Z259" s="208">
        <v>423106</v>
      </c>
      <c r="AA259" s="208">
        <v>27025</v>
      </c>
      <c r="AB259" s="208">
        <v>0</v>
      </c>
      <c r="AC259" s="208">
        <v>450131</v>
      </c>
      <c r="AD259" s="209">
        <v>20.074521696472374</v>
      </c>
    </row>
    <row r="260" spans="1:30" ht="13.5" thickBot="1" x14ac:dyDescent="0.25">
      <c r="A260" s="48" t="s">
        <v>336</v>
      </c>
      <c r="B260" s="47" t="s">
        <v>335</v>
      </c>
      <c r="C260" s="48" t="s">
        <v>22</v>
      </c>
      <c r="D260" s="48" t="s">
        <v>1979</v>
      </c>
      <c r="E260" s="129" t="s">
        <v>15</v>
      </c>
      <c r="F260" s="129" t="s">
        <v>16</v>
      </c>
      <c r="G260" s="108">
        <v>14236</v>
      </c>
      <c r="H260" s="87" t="s">
        <v>1649</v>
      </c>
      <c r="I260" s="205">
        <v>0</v>
      </c>
      <c r="J260" s="207">
        <v>14236</v>
      </c>
      <c r="K260" s="208">
        <v>11132</v>
      </c>
      <c r="L260" s="208">
        <v>374940</v>
      </c>
      <c r="M260" s="208">
        <v>0</v>
      </c>
      <c r="N260" s="208">
        <v>87808</v>
      </c>
      <c r="O260" s="208">
        <v>473880</v>
      </c>
      <c r="P260" s="208">
        <v>58517</v>
      </c>
      <c r="Q260" s="210">
        <v>0</v>
      </c>
      <c r="R260" s="208">
        <v>0</v>
      </c>
      <c r="S260" s="208">
        <v>0</v>
      </c>
      <c r="T260" s="208">
        <v>0</v>
      </c>
      <c r="U260" s="208">
        <v>0</v>
      </c>
      <c r="V260" s="208">
        <v>0</v>
      </c>
      <c r="W260" s="208">
        <v>0</v>
      </c>
      <c r="X260" s="208">
        <v>473880</v>
      </c>
      <c r="Y260" s="208">
        <v>58517</v>
      </c>
      <c r="Z260" s="208">
        <v>532397</v>
      </c>
      <c r="AA260" s="208">
        <v>11411</v>
      </c>
      <c r="AB260" s="208">
        <v>0</v>
      </c>
      <c r="AC260" s="208">
        <v>543808</v>
      </c>
      <c r="AD260" s="209">
        <v>38.199494239955044</v>
      </c>
    </row>
    <row r="261" spans="1:30" ht="13.5" thickBot="1" x14ac:dyDescent="0.25">
      <c r="A261" s="48" t="s">
        <v>338</v>
      </c>
      <c r="B261" s="47" t="s">
        <v>337</v>
      </c>
      <c r="C261" s="48" t="s">
        <v>22</v>
      </c>
      <c r="D261" s="48" t="s">
        <v>2435</v>
      </c>
      <c r="E261" s="129" t="s">
        <v>20</v>
      </c>
      <c r="F261" s="129" t="s">
        <v>21</v>
      </c>
      <c r="G261" s="108">
        <v>12920</v>
      </c>
      <c r="H261" s="87" t="s">
        <v>1649</v>
      </c>
      <c r="I261" s="205">
        <v>0</v>
      </c>
      <c r="J261" s="207">
        <v>7830</v>
      </c>
      <c r="K261" s="208">
        <v>59024</v>
      </c>
      <c r="L261" s="208">
        <v>203000</v>
      </c>
      <c r="M261" s="203">
        <v>0</v>
      </c>
      <c r="N261" s="203">
        <v>0</v>
      </c>
      <c r="O261" s="208">
        <v>262024</v>
      </c>
      <c r="P261" s="208">
        <v>28452</v>
      </c>
      <c r="Q261" s="207">
        <v>5090</v>
      </c>
      <c r="R261" s="208">
        <v>38368</v>
      </c>
      <c r="S261" s="203">
        <v>0</v>
      </c>
      <c r="T261" s="203">
        <v>0</v>
      </c>
      <c r="U261" s="203">
        <v>0</v>
      </c>
      <c r="V261" s="208">
        <v>38368</v>
      </c>
      <c r="W261" s="203">
        <v>0</v>
      </c>
      <c r="X261" s="208">
        <v>300392</v>
      </c>
      <c r="Y261" s="208">
        <v>28452</v>
      </c>
      <c r="Z261" s="208">
        <v>328844</v>
      </c>
      <c r="AA261" s="208">
        <v>5227</v>
      </c>
      <c r="AB261" s="208">
        <v>0</v>
      </c>
      <c r="AC261" s="208">
        <v>334071</v>
      </c>
      <c r="AD261" s="209">
        <v>25.856888544891643</v>
      </c>
    </row>
    <row r="262" spans="1:30" ht="13.5" thickBot="1" x14ac:dyDescent="0.25">
      <c r="A262" s="48" t="s">
        <v>340</v>
      </c>
      <c r="B262" s="47" t="s">
        <v>339</v>
      </c>
      <c r="C262" s="48" t="s">
        <v>22</v>
      </c>
      <c r="D262" s="48" t="s">
        <v>2010</v>
      </c>
      <c r="E262" s="129" t="s">
        <v>15</v>
      </c>
      <c r="F262" s="129" t="s">
        <v>16</v>
      </c>
      <c r="G262" s="108">
        <v>24587</v>
      </c>
      <c r="H262" s="87" t="s">
        <v>1649</v>
      </c>
      <c r="I262" s="205">
        <v>0</v>
      </c>
      <c r="J262" s="207">
        <v>24587</v>
      </c>
      <c r="K262" s="208">
        <v>25504</v>
      </c>
      <c r="L262" s="208">
        <v>448129</v>
      </c>
      <c r="M262" s="208">
        <v>0</v>
      </c>
      <c r="N262" s="208">
        <v>0</v>
      </c>
      <c r="O262" s="208">
        <v>473633</v>
      </c>
      <c r="P262" s="208">
        <v>10842</v>
      </c>
      <c r="Q262" s="210">
        <v>0</v>
      </c>
      <c r="R262" s="208">
        <v>0</v>
      </c>
      <c r="S262" s="208">
        <v>0</v>
      </c>
      <c r="T262" s="208">
        <v>0</v>
      </c>
      <c r="U262" s="208">
        <v>0</v>
      </c>
      <c r="V262" s="208">
        <v>0</v>
      </c>
      <c r="W262" s="208">
        <v>0</v>
      </c>
      <c r="X262" s="208">
        <v>473633</v>
      </c>
      <c r="Y262" s="208">
        <v>10842</v>
      </c>
      <c r="Z262" s="208">
        <v>484475</v>
      </c>
      <c r="AA262" s="208">
        <v>19707</v>
      </c>
      <c r="AB262" s="208">
        <v>0</v>
      </c>
      <c r="AC262" s="208">
        <v>504182</v>
      </c>
      <c r="AD262" s="209">
        <v>20.506039777117991</v>
      </c>
    </row>
    <row r="263" spans="1:30" ht="13.5" thickBot="1" x14ac:dyDescent="0.25">
      <c r="A263" s="48" t="s">
        <v>346</v>
      </c>
      <c r="B263" s="47" t="s">
        <v>345</v>
      </c>
      <c r="C263" s="48" t="s">
        <v>22</v>
      </c>
      <c r="D263" s="48" t="s">
        <v>2264</v>
      </c>
      <c r="E263" s="129" t="s">
        <v>20</v>
      </c>
      <c r="F263" s="129" t="s">
        <v>21</v>
      </c>
      <c r="G263" s="108">
        <v>13233</v>
      </c>
      <c r="H263" s="87" t="s">
        <v>1649</v>
      </c>
      <c r="I263" s="205">
        <v>0</v>
      </c>
      <c r="J263" s="207">
        <v>7350</v>
      </c>
      <c r="K263" s="208">
        <v>7328</v>
      </c>
      <c r="L263" s="208">
        <v>0</v>
      </c>
      <c r="M263" s="208">
        <v>290155</v>
      </c>
      <c r="N263" s="208">
        <v>0</v>
      </c>
      <c r="O263" s="208">
        <v>297483</v>
      </c>
      <c r="P263" s="208">
        <v>78140</v>
      </c>
      <c r="Q263" s="207">
        <v>5883</v>
      </c>
      <c r="R263" s="208">
        <v>0</v>
      </c>
      <c r="S263" s="208">
        <v>405694</v>
      </c>
      <c r="T263" s="208">
        <v>0</v>
      </c>
      <c r="U263" s="208">
        <v>0</v>
      </c>
      <c r="V263" s="208">
        <v>405694</v>
      </c>
      <c r="W263" s="208">
        <v>0</v>
      </c>
      <c r="X263" s="208">
        <v>703177</v>
      </c>
      <c r="Y263" s="208">
        <v>78140</v>
      </c>
      <c r="Z263" s="208">
        <v>781317</v>
      </c>
      <c r="AA263" s="208">
        <v>10607</v>
      </c>
      <c r="AB263" s="208">
        <v>0</v>
      </c>
      <c r="AC263" s="208">
        <v>791924</v>
      </c>
      <c r="AD263" s="209">
        <v>59.844630847124613</v>
      </c>
    </row>
    <row r="264" spans="1:30" ht="13.5" thickBot="1" x14ac:dyDescent="0.25">
      <c r="A264" s="48" t="s">
        <v>348</v>
      </c>
      <c r="B264" s="47" t="s">
        <v>347</v>
      </c>
      <c r="C264" s="48" t="s">
        <v>22</v>
      </c>
      <c r="D264" s="48" t="s">
        <v>1940</v>
      </c>
      <c r="E264" s="129" t="s">
        <v>20</v>
      </c>
      <c r="F264" s="129" t="s">
        <v>21</v>
      </c>
      <c r="G264" s="108">
        <v>16422</v>
      </c>
      <c r="H264" s="87" t="s">
        <v>1649</v>
      </c>
      <c r="I264" s="205">
        <v>0</v>
      </c>
      <c r="J264" s="207">
        <v>16422</v>
      </c>
      <c r="K264" s="208">
        <v>38067</v>
      </c>
      <c r="L264" s="208">
        <v>461934</v>
      </c>
      <c r="M264" s="208">
        <v>0</v>
      </c>
      <c r="N264" s="208">
        <v>24966</v>
      </c>
      <c r="O264" s="208">
        <v>524967</v>
      </c>
      <c r="P264" s="208">
        <v>26521</v>
      </c>
      <c r="Q264" s="210">
        <v>0</v>
      </c>
      <c r="R264" s="208">
        <v>0</v>
      </c>
      <c r="S264" s="208">
        <v>0</v>
      </c>
      <c r="T264" s="208">
        <v>0</v>
      </c>
      <c r="U264" s="208">
        <v>0</v>
      </c>
      <c r="V264" s="208">
        <v>0</v>
      </c>
      <c r="W264" s="208">
        <v>0</v>
      </c>
      <c r="X264" s="208">
        <v>524967</v>
      </c>
      <c r="Y264" s="208">
        <v>26521</v>
      </c>
      <c r="Z264" s="208">
        <v>551488</v>
      </c>
      <c r="AA264" s="208">
        <v>24966</v>
      </c>
      <c r="AB264" s="208">
        <v>0</v>
      </c>
      <c r="AC264" s="208">
        <v>576454</v>
      </c>
      <c r="AD264" s="209">
        <v>35.102545365972475</v>
      </c>
    </row>
    <row r="265" spans="1:30" ht="13.5" thickBot="1" x14ac:dyDescent="0.25">
      <c r="A265" s="48" t="s">
        <v>356</v>
      </c>
      <c r="B265" s="47" t="s">
        <v>355</v>
      </c>
      <c r="C265" s="48" t="s">
        <v>22</v>
      </c>
      <c r="D265" s="48" t="s">
        <v>1940</v>
      </c>
      <c r="E265" s="129" t="s">
        <v>15</v>
      </c>
      <c r="F265" s="129" t="s">
        <v>16</v>
      </c>
      <c r="G265" s="108">
        <v>19202</v>
      </c>
      <c r="H265" s="87" t="s">
        <v>1648</v>
      </c>
      <c r="I265" s="204" t="s">
        <v>1660</v>
      </c>
      <c r="J265" s="207">
        <v>19202</v>
      </c>
      <c r="K265" s="208">
        <v>41014</v>
      </c>
      <c r="L265" s="208">
        <v>936194</v>
      </c>
      <c r="M265" s="203">
        <v>0</v>
      </c>
      <c r="N265" s="203">
        <v>0</v>
      </c>
      <c r="O265" s="208">
        <v>977208</v>
      </c>
      <c r="P265" s="208">
        <v>109789</v>
      </c>
      <c r="Q265" s="210">
        <v>0</v>
      </c>
      <c r="R265" s="203">
        <v>0</v>
      </c>
      <c r="S265" s="203">
        <v>0</v>
      </c>
      <c r="T265" s="203">
        <v>0</v>
      </c>
      <c r="U265" s="203">
        <v>0</v>
      </c>
      <c r="V265" s="203">
        <v>0</v>
      </c>
      <c r="W265" s="203">
        <v>0</v>
      </c>
      <c r="X265" s="208">
        <v>977208</v>
      </c>
      <c r="Y265" s="208">
        <v>109789</v>
      </c>
      <c r="Z265" s="208">
        <v>1086997</v>
      </c>
      <c r="AA265" s="208">
        <v>15390</v>
      </c>
      <c r="AB265" s="208">
        <v>0</v>
      </c>
      <c r="AC265" s="208">
        <v>1102387</v>
      </c>
      <c r="AD265" s="209">
        <v>57.410009374023538</v>
      </c>
    </row>
    <row r="266" spans="1:30" ht="13.5" thickBot="1" x14ac:dyDescent="0.25">
      <c r="A266" s="48" t="s">
        <v>360</v>
      </c>
      <c r="B266" s="47" t="s">
        <v>359</v>
      </c>
      <c r="C266" s="48" t="s">
        <v>22</v>
      </c>
      <c r="D266" s="48" t="s">
        <v>1940</v>
      </c>
      <c r="E266" s="129" t="s">
        <v>20</v>
      </c>
      <c r="F266" s="129" t="s">
        <v>21</v>
      </c>
      <c r="G266" s="108">
        <v>23088</v>
      </c>
      <c r="H266" s="87" t="s">
        <v>1649</v>
      </c>
      <c r="I266" s="205">
        <v>0</v>
      </c>
      <c r="J266" s="207">
        <v>11362</v>
      </c>
      <c r="K266" s="208">
        <v>19567</v>
      </c>
      <c r="L266" s="208">
        <v>304315</v>
      </c>
      <c r="M266" s="208">
        <v>0</v>
      </c>
      <c r="N266" s="208">
        <v>6500</v>
      </c>
      <c r="O266" s="208">
        <v>330382</v>
      </c>
      <c r="P266" s="208">
        <v>3354</v>
      </c>
      <c r="Q266" s="207">
        <v>11726</v>
      </c>
      <c r="R266" s="208">
        <v>20736</v>
      </c>
      <c r="S266" s="203">
        <v>0</v>
      </c>
      <c r="T266" s="203">
        <v>0</v>
      </c>
      <c r="U266" s="208">
        <v>6500</v>
      </c>
      <c r="V266" s="208">
        <v>27236</v>
      </c>
      <c r="W266" s="203">
        <v>0</v>
      </c>
      <c r="X266" s="208">
        <v>357618</v>
      </c>
      <c r="Y266" s="208">
        <v>3354</v>
      </c>
      <c r="Z266" s="208">
        <v>360972</v>
      </c>
      <c r="AA266" s="208">
        <v>18517</v>
      </c>
      <c r="AB266" s="208">
        <v>0</v>
      </c>
      <c r="AC266" s="208">
        <v>379489</v>
      </c>
      <c r="AD266" s="209">
        <v>16.436633749133748</v>
      </c>
    </row>
    <row r="267" spans="1:30" ht="13.5" thickBot="1" x14ac:dyDescent="0.25">
      <c r="A267" s="48" t="s">
        <v>368</v>
      </c>
      <c r="B267" s="47" t="s">
        <v>367</v>
      </c>
      <c r="C267" s="48" t="s">
        <v>22</v>
      </c>
      <c r="D267" s="48" t="s">
        <v>2478</v>
      </c>
      <c r="E267" s="129" t="s">
        <v>20</v>
      </c>
      <c r="F267" s="129" t="s">
        <v>21</v>
      </c>
      <c r="G267" s="108">
        <v>15322</v>
      </c>
      <c r="H267" s="87" t="s">
        <v>1649</v>
      </c>
      <c r="I267" s="205">
        <v>0</v>
      </c>
      <c r="J267" s="207">
        <v>15322</v>
      </c>
      <c r="K267" s="208">
        <v>117425</v>
      </c>
      <c r="L267" s="208">
        <v>554589</v>
      </c>
      <c r="M267" s="203">
        <v>0</v>
      </c>
      <c r="N267" s="208">
        <v>21549</v>
      </c>
      <c r="O267" s="208">
        <v>693563</v>
      </c>
      <c r="P267" s="208">
        <v>12433</v>
      </c>
      <c r="Q267" s="210">
        <v>0</v>
      </c>
      <c r="R267" s="203">
        <v>0</v>
      </c>
      <c r="S267" s="203">
        <v>0</v>
      </c>
      <c r="T267" s="203">
        <v>0</v>
      </c>
      <c r="U267" s="203">
        <v>0</v>
      </c>
      <c r="V267" s="203">
        <v>0</v>
      </c>
      <c r="W267" s="203">
        <v>0</v>
      </c>
      <c r="X267" s="208">
        <v>693563</v>
      </c>
      <c r="Y267" s="208">
        <v>12433</v>
      </c>
      <c r="Z267" s="208">
        <v>705996</v>
      </c>
      <c r="AA267" s="208">
        <v>12267</v>
      </c>
      <c r="AB267" s="208">
        <v>0</v>
      </c>
      <c r="AC267" s="208">
        <v>718263</v>
      </c>
      <c r="AD267" s="209">
        <v>46.877888004177002</v>
      </c>
    </row>
    <row r="268" spans="1:30" ht="13.5" thickBot="1" x14ac:dyDescent="0.25">
      <c r="A268" s="48" t="s">
        <v>370</v>
      </c>
      <c r="B268" s="47" t="s">
        <v>369</v>
      </c>
      <c r="C268" s="48" t="s">
        <v>22</v>
      </c>
      <c r="D268" s="48" t="s">
        <v>1980</v>
      </c>
      <c r="E268" s="129" t="s">
        <v>20</v>
      </c>
      <c r="F268" s="129" t="s">
        <v>21</v>
      </c>
      <c r="G268" s="108">
        <v>22115</v>
      </c>
      <c r="H268" s="87" t="s">
        <v>1649</v>
      </c>
      <c r="I268" s="205">
        <v>0</v>
      </c>
      <c r="J268" s="207">
        <v>5504</v>
      </c>
      <c r="K268" s="208">
        <v>15827</v>
      </c>
      <c r="L268" s="208">
        <v>0</v>
      </c>
      <c r="M268" s="208">
        <v>555000</v>
      </c>
      <c r="N268" s="208">
        <v>124920</v>
      </c>
      <c r="O268" s="208">
        <v>695747</v>
      </c>
      <c r="P268" s="208">
        <v>77227</v>
      </c>
      <c r="Q268" s="207">
        <v>16611</v>
      </c>
      <c r="R268" s="208">
        <v>47481</v>
      </c>
      <c r="S268" s="208">
        <v>34310</v>
      </c>
      <c r="T268" s="208">
        <v>53457</v>
      </c>
      <c r="U268" s="208">
        <v>130000</v>
      </c>
      <c r="V268" s="208">
        <v>265248</v>
      </c>
      <c r="W268" s="208">
        <v>0</v>
      </c>
      <c r="X268" s="208">
        <v>960995</v>
      </c>
      <c r="Y268" s="208">
        <v>77227</v>
      </c>
      <c r="Z268" s="208">
        <v>1038222</v>
      </c>
      <c r="AA268" s="208">
        <v>17969</v>
      </c>
      <c r="AB268" s="208">
        <v>0</v>
      </c>
      <c r="AC268" s="208">
        <v>1056191</v>
      </c>
      <c r="AD268" s="209">
        <v>47.759032330997059</v>
      </c>
    </row>
    <row r="269" spans="1:30" ht="13.5" thickBot="1" x14ac:dyDescent="0.25">
      <c r="A269" s="48" t="s">
        <v>384</v>
      </c>
      <c r="B269" s="47" t="s">
        <v>383</v>
      </c>
      <c r="C269" s="48" t="s">
        <v>22</v>
      </c>
      <c r="D269" s="48" t="s">
        <v>2002</v>
      </c>
      <c r="E269" s="129" t="s">
        <v>20</v>
      </c>
      <c r="F269" s="129" t="s">
        <v>21</v>
      </c>
      <c r="G269" s="108">
        <v>21638</v>
      </c>
      <c r="H269" s="87" t="s">
        <v>1649</v>
      </c>
      <c r="I269" s="205">
        <v>0</v>
      </c>
      <c r="J269" s="207">
        <v>20891</v>
      </c>
      <c r="K269" s="208">
        <v>133824</v>
      </c>
      <c r="L269" s="208">
        <v>511652</v>
      </c>
      <c r="M269" s="208">
        <v>0</v>
      </c>
      <c r="N269" s="208">
        <v>0</v>
      </c>
      <c r="O269" s="208">
        <v>645476</v>
      </c>
      <c r="P269" s="208">
        <v>19454</v>
      </c>
      <c r="Q269" s="207">
        <v>747</v>
      </c>
      <c r="R269" s="203">
        <v>0</v>
      </c>
      <c r="S269" s="203">
        <v>0</v>
      </c>
      <c r="T269" s="203">
        <v>0</v>
      </c>
      <c r="U269" s="203">
        <v>0</v>
      </c>
      <c r="V269" s="203">
        <v>0</v>
      </c>
      <c r="W269" s="203">
        <v>0</v>
      </c>
      <c r="X269" s="208">
        <v>645476</v>
      </c>
      <c r="Y269" s="208">
        <v>19454</v>
      </c>
      <c r="Z269" s="208">
        <v>664930</v>
      </c>
      <c r="AA269" s="208">
        <v>17935</v>
      </c>
      <c r="AB269" s="208">
        <v>3624</v>
      </c>
      <c r="AC269" s="208">
        <v>686489</v>
      </c>
      <c r="AD269" s="209">
        <v>31.726083741565763</v>
      </c>
    </row>
    <row r="270" spans="1:30" ht="13.5" thickBot="1" x14ac:dyDescent="0.25">
      <c r="A270" s="48" t="s">
        <v>390</v>
      </c>
      <c r="B270" s="47" t="s">
        <v>389</v>
      </c>
      <c r="C270" s="48" t="s">
        <v>22</v>
      </c>
      <c r="D270" s="48" t="s">
        <v>2349</v>
      </c>
      <c r="E270" s="129" t="s">
        <v>15</v>
      </c>
      <c r="F270" s="129" t="s">
        <v>16</v>
      </c>
      <c r="G270" s="108">
        <v>13600</v>
      </c>
      <c r="H270" s="87" t="s">
        <v>1649</v>
      </c>
      <c r="I270" s="205">
        <v>0</v>
      </c>
      <c r="J270" s="207">
        <v>6470</v>
      </c>
      <c r="K270" s="208">
        <v>16028</v>
      </c>
      <c r="L270" s="203">
        <v>0</v>
      </c>
      <c r="M270" s="208">
        <v>336637</v>
      </c>
      <c r="N270" s="203">
        <v>0</v>
      </c>
      <c r="O270" s="208">
        <v>352665</v>
      </c>
      <c r="P270" s="208">
        <v>13175</v>
      </c>
      <c r="Q270" s="207">
        <v>7130</v>
      </c>
      <c r="R270" s="208">
        <v>17661</v>
      </c>
      <c r="S270" s="203">
        <v>0</v>
      </c>
      <c r="T270" s="203">
        <v>0</v>
      </c>
      <c r="U270" s="208">
        <v>8494</v>
      </c>
      <c r="V270" s="208">
        <v>26155</v>
      </c>
      <c r="W270" s="203">
        <v>0</v>
      </c>
      <c r="X270" s="208">
        <v>378820</v>
      </c>
      <c r="Y270" s="208">
        <v>13175</v>
      </c>
      <c r="Z270" s="208">
        <v>391995</v>
      </c>
      <c r="AA270" s="208">
        <v>10900</v>
      </c>
      <c r="AB270" s="208">
        <v>0</v>
      </c>
      <c r="AC270" s="208">
        <v>402895</v>
      </c>
      <c r="AD270" s="209">
        <v>29.624632352941177</v>
      </c>
    </row>
    <row r="271" spans="1:30" ht="13.5" thickBot="1" x14ac:dyDescent="0.25">
      <c r="A271" s="48" t="s">
        <v>404</v>
      </c>
      <c r="B271" s="47" t="s">
        <v>403</v>
      </c>
      <c r="C271" s="48" t="s">
        <v>22</v>
      </c>
      <c r="D271" s="48" t="s">
        <v>2513</v>
      </c>
      <c r="E271" s="129" t="s">
        <v>15</v>
      </c>
      <c r="F271" s="129" t="s">
        <v>16</v>
      </c>
      <c r="G271" s="108">
        <v>17153</v>
      </c>
      <c r="H271" s="87" t="s">
        <v>1649</v>
      </c>
      <c r="I271" s="205">
        <v>0</v>
      </c>
      <c r="J271" s="207">
        <v>17153</v>
      </c>
      <c r="K271" s="208">
        <v>78777</v>
      </c>
      <c r="L271" s="208">
        <v>191688</v>
      </c>
      <c r="M271" s="208">
        <v>0</v>
      </c>
      <c r="N271" s="208">
        <v>6478</v>
      </c>
      <c r="O271" s="208">
        <v>276943</v>
      </c>
      <c r="P271" s="208">
        <v>30347</v>
      </c>
      <c r="Q271" s="210">
        <v>0</v>
      </c>
      <c r="R271" s="203">
        <v>0</v>
      </c>
      <c r="S271" s="203">
        <v>0</v>
      </c>
      <c r="T271" s="203">
        <v>0</v>
      </c>
      <c r="U271" s="203">
        <v>0</v>
      </c>
      <c r="V271" s="203">
        <v>0</v>
      </c>
      <c r="W271" s="203">
        <v>0</v>
      </c>
      <c r="X271" s="208">
        <v>276943</v>
      </c>
      <c r="Y271" s="208">
        <v>30347</v>
      </c>
      <c r="Z271" s="208">
        <v>307290</v>
      </c>
      <c r="AA271" s="208">
        <v>17490</v>
      </c>
      <c r="AB271" s="208">
        <v>0</v>
      </c>
      <c r="AC271" s="208">
        <v>324780</v>
      </c>
      <c r="AD271" s="209">
        <v>18.934297207485571</v>
      </c>
    </row>
    <row r="272" spans="1:30" ht="13.5" thickBot="1" x14ac:dyDescent="0.25">
      <c r="A272" s="48" t="s">
        <v>423</v>
      </c>
      <c r="B272" s="47" t="s">
        <v>422</v>
      </c>
      <c r="C272" s="48" t="s">
        <v>22</v>
      </c>
      <c r="D272" s="48" t="s">
        <v>1979</v>
      </c>
      <c r="E272" s="129" t="s">
        <v>20</v>
      </c>
      <c r="F272" s="129" t="s">
        <v>21</v>
      </c>
      <c r="G272" s="108">
        <v>25369</v>
      </c>
      <c r="H272" s="87" t="s">
        <v>1649</v>
      </c>
      <c r="I272" s="205">
        <v>0</v>
      </c>
      <c r="J272" s="207">
        <v>25369</v>
      </c>
      <c r="K272" s="203">
        <v>0</v>
      </c>
      <c r="L272" s="208">
        <v>396265</v>
      </c>
      <c r="M272" s="203">
        <v>0</v>
      </c>
      <c r="N272" s="208">
        <v>26917</v>
      </c>
      <c r="O272" s="208">
        <v>423182</v>
      </c>
      <c r="P272" s="208">
        <v>4470</v>
      </c>
      <c r="Q272" s="210">
        <v>0</v>
      </c>
      <c r="R272" s="203">
        <v>0</v>
      </c>
      <c r="S272" s="203">
        <v>0</v>
      </c>
      <c r="T272" s="203">
        <v>0</v>
      </c>
      <c r="U272" s="203">
        <v>0</v>
      </c>
      <c r="V272" s="203">
        <v>0</v>
      </c>
      <c r="W272" s="203">
        <v>0</v>
      </c>
      <c r="X272" s="208">
        <v>423182</v>
      </c>
      <c r="Y272" s="208">
        <v>4470</v>
      </c>
      <c r="Z272" s="208">
        <v>427652</v>
      </c>
      <c r="AA272" s="208">
        <v>20310</v>
      </c>
      <c r="AB272" s="208">
        <v>49</v>
      </c>
      <c r="AC272" s="208">
        <v>448011</v>
      </c>
      <c r="AD272" s="209">
        <v>17.659781623240963</v>
      </c>
    </row>
    <row r="273" spans="1:30" ht="13.5" thickBot="1" x14ac:dyDescent="0.25">
      <c r="A273" s="48" t="s">
        <v>439</v>
      </c>
      <c r="B273" s="47" t="s">
        <v>438</v>
      </c>
      <c r="C273" s="48" t="s">
        <v>22</v>
      </c>
      <c r="D273" s="48" t="s">
        <v>2057</v>
      </c>
      <c r="E273" s="129" t="s">
        <v>61</v>
      </c>
      <c r="F273" s="129" t="s">
        <v>62</v>
      </c>
      <c r="G273" s="108">
        <v>22258</v>
      </c>
      <c r="H273" s="87" t="s">
        <v>1649</v>
      </c>
      <c r="I273" s="205">
        <v>0</v>
      </c>
      <c r="J273" s="207">
        <v>14691</v>
      </c>
      <c r="K273" s="208">
        <v>107888</v>
      </c>
      <c r="L273" s="208">
        <v>888571</v>
      </c>
      <c r="M273" s="208">
        <v>8344</v>
      </c>
      <c r="N273" s="208">
        <v>0</v>
      </c>
      <c r="O273" s="208">
        <v>1004803</v>
      </c>
      <c r="P273" s="208">
        <v>77110</v>
      </c>
      <c r="Q273" s="207">
        <v>7567</v>
      </c>
      <c r="R273" s="208">
        <v>55570</v>
      </c>
      <c r="S273" s="208">
        <v>129532</v>
      </c>
      <c r="T273" s="208">
        <v>0</v>
      </c>
      <c r="U273" s="208">
        <v>0</v>
      </c>
      <c r="V273" s="208">
        <v>185102</v>
      </c>
      <c r="W273" s="208">
        <v>0</v>
      </c>
      <c r="X273" s="208">
        <v>1189905</v>
      </c>
      <c r="Y273" s="208">
        <v>77110</v>
      </c>
      <c r="Z273" s="208">
        <v>1267015</v>
      </c>
      <c r="AA273" s="208">
        <v>17840</v>
      </c>
      <c r="AB273" s="208">
        <v>1085</v>
      </c>
      <c r="AC273" s="208">
        <v>1285940</v>
      </c>
      <c r="AD273" s="209">
        <v>57.774283403720013</v>
      </c>
    </row>
    <row r="274" spans="1:30" ht="13.5" thickBot="1" x14ac:dyDescent="0.25">
      <c r="A274" s="48" t="s">
        <v>452</v>
      </c>
      <c r="B274" s="47" t="s">
        <v>451</v>
      </c>
      <c r="C274" s="48" t="s">
        <v>22</v>
      </c>
      <c r="D274" s="48" t="s">
        <v>1940</v>
      </c>
      <c r="E274" s="129" t="s">
        <v>15</v>
      </c>
      <c r="F274" s="129" t="s">
        <v>16</v>
      </c>
      <c r="G274" s="108">
        <v>14545</v>
      </c>
      <c r="H274" s="87" t="s">
        <v>1649</v>
      </c>
      <c r="I274" s="205">
        <v>0</v>
      </c>
      <c r="J274" s="207">
        <v>14545</v>
      </c>
      <c r="K274" s="208">
        <v>31067</v>
      </c>
      <c r="L274" s="208">
        <v>1061848</v>
      </c>
      <c r="M274" s="208">
        <v>0</v>
      </c>
      <c r="N274" s="208">
        <v>0</v>
      </c>
      <c r="O274" s="208">
        <v>1092915</v>
      </c>
      <c r="P274" s="208">
        <v>29189</v>
      </c>
      <c r="Q274" s="210">
        <v>0</v>
      </c>
      <c r="R274" s="208">
        <v>0</v>
      </c>
      <c r="S274" s="208">
        <v>0</v>
      </c>
      <c r="T274" s="208">
        <v>0</v>
      </c>
      <c r="U274" s="208">
        <v>0</v>
      </c>
      <c r="V274" s="208">
        <v>0</v>
      </c>
      <c r="W274" s="208">
        <v>0</v>
      </c>
      <c r="X274" s="208">
        <v>1092915</v>
      </c>
      <c r="Y274" s="208">
        <v>29189</v>
      </c>
      <c r="Z274" s="208">
        <v>1122104</v>
      </c>
      <c r="AA274" s="208">
        <v>11658</v>
      </c>
      <c r="AB274" s="208">
        <v>0</v>
      </c>
      <c r="AC274" s="208">
        <v>1133762</v>
      </c>
      <c r="AD274" s="209">
        <v>77.948573392918533</v>
      </c>
    </row>
    <row r="275" spans="1:30" ht="13.5" thickBot="1" x14ac:dyDescent="0.25">
      <c r="A275" s="48" t="s">
        <v>458</v>
      </c>
      <c r="B275" s="47" t="s">
        <v>457</v>
      </c>
      <c r="C275" s="48" t="s">
        <v>22</v>
      </c>
      <c r="D275" s="48" t="s">
        <v>2010</v>
      </c>
      <c r="E275" s="129" t="s">
        <v>20</v>
      </c>
      <c r="F275" s="129" t="s">
        <v>21</v>
      </c>
      <c r="G275" s="108">
        <v>13452</v>
      </c>
      <c r="H275" s="87" t="s">
        <v>1649</v>
      </c>
      <c r="I275" s="205">
        <v>0</v>
      </c>
      <c r="J275" s="207">
        <v>12084</v>
      </c>
      <c r="K275" s="208">
        <v>12535</v>
      </c>
      <c r="L275" s="208">
        <v>511126</v>
      </c>
      <c r="M275" s="208">
        <v>2282</v>
      </c>
      <c r="N275" s="208">
        <v>0</v>
      </c>
      <c r="O275" s="208">
        <v>525943</v>
      </c>
      <c r="P275" s="208">
        <v>23453</v>
      </c>
      <c r="Q275" s="207">
        <v>1368</v>
      </c>
      <c r="R275" s="208">
        <v>3815</v>
      </c>
      <c r="S275" s="208">
        <v>0</v>
      </c>
      <c r="T275" s="208">
        <v>0</v>
      </c>
      <c r="U275" s="208">
        <v>0</v>
      </c>
      <c r="V275" s="208">
        <v>3815</v>
      </c>
      <c r="W275" s="208">
        <v>0</v>
      </c>
      <c r="X275" s="208">
        <v>529758</v>
      </c>
      <c r="Y275" s="208">
        <v>23453</v>
      </c>
      <c r="Z275" s="208">
        <v>553211</v>
      </c>
      <c r="AA275" s="208">
        <v>10782</v>
      </c>
      <c r="AB275" s="208">
        <v>0</v>
      </c>
      <c r="AC275" s="208">
        <v>563993</v>
      </c>
      <c r="AD275" s="209">
        <v>41.926330657151354</v>
      </c>
    </row>
    <row r="276" spans="1:30" ht="13.5" thickBot="1" x14ac:dyDescent="0.25">
      <c r="A276" s="48" t="s">
        <v>472</v>
      </c>
      <c r="B276" s="47" t="s">
        <v>471</v>
      </c>
      <c r="C276" s="48" t="s">
        <v>22</v>
      </c>
      <c r="D276" s="48" t="s">
        <v>2581</v>
      </c>
      <c r="E276" s="129" t="s">
        <v>101</v>
      </c>
      <c r="F276" s="129" t="s">
        <v>102</v>
      </c>
      <c r="G276" s="108">
        <v>22995</v>
      </c>
      <c r="H276" s="87" t="s">
        <v>1648</v>
      </c>
      <c r="I276" s="205">
        <v>30000</v>
      </c>
      <c r="J276" s="207">
        <v>22995</v>
      </c>
      <c r="K276" s="208">
        <v>101270</v>
      </c>
      <c r="L276" s="208">
        <v>1253903</v>
      </c>
      <c r="M276" s="203">
        <v>0</v>
      </c>
      <c r="N276" s="208">
        <v>47128</v>
      </c>
      <c r="O276" s="208">
        <v>1402301</v>
      </c>
      <c r="P276" s="208">
        <v>21910</v>
      </c>
      <c r="Q276" s="210">
        <v>0</v>
      </c>
      <c r="R276" s="203">
        <v>0</v>
      </c>
      <c r="S276" s="203">
        <v>0</v>
      </c>
      <c r="T276" s="203">
        <v>0</v>
      </c>
      <c r="U276" s="203">
        <v>0</v>
      </c>
      <c r="V276" s="203">
        <v>0</v>
      </c>
      <c r="W276" s="203">
        <v>0</v>
      </c>
      <c r="X276" s="208">
        <v>1402301</v>
      </c>
      <c r="Y276" s="208">
        <v>21910</v>
      </c>
      <c r="Z276" s="208">
        <v>1424211</v>
      </c>
      <c r="AA276" s="208">
        <v>23360</v>
      </c>
      <c r="AB276" s="208">
        <v>0</v>
      </c>
      <c r="AC276" s="208">
        <v>1447571</v>
      </c>
      <c r="AD276" s="209">
        <v>62.951554685801263</v>
      </c>
    </row>
    <row r="277" spans="1:30" ht="13.5" thickBot="1" x14ac:dyDescent="0.25">
      <c r="A277" s="48" t="s">
        <v>482</v>
      </c>
      <c r="B277" s="47" t="s">
        <v>481</v>
      </c>
      <c r="C277" s="48" t="s">
        <v>22</v>
      </c>
      <c r="D277" s="48" t="s">
        <v>1960</v>
      </c>
      <c r="E277" s="129" t="s">
        <v>20</v>
      </c>
      <c r="F277" s="129" t="s">
        <v>21</v>
      </c>
      <c r="G277" s="108">
        <v>14948</v>
      </c>
      <c r="H277" s="87" t="s">
        <v>1649</v>
      </c>
      <c r="I277" s="205">
        <v>0</v>
      </c>
      <c r="J277" s="207">
        <v>14948</v>
      </c>
      <c r="K277" s="208">
        <v>22892</v>
      </c>
      <c r="L277" s="208">
        <v>948359.97</v>
      </c>
      <c r="M277" s="203">
        <v>0</v>
      </c>
      <c r="N277" s="208">
        <v>0</v>
      </c>
      <c r="O277" s="208">
        <v>971251.97</v>
      </c>
      <c r="P277" s="208">
        <v>37896</v>
      </c>
      <c r="Q277" s="210">
        <v>0</v>
      </c>
      <c r="R277" s="208">
        <v>0</v>
      </c>
      <c r="S277" s="208">
        <v>0</v>
      </c>
      <c r="T277" s="208">
        <v>0</v>
      </c>
      <c r="U277" s="208">
        <v>0</v>
      </c>
      <c r="V277" s="208">
        <v>0</v>
      </c>
      <c r="W277" s="208">
        <v>0</v>
      </c>
      <c r="X277" s="208">
        <v>971251.97</v>
      </c>
      <c r="Y277" s="208">
        <v>37896</v>
      </c>
      <c r="Z277" s="208">
        <v>1009147.97</v>
      </c>
      <c r="AA277" s="208">
        <v>11981</v>
      </c>
      <c r="AB277" s="208">
        <v>0</v>
      </c>
      <c r="AC277" s="208">
        <v>1021128.97</v>
      </c>
      <c r="AD277" s="209">
        <v>68.312079876906608</v>
      </c>
    </row>
    <row r="278" spans="1:30" ht="13.5" thickBot="1" x14ac:dyDescent="0.25">
      <c r="A278" s="48" t="s">
        <v>486</v>
      </c>
      <c r="B278" s="47" t="s">
        <v>485</v>
      </c>
      <c r="C278" s="48" t="s">
        <v>22</v>
      </c>
      <c r="D278" s="48" t="s">
        <v>2057</v>
      </c>
      <c r="E278" s="129" t="s">
        <v>20</v>
      </c>
      <c r="F278" s="129" t="s">
        <v>21</v>
      </c>
      <c r="G278" s="108">
        <v>18393</v>
      </c>
      <c r="H278" s="87" t="s">
        <v>1649</v>
      </c>
      <c r="I278" s="205">
        <v>0</v>
      </c>
      <c r="J278" s="207">
        <v>8365</v>
      </c>
      <c r="K278" s="208">
        <v>61431</v>
      </c>
      <c r="L278" s="203">
        <v>0</v>
      </c>
      <c r="M278" s="208">
        <v>373260</v>
      </c>
      <c r="N278" s="208">
        <v>9799</v>
      </c>
      <c r="O278" s="208">
        <v>444490</v>
      </c>
      <c r="P278" s="208">
        <v>120993</v>
      </c>
      <c r="Q278" s="207">
        <v>10028</v>
      </c>
      <c r="R278" s="208">
        <v>73643</v>
      </c>
      <c r="S278" s="203">
        <v>0</v>
      </c>
      <c r="T278" s="203">
        <v>0</v>
      </c>
      <c r="U278" s="208">
        <v>189583</v>
      </c>
      <c r="V278" s="208">
        <v>263226</v>
      </c>
      <c r="W278" s="203">
        <v>0</v>
      </c>
      <c r="X278" s="208">
        <v>707716</v>
      </c>
      <c r="Y278" s="208">
        <v>120993</v>
      </c>
      <c r="Z278" s="208">
        <v>828709</v>
      </c>
      <c r="AA278" s="208">
        <v>19723</v>
      </c>
      <c r="AB278" s="208">
        <v>0</v>
      </c>
      <c r="AC278" s="208">
        <v>848432</v>
      </c>
      <c r="AD278" s="209">
        <v>46.127983471973032</v>
      </c>
    </row>
    <row r="279" spans="1:30" ht="13.5" thickBot="1" x14ac:dyDescent="0.25">
      <c r="A279" s="48" t="s">
        <v>496</v>
      </c>
      <c r="B279" s="47" t="s">
        <v>495</v>
      </c>
      <c r="C279" s="48" t="s">
        <v>22</v>
      </c>
      <c r="D279" s="48" t="s">
        <v>2606</v>
      </c>
      <c r="E279" s="129" t="s">
        <v>101</v>
      </c>
      <c r="F279" s="129" t="s">
        <v>102</v>
      </c>
      <c r="G279" s="108">
        <v>14384</v>
      </c>
      <c r="H279" s="87" t="s">
        <v>1649</v>
      </c>
      <c r="I279" s="205">
        <v>0</v>
      </c>
      <c r="J279" s="207">
        <v>14384</v>
      </c>
      <c r="K279" s="208">
        <v>51533</v>
      </c>
      <c r="L279" s="203">
        <v>0</v>
      </c>
      <c r="M279" s="208">
        <v>249941</v>
      </c>
      <c r="N279" s="208">
        <v>9700</v>
      </c>
      <c r="O279" s="208">
        <v>311174</v>
      </c>
      <c r="P279" s="208">
        <v>850</v>
      </c>
      <c r="Q279" s="210">
        <v>0</v>
      </c>
      <c r="R279" s="203">
        <v>0</v>
      </c>
      <c r="S279" s="203">
        <v>0</v>
      </c>
      <c r="T279" s="203">
        <v>0</v>
      </c>
      <c r="U279" s="203">
        <v>0</v>
      </c>
      <c r="V279" s="203">
        <v>0</v>
      </c>
      <c r="W279" s="203">
        <v>0</v>
      </c>
      <c r="X279" s="208">
        <v>311174</v>
      </c>
      <c r="Y279" s="208">
        <v>850</v>
      </c>
      <c r="Z279" s="208">
        <v>312024</v>
      </c>
      <c r="AA279" s="208">
        <v>15582</v>
      </c>
      <c r="AB279" s="208">
        <v>0</v>
      </c>
      <c r="AC279" s="208">
        <v>327606</v>
      </c>
      <c r="AD279" s="209">
        <v>22.775723025583982</v>
      </c>
    </row>
    <row r="280" spans="1:30" ht="13.5" thickBot="1" x14ac:dyDescent="0.25">
      <c r="A280" s="48" t="s">
        <v>500</v>
      </c>
      <c r="B280" s="47" t="s">
        <v>499</v>
      </c>
      <c r="C280" s="48" t="s">
        <v>22</v>
      </c>
      <c r="D280" s="48" t="s">
        <v>2612</v>
      </c>
      <c r="E280" s="129" t="s">
        <v>20</v>
      </c>
      <c r="F280" s="129" t="s">
        <v>21</v>
      </c>
      <c r="G280" s="108">
        <v>17511</v>
      </c>
      <c r="H280" s="87" t="s">
        <v>1649</v>
      </c>
      <c r="I280" s="205">
        <v>0</v>
      </c>
      <c r="J280" s="207">
        <v>5836</v>
      </c>
      <c r="K280" s="208">
        <v>24635</v>
      </c>
      <c r="L280" s="208">
        <v>295104</v>
      </c>
      <c r="M280" s="203">
        <v>0</v>
      </c>
      <c r="N280" s="203">
        <v>0</v>
      </c>
      <c r="O280" s="208">
        <v>319739</v>
      </c>
      <c r="P280" s="208">
        <v>74808</v>
      </c>
      <c r="Q280" s="207">
        <v>11675</v>
      </c>
      <c r="R280" s="208">
        <v>15672</v>
      </c>
      <c r="S280" s="208">
        <v>0</v>
      </c>
      <c r="T280" s="208">
        <v>0</v>
      </c>
      <c r="U280" s="208">
        <v>5000</v>
      </c>
      <c r="V280" s="208">
        <v>20672</v>
      </c>
      <c r="W280" s="208">
        <v>0</v>
      </c>
      <c r="X280" s="208">
        <v>340411</v>
      </c>
      <c r="Y280" s="208">
        <v>74808</v>
      </c>
      <c r="Z280" s="208">
        <v>415219</v>
      </c>
      <c r="AA280" s="208">
        <v>19203</v>
      </c>
      <c r="AB280" s="208">
        <v>0</v>
      </c>
      <c r="AC280" s="208">
        <v>434422</v>
      </c>
      <c r="AD280" s="209">
        <v>24.808520358631718</v>
      </c>
    </row>
    <row r="281" spans="1:30" ht="13.5" thickBot="1" x14ac:dyDescent="0.25">
      <c r="A281" s="48" t="s">
        <v>502</v>
      </c>
      <c r="B281" s="47" t="s">
        <v>501</v>
      </c>
      <c r="C281" s="48" t="s">
        <v>22</v>
      </c>
      <c r="D281" s="48" t="s">
        <v>1940</v>
      </c>
      <c r="E281" s="129" t="s">
        <v>15</v>
      </c>
      <c r="F281" s="129" t="s">
        <v>16</v>
      </c>
      <c r="G281" s="108">
        <v>15736</v>
      </c>
      <c r="H281" s="87" t="s">
        <v>1649</v>
      </c>
      <c r="I281" s="205">
        <v>0</v>
      </c>
      <c r="J281" s="207">
        <v>15736</v>
      </c>
      <c r="K281" s="208">
        <v>33611</v>
      </c>
      <c r="L281" s="208">
        <v>1024300</v>
      </c>
      <c r="M281" s="208">
        <v>0</v>
      </c>
      <c r="N281" s="208">
        <v>50274</v>
      </c>
      <c r="O281" s="208">
        <v>1108185</v>
      </c>
      <c r="P281" s="208">
        <v>41154</v>
      </c>
      <c r="Q281" s="210">
        <v>0</v>
      </c>
      <c r="R281" s="203">
        <v>0</v>
      </c>
      <c r="S281" s="203">
        <v>0</v>
      </c>
      <c r="T281" s="203">
        <v>0</v>
      </c>
      <c r="U281" s="203">
        <v>0</v>
      </c>
      <c r="V281" s="203">
        <v>0</v>
      </c>
      <c r="W281" s="203">
        <v>0</v>
      </c>
      <c r="X281" s="208">
        <v>1108185</v>
      </c>
      <c r="Y281" s="208">
        <v>41154</v>
      </c>
      <c r="Z281" s="208">
        <v>1149339</v>
      </c>
      <c r="AA281" s="208">
        <v>12613</v>
      </c>
      <c r="AB281" s="208">
        <v>0</v>
      </c>
      <c r="AC281" s="208">
        <v>1161952</v>
      </c>
      <c r="AD281" s="209">
        <v>73.840366039654299</v>
      </c>
    </row>
    <row r="282" spans="1:30" ht="13.5" thickBot="1" x14ac:dyDescent="0.25">
      <c r="A282" s="48" t="s">
        <v>506</v>
      </c>
      <c r="B282" s="47" t="s">
        <v>505</v>
      </c>
      <c r="C282" s="48" t="s">
        <v>22</v>
      </c>
      <c r="D282" s="48" t="s">
        <v>2324</v>
      </c>
      <c r="E282" s="129" t="s">
        <v>15</v>
      </c>
      <c r="F282" s="129" t="s">
        <v>16</v>
      </c>
      <c r="G282" s="108">
        <v>13097</v>
      </c>
      <c r="H282" s="87" t="s">
        <v>1649</v>
      </c>
      <c r="I282" s="205">
        <v>0</v>
      </c>
      <c r="J282" s="207">
        <v>13097</v>
      </c>
      <c r="K282" s="208">
        <v>38220</v>
      </c>
      <c r="L282" s="208">
        <v>121566</v>
      </c>
      <c r="M282" s="208">
        <v>34798</v>
      </c>
      <c r="N282" s="208">
        <v>3567</v>
      </c>
      <c r="O282" s="208">
        <v>198151</v>
      </c>
      <c r="P282" s="208">
        <v>14957</v>
      </c>
      <c r="Q282" s="210">
        <v>0</v>
      </c>
      <c r="R282" s="203">
        <v>0</v>
      </c>
      <c r="S282" s="203">
        <v>0</v>
      </c>
      <c r="T282" s="203">
        <v>0</v>
      </c>
      <c r="U282" s="203">
        <v>0</v>
      </c>
      <c r="V282" s="203">
        <v>0</v>
      </c>
      <c r="W282" s="203">
        <v>0</v>
      </c>
      <c r="X282" s="208">
        <v>198151</v>
      </c>
      <c r="Y282" s="208">
        <v>14957</v>
      </c>
      <c r="Z282" s="208">
        <v>213108</v>
      </c>
      <c r="AA282" s="208">
        <v>0</v>
      </c>
      <c r="AB282" s="208">
        <v>0</v>
      </c>
      <c r="AC282" s="208">
        <v>213108</v>
      </c>
      <c r="AD282" s="209">
        <v>16.271512560128272</v>
      </c>
    </row>
    <row r="283" spans="1:30" ht="13.5" thickBot="1" x14ac:dyDescent="0.25">
      <c r="A283" s="48" t="s">
        <v>516</v>
      </c>
      <c r="B283" s="47" t="s">
        <v>515</v>
      </c>
      <c r="C283" s="48" t="s">
        <v>22</v>
      </c>
      <c r="D283" s="48" t="s">
        <v>2010</v>
      </c>
      <c r="E283" s="129" t="s">
        <v>20</v>
      </c>
      <c r="F283" s="129" t="s">
        <v>21</v>
      </c>
      <c r="G283" s="108">
        <v>22857</v>
      </c>
      <c r="H283" s="87" t="s">
        <v>1649</v>
      </c>
      <c r="I283" s="205">
        <v>0</v>
      </c>
      <c r="J283" s="207">
        <v>22857</v>
      </c>
      <c r="K283" s="208">
        <v>21624</v>
      </c>
      <c r="L283" s="208">
        <v>1198855</v>
      </c>
      <c r="M283" s="208">
        <v>85823</v>
      </c>
      <c r="N283" s="208">
        <v>2932</v>
      </c>
      <c r="O283" s="208">
        <v>1309234</v>
      </c>
      <c r="P283" s="208">
        <v>2347</v>
      </c>
      <c r="Q283" s="210">
        <v>0</v>
      </c>
      <c r="R283" s="203">
        <v>0</v>
      </c>
      <c r="S283" s="203">
        <v>0</v>
      </c>
      <c r="T283" s="203">
        <v>0</v>
      </c>
      <c r="U283" s="203">
        <v>0</v>
      </c>
      <c r="V283" s="203">
        <v>0</v>
      </c>
      <c r="W283" s="203">
        <v>0</v>
      </c>
      <c r="X283" s="208">
        <v>1309234</v>
      </c>
      <c r="Y283" s="208">
        <v>2347</v>
      </c>
      <c r="Z283" s="208">
        <v>1311581</v>
      </c>
      <c r="AA283" s="208">
        <v>83634</v>
      </c>
      <c r="AB283" s="208">
        <v>0</v>
      </c>
      <c r="AC283" s="208">
        <v>1395215</v>
      </c>
      <c r="AD283" s="209">
        <v>61.041037756485977</v>
      </c>
    </row>
    <row r="284" spans="1:30" ht="13.5" thickBot="1" x14ac:dyDescent="0.25">
      <c r="A284" s="48" t="s">
        <v>530</v>
      </c>
      <c r="B284" s="47" t="s">
        <v>529</v>
      </c>
      <c r="C284" s="48" t="s">
        <v>22</v>
      </c>
      <c r="D284" s="48" t="s">
        <v>2057</v>
      </c>
      <c r="E284" s="129" t="s">
        <v>101</v>
      </c>
      <c r="F284" s="129" t="s">
        <v>102</v>
      </c>
      <c r="G284" s="108">
        <v>24520</v>
      </c>
      <c r="H284" s="87" t="s">
        <v>1649</v>
      </c>
      <c r="I284" s="205">
        <v>0</v>
      </c>
      <c r="J284" s="207">
        <v>24520</v>
      </c>
      <c r="K284" s="208">
        <v>155438</v>
      </c>
      <c r="L284" s="208">
        <v>906397</v>
      </c>
      <c r="M284" s="208">
        <v>3027</v>
      </c>
      <c r="N284" s="208">
        <v>6591</v>
      </c>
      <c r="O284" s="208">
        <v>1071453</v>
      </c>
      <c r="P284" s="208">
        <v>121335</v>
      </c>
      <c r="Q284" s="210">
        <v>0</v>
      </c>
      <c r="R284" s="203">
        <v>0</v>
      </c>
      <c r="S284" s="203">
        <v>0</v>
      </c>
      <c r="T284" s="203">
        <v>0</v>
      </c>
      <c r="U284" s="203">
        <v>0</v>
      </c>
      <c r="V284" s="203">
        <v>0</v>
      </c>
      <c r="W284" s="203">
        <v>0</v>
      </c>
      <c r="X284" s="208">
        <v>1071453</v>
      </c>
      <c r="Y284" s="208">
        <v>121335</v>
      </c>
      <c r="Z284" s="208">
        <v>1192788</v>
      </c>
      <c r="AA284" s="208">
        <v>20564</v>
      </c>
      <c r="AB284" s="208">
        <v>57988</v>
      </c>
      <c r="AC284" s="208">
        <v>1271340</v>
      </c>
      <c r="AD284" s="209">
        <v>51.849102773246329</v>
      </c>
    </row>
    <row r="285" spans="1:30" ht="13.5" thickBot="1" x14ac:dyDescent="0.25">
      <c r="A285" s="48" t="s">
        <v>546</v>
      </c>
      <c r="B285" s="47" t="s">
        <v>545</v>
      </c>
      <c r="C285" s="48" t="s">
        <v>22</v>
      </c>
      <c r="D285" s="48" t="s">
        <v>2674</v>
      </c>
      <c r="E285" s="129" t="s">
        <v>101</v>
      </c>
      <c r="F285" s="129" t="s">
        <v>102</v>
      </c>
      <c r="G285" s="108">
        <v>12561</v>
      </c>
      <c r="H285" s="87" t="s">
        <v>1648</v>
      </c>
      <c r="I285" s="205">
        <v>18567</v>
      </c>
      <c r="J285" s="207">
        <v>5092</v>
      </c>
      <c r="K285" s="208">
        <v>61860</v>
      </c>
      <c r="L285" s="208">
        <v>132325</v>
      </c>
      <c r="M285" s="203">
        <v>0</v>
      </c>
      <c r="N285" s="203">
        <v>0</v>
      </c>
      <c r="O285" s="208">
        <v>194185</v>
      </c>
      <c r="P285" s="203">
        <v>0</v>
      </c>
      <c r="Q285" s="207">
        <v>7469</v>
      </c>
      <c r="R285" s="208">
        <v>90737</v>
      </c>
      <c r="S285" s="203">
        <v>0</v>
      </c>
      <c r="T285" s="203">
        <v>0</v>
      </c>
      <c r="U285" s="203">
        <v>0</v>
      </c>
      <c r="V285" s="208">
        <v>90737</v>
      </c>
      <c r="W285" s="203">
        <v>0</v>
      </c>
      <c r="X285" s="208">
        <v>284922</v>
      </c>
      <c r="Y285" s="203">
        <v>0</v>
      </c>
      <c r="Z285" s="208">
        <v>284922</v>
      </c>
      <c r="AA285" s="208">
        <v>10056</v>
      </c>
      <c r="AB285" s="208">
        <v>0</v>
      </c>
      <c r="AC285" s="208">
        <v>294978</v>
      </c>
      <c r="AD285" s="209">
        <v>23.483639837592548</v>
      </c>
    </row>
    <row r="286" spans="1:30" ht="13.5" thickBot="1" x14ac:dyDescent="0.25">
      <c r="A286" s="48" t="s">
        <v>556</v>
      </c>
      <c r="B286" s="47" t="s">
        <v>555</v>
      </c>
      <c r="C286" s="48" t="s">
        <v>22</v>
      </c>
      <c r="D286" s="48" t="s">
        <v>2682</v>
      </c>
      <c r="E286" s="129" t="s">
        <v>15</v>
      </c>
      <c r="F286" s="129" t="s">
        <v>16</v>
      </c>
      <c r="G286" s="108">
        <v>24164</v>
      </c>
      <c r="H286" s="87" t="s">
        <v>1649</v>
      </c>
      <c r="I286" s="205">
        <v>0</v>
      </c>
      <c r="J286" s="207">
        <v>24164</v>
      </c>
      <c r="K286" s="208">
        <v>143641</v>
      </c>
      <c r="L286" s="208">
        <v>516141</v>
      </c>
      <c r="M286" s="208">
        <v>0</v>
      </c>
      <c r="N286" s="208">
        <v>17155</v>
      </c>
      <c r="O286" s="208">
        <v>676937</v>
      </c>
      <c r="P286" s="208">
        <v>61858</v>
      </c>
      <c r="Q286" s="210">
        <v>0</v>
      </c>
      <c r="R286" s="208">
        <v>0</v>
      </c>
      <c r="S286" s="208">
        <v>0</v>
      </c>
      <c r="T286" s="208">
        <v>0</v>
      </c>
      <c r="U286" s="208">
        <v>0</v>
      </c>
      <c r="V286" s="208">
        <v>0</v>
      </c>
      <c r="W286" s="208">
        <v>0</v>
      </c>
      <c r="X286" s="208">
        <v>676937</v>
      </c>
      <c r="Y286" s="208">
        <v>61858</v>
      </c>
      <c r="Z286" s="208">
        <v>738795</v>
      </c>
      <c r="AA286" s="208">
        <v>22155</v>
      </c>
      <c r="AB286" s="208">
        <v>30997</v>
      </c>
      <c r="AC286" s="208">
        <v>791947</v>
      </c>
      <c r="AD286" s="209">
        <v>32.77383711306075</v>
      </c>
    </row>
    <row r="287" spans="1:30" ht="13.5" thickBot="1" x14ac:dyDescent="0.25">
      <c r="A287" s="48" t="s">
        <v>558</v>
      </c>
      <c r="B287" s="47" t="s">
        <v>557</v>
      </c>
      <c r="C287" s="48" t="s">
        <v>22</v>
      </c>
      <c r="D287" s="48" t="s">
        <v>1973</v>
      </c>
      <c r="E287" s="129" t="s">
        <v>15</v>
      </c>
      <c r="F287" s="129" t="s">
        <v>16</v>
      </c>
      <c r="G287" s="108">
        <v>14230</v>
      </c>
      <c r="H287" s="87" t="s">
        <v>1648</v>
      </c>
      <c r="I287" s="205">
        <v>40000</v>
      </c>
      <c r="J287" s="207">
        <v>13312</v>
      </c>
      <c r="K287" s="208">
        <v>70820</v>
      </c>
      <c r="L287" s="208">
        <v>395087</v>
      </c>
      <c r="M287" s="203">
        <v>0</v>
      </c>
      <c r="N287" s="208">
        <v>102934</v>
      </c>
      <c r="O287" s="208">
        <v>568841</v>
      </c>
      <c r="P287" s="208">
        <v>45699</v>
      </c>
      <c r="Q287" s="207">
        <v>918</v>
      </c>
      <c r="R287" s="208">
        <v>5330</v>
      </c>
      <c r="S287" s="203">
        <v>0</v>
      </c>
      <c r="T287" s="203">
        <v>0</v>
      </c>
      <c r="U287" s="203">
        <v>0</v>
      </c>
      <c r="V287" s="208">
        <v>5330</v>
      </c>
      <c r="W287" s="208">
        <v>7749</v>
      </c>
      <c r="X287" s="208">
        <v>574171</v>
      </c>
      <c r="Y287" s="208">
        <v>53448</v>
      </c>
      <c r="Z287" s="208">
        <v>627619</v>
      </c>
      <c r="AA287" s="208">
        <v>11405</v>
      </c>
      <c r="AB287" s="208">
        <v>5237</v>
      </c>
      <c r="AC287" s="208">
        <v>644261</v>
      </c>
      <c r="AD287" s="209">
        <v>45.274841883345047</v>
      </c>
    </row>
    <row r="288" spans="1:30" ht="13.5" thickBot="1" x14ac:dyDescent="0.25">
      <c r="A288" s="48" t="s">
        <v>562</v>
      </c>
      <c r="B288" s="47" t="s">
        <v>561</v>
      </c>
      <c r="C288" s="48" t="s">
        <v>22</v>
      </c>
      <c r="D288" s="48" t="s">
        <v>1940</v>
      </c>
      <c r="E288" s="129" t="s">
        <v>15</v>
      </c>
      <c r="F288" s="129" t="s">
        <v>16</v>
      </c>
      <c r="G288" s="108">
        <v>20526</v>
      </c>
      <c r="H288" s="87" t="s">
        <v>1649</v>
      </c>
      <c r="I288" s="205">
        <v>0</v>
      </c>
      <c r="J288" s="207">
        <v>20526</v>
      </c>
      <c r="K288" s="208">
        <v>35350</v>
      </c>
      <c r="L288" s="208">
        <v>1192170</v>
      </c>
      <c r="M288" s="208">
        <v>0</v>
      </c>
      <c r="N288" s="208">
        <v>66824</v>
      </c>
      <c r="O288" s="208">
        <v>1294344</v>
      </c>
      <c r="P288" s="208">
        <v>50259</v>
      </c>
      <c r="Q288" s="210">
        <v>0</v>
      </c>
      <c r="R288" s="203">
        <v>0</v>
      </c>
      <c r="S288" s="203">
        <v>0</v>
      </c>
      <c r="T288" s="203">
        <v>0</v>
      </c>
      <c r="U288" s="203">
        <v>0</v>
      </c>
      <c r="V288" s="203">
        <v>0</v>
      </c>
      <c r="W288" s="203">
        <v>0</v>
      </c>
      <c r="X288" s="208">
        <v>1294344</v>
      </c>
      <c r="Y288" s="208">
        <v>50259</v>
      </c>
      <c r="Z288" s="208">
        <v>1344603</v>
      </c>
      <c r="AA288" s="208">
        <v>16432</v>
      </c>
      <c r="AB288" s="208">
        <v>0</v>
      </c>
      <c r="AC288" s="208">
        <v>1361035</v>
      </c>
      <c r="AD288" s="209">
        <v>66.307853454155705</v>
      </c>
    </row>
    <row r="289" spans="1:30" ht="13.5" thickBot="1" x14ac:dyDescent="0.25">
      <c r="A289" s="48" t="s">
        <v>570</v>
      </c>
      <c r="B289" s="47" t="s">
        <v>569</v>
      </c>
      <c r="C289" s="48" t="s">
        <v>22</v>
      </c>
      <c r="D289" s="48" t="s">
        <v>2446</v>
      </c>
      <c r="E289" s="129" t="s">
        <v>15</v>
      </c>
      <c r="F289" s="129" t="s">
        <v>16</v>
      </c>
      <c r="G289" s="108">
        <v>13579</v>
      </c>
      <c r="H289" s="87" t="s">
        <v>1649</v>
      </c>
      <c r="I289" s="205">
        <v>0</v>
      </c>
      <c r="J289" s="207">
        <v>13579</v>
      </c>
      <c r="K289" s="208">
        <v>54528</v>
      </c>
      <c r="L289" s="208">
        <v>789818</v>
      </c>
      <c r="M289" s="208">
        <v>41143</v>
      </c>
      <c r="N289" s="208">
        <v>0</v>
      </c>
      <c r="O289" s="208">
        <v>885489</v>
      </c>
      <c r="P289" s="208">
        <v>38776</v>
      </c>
      <c r="Q289" s="210">
        <v>0</v>
      </c>
      <c r="R289" s="203">
        <v>0</v>
      </c>
      <c r="S289" s="203">
        <v>0</v>
      </c>
      <c r="T289" s="203">
        <v>0</v>
      </c>
      <c r="U289" s="203">
        <v>0</v>
      </c>
      <c r="V289" s="203">
        <v>0</v>
      </c>
      <c r="W289" s="203">
        <v>0</v>
      </c>
      <c r="X289" s="208">
        <v>885489</v>
      </c>
      <c r="Y289" s="208">
        <v>38776</v>
      </c>
      <c r="Z289" s="208">
        <v>924265</v>
      </c>
      <c r="AA289" s="208">
        <v>10884</v>
      </c>
      <c r="AB289" s="208">
        <v>0</v>
      </c>
      <c r="AC289" s="208">
        <v>935149</v>
      </c>
      <c r="AD289" s="209">
        <v>68.86729508800353</v>
      </c>
    </row>
    <row r="290" spans="1:30" ht="13.5" thickBot="1" x14ac:dyDescent="0.25">
      <c r="A290" s="48" t="s">
        <v>580</v>
      </c>
      <c r="B290" s="47" t="s">
        <v>579</v>
      </c>
      <c r="C290" s="48" t="s">
        <v>22</v>
      </c>
      <c r="D290" s="48" t="s">
        <v>1958</v>
      </c>
      <c r="E290" s="129" t="s">
        <v>15</v>
      </c>
      <c r="F290" s="129" t="s">
        <v>16</v>
      </c>
      <c r="G290" s="108">
        <v>16709</v>
      </c>
      <c r="H290" s="87" t="s">
        <v>1649</v>
      </c>
      <c r="I290" s="205">
        <v>0</v>
      </c>
      <c r="J290" s="207">
        <v>5670</v>
      </c>
      <c r="K290" s="208">
        <v>22514</v>
      </c>
      <c r="L290" s="208">
        <v>549587</v>
      </c>
      <c r="M290" s="208">
        <v>0</v>
      </c>
      <c r="N290" s="208">
        <v>0</v>
      </c>
      <c r="O290" s="208">
        <v>572101</v>
      </c>
      <c r="P290" s="208">
        <v>39598</v>
      </c>
      <c r="Q290" s="207">
        <v>11039</v>
      </c>
      <c r="R290" s="208">
        <v>43833</v>
      </c>
      <c r="S290" s="208">
        <v>477752</v>
      </c>
      <c r="T290" s="203">
        <v>0</v>
      </c>
      <c r="U290" s="203">
        <v>0</v>
      </c>
      <c r="V290" s="208">
        <v>521585</v>
      </c>
      <c r="W290" s="203">
        <v>0</v>
      </c>
      <c r="X290" s="208">
        <v>1093686</v>
      </c>
      <c r="Y290" s="208">
        <v>39598</v>
      </c>
      <c r="Z290" s="208">
        <v>1133284</v>
      </c>
      <c r="AA290" s="208">
        <v>13377</v>
      </c>
      <c r="AB290" s="208">
        <v>0</v>
      </c>
      <c r="AC290" s="208">
        <v>1146661</v>
      </c>
      <c r="AD290" s="209">
        <v>68.625351606918429</v>
      </c>
    </row>
    <row r="291" spans="1:30" ht="13.5" thickBot="1" x14ac:dyDescent="0.25">
      <c r="A291" s="48" t="s">
        <v>596</v>
      </c>
      <c r="B291" s="47" t="s">
        <v>595</v>
      </c>
      <c r="C291" s="48" t="s">
        <v>22</v>
      </c>
      <c r="D291" s="48" t="s">
        <v>2131</v>
      </c>
      <c r="E291" s="129" t="s">
        <v>20</v>
      </c>
      <c r="F291" s="129" t="s">
        <v>21</v>
      </c>
      <c r="G291" s="108">
        <v>19629</v>
      </c>
      <c r="H291" s="87" t="s">
        <v>1648</v>
      </c>
      <c r="I291" s="205">
        <v>15000</v>
      </c>
      <c r="J291" s="207">
        <v>10929</v>
      </c>
      <c r="K291" s="208">
        <v>12904</v>
      </c>
      <c r="L291" s="208">
        <v>492845</v>
      </c>
      <c r="M291" s="208">
        <v>9846</v>
      </c>
      <c r="N291" s="208">
        <v>4000</v>
      </c>
      <c r="O291" s="208">
        <v>519595</v>
      </c>
      <c r="P291" s="208">
        <v>83342</v>
      </c>
      <c r="Q291" s="207">
        <v>8700</v>
      </c>
      <c r="R291" s="208">
        <v>8059</v>
      </c>
      <c r="S291" s="203">
        <v>0</v>
      </c>
      <c r="T291" s="203">
        <v>0</v>
      </c>
      <c r="U291" s="208">
        <v>48075</v>
      </c>
      <c r="V291" s="208">
        <v>56134</v>
      </c>
      <c r="W291" s="203">
        <v>0</v>
      </c>
      <c r="X291" s="208">
        <v>575729</v>
      </c>
      <c r="Y291" s="208">
        <v>83342</v>
      </c>
      <c r="Z291" s="208">
        <v>659071</v>
      </c>
      <c r="AA291" s="208">
        <v>15715</v>
      </c>
      <c r="AB291" s="208">
        <v>0</v>
      </c>
      <c r="AC291" s="208">
        <v>674786</v>
      </c>
      <c r="AD291" s="209">
        <v>34.376993224310965</v>
      </c>
    </row>
    <row r="292" spans="1:30" ht="13.5" thickBot="1" x14ac:dyDescent="0.25">
      <c r="A292" s="48" t="s">
        <v>598</v>
      </c>
      <c r="B292" s="47" t="s">
        <v>597</v>
      </c>
      <c r="C292" s="48" t="s">
        <v>22</v>
      </c>
      <c r="D292" s="48" t="s">
        <v>2002</v>
      </c>
      <c r="E292" s="129" t="s">
        <v>20</v>
      </c>
      <c r="F292" s="129" t="s">
        <v>21</v>
      </c>
      <c r="G292" s="108">
        <v>13912</v>
      </c>
      <c r="H292" s="87" t="s">
        <v>1648</v>
      </c>
      <c r="I292" s="205">
        <v>10000</v>
      </c>
      <c r="J292" s="207">
        <v>10275</v>
      </c>
      <c r="K292" s="208">
        <v>40255</v>
      </c>
      <c r="L292" s="208">
        <v>383211</v>
      </c>
      <c r="M292" s="208">
        <v>0</v>
      </c>
      <c r="N292" s="208">
        <v>0</v>
      </c>
      <c r="O292" s="208">
        <v>423466</v>
      </c>
      <c r="P292" s="208">
        <v>22848</v>
      </c>
      <c r="Q292" s="207">
        <v>3637</v>
      </c>
      <c r="R292" s="208">
        <v>14721</v>
      </c>
      <c r="S292" s="208">
        <v>53660</v>
      </c>
      <c r="T292" s="208">
        <v>0</v>
      </c>
      <c r="U292" s="208">
        <v>300</v>
      </c>
      <c r="V292" s="208">
        <v>68681</v>
      </c>
      <c r="W292" s="208">
        <v>0</v>
      </c>
      <c r="X292" s="208">
        <v>492147</v>
      </c>
      <c r="Y292" s="208">
        <v>22848</v>
      </c>
      <c r="Z292" s="208">
        <v>514995</v>
      </c>
      <c r="AA292" s="208">
        <v>11151</v>
      </c>
      <c r="AB292" s="208">
        <v>0</v>
      </c>
      <c r="AC292" s="208">
        <v>526146</v>
      </c>
      <c r="AD292" s="209">
        <v>37.819580218516386</v>
      </c>
    </row>
    <row r="293" spans="1:30" ht="13.5" thickBot="1" x14ac:dyDescent="0.25">
      <c r="A293" s="48" t="s">
        <v>602</v>
      </c>
      <c r="B293" s="47" t="s">
        <v>601</v>
      </c>
      <c r="C293" s="48" t="s">
        <v>22</v>
      </c>
      <c r="D293" s="48" t="s">
        <v>2750</v>
      </c>
      <c r="E293" s="129" t="s">
        <v>15</v>
      </c>
      <c r="F293" s="129" t="s">
        <v>16</v>
      </c>
      <c r="G293" s="108">
        <v>14878</v>
      </c>
      <c r="H293" s="87" t="s">
        <v>1649</v>
      </c>
      <c r="I293" s="205">
        <v>0</v>
      </c>
      <c r="J293" s="207">
        <v>13376</v>
      </c>
      <c r="K293" s="208">
        <v>33971</v>
      </c>
      <c r="L293" s="208">
        <v>687078</v>
      </c>
      <c r="M293" s="203">
        <v>0</v>
      </c>
      <c r="N293" s="208">
        <v>12163</v>
      </c>
      <c r="O293" s="208">
        <v>733212</v>
      </c>
      <c r="P293" s="208">
        <v>62988</v>
      </c>
      <c r="Q293" s="207">
        <v>1502</v>
      </c>
      <c r="R293" s="208">
        <v>9727</v>
      </c>
      <c r="S293" s="203">
        <v>0</v>
      </c>
      <c r="T293" s="203">
        <v>0</v>
      </c>
      <c r="U293" s="203">
        <v>0</v>
      </c>
      <c r="V293" s="208">
        <v>9727</v>
      </c>
      <c r="W293" s="203">
        <v>0</v>
      </c>
      <c r="X293" s="208">
        <v>742939</v>
      </c>
      <c r="Y293" s="208">
        <v>62988</v>
      </c>
      <c r="Z293" s="208">
        <v>805927</v>
      </c>
      <c r="AA293" s="208">
        <v>11911</v>
      </c>
      <c r="AB293" s="208">
        <v>0</v>
      </c>
      <c r="AC293" s="208">
        <v>817838</v>
      </c>
      <c r="AD293" s="209">
        <v>54.969619572523186</v>
      </c>
    </row>
    <row r="294" spans="1:30" ht="13.5" thickBot="1" x14ac:dyDescent="0.25">
      <c r="A294" s="48" t="s">
        <v>636</v>
      </c>
      <c r="B294" s="47" t="s">
        <v>635</v>
      </c>
      <c r="C294" s="48" t="s">
        <v>22</v>
      </c>
      <c r="D294" s="48" t="s">
        <v>1979</v>
      </c>
      <c r="E294" s="129" t="s">
        <v>20</v>
      </c>
      <c r="F294" s="129" t="s">
        <v>21</v>
      </c>
      <c r="G294" s="108">
        <v>12486</v>
      </c>
      <c r="H294" s="87" t="s">
        <v>1649</v>
      </c>
      <c r="I294" s="205">
        <v>0</v>
      </c>
      <c r="J294" s="207">
        <v>12486</v>
      </c>
      <c r="K294" s="208">
        <v>9763</v>
      </c>
      <c r="L294" s="208">
        <v>256173</v>
      </c>
      <c r="M294" s="203">
        <v>0</v>
      </c>
      <c r="N294" s="208">
        <v>85000</v>
      </c>
      <c r="O294" s="208">
        <v>350936</v>
      </c>
      <c r="P294" s="208">
        <v>5878</v>
      </c>
      <c r="Q294" s="210">
        <v>0</v>
      </c>
      <c r="R294" s="203">
        <v>0</v>
      </c>
      <c r="S294" s="203">
        <v>0</v>
      </c>
      <c r="T294" s="203">
        <v>0</v>
      </c>
      <c r="U294" s="203">
        <v>0</v>
      </c>
      <c r="V294" s="203">
        <v>0</v>
      </c>
      <c r="W294" s="203">
        <v>0</v>
      </c>
      <c r="X294" s="208">
        <v>350936</v>
      </c>
      <c r="Y294" s="208">
        <v>5878</v>
      </c>
      <c r="Z294" s="208">
        <v>356814</v>
      </c>
      <c r="AA294" s="208">
        <v>15048</v>
      </c>
      <c r="AB294" s="208">
        <v>0</v>
      </c>
      <c r="AC294" s="208">
        <v>371862</v>
      </c>
      <c r="AD294" s="209">
        <v>29.782316194137433</v>
      </c>
    </row>
    <row r="295" spans="1:30" ht="13.5" thickBot="1" x14ac:dyDescent="0.25">
      <c r="A295" s="48" t="s">
        <v>662</v>
      </c>
      <c r="B295" s="47" t="s">
        <v>661</v>
      </c>
      <c r="C295" s="48" t="s">
        <v>22</v>
      </c>
      <c r="D295" s="48" t="s">
        <v>2006</v>
      </c>
      <c r="E295" s="129" t="s">
        <v>20</v>
      </c>
      <c r="F295" s="129" t="s">
        <v>21</v>
      </c>
      <c r="G295" s="108">
        <v>16753</v>
      </c>
      <c r="H295" s="87" t="s">
        <v>1648</v>
      </c>
      <c r="I295" s="205">
        <v>18000</v>
      </c>
      <c r="J295" s="207">
        <v>16753</v>
      </c>
      <c r="K295" s="208">
        <v>43956</v>
      </c>
      <c r="L295" s="208">
        <v>1483700</v>
      </c>
      <c r="M295" s="208">
        <v>0</v>
      </c>
      <c r="N295" s="208">
        <v>15140</v>
      </c>
      <c r="O295" s="208">
        <v>1542796</v>
      </c>
      <c r="P295" s="208">
        <v>102196</v>
      </c>
      <c r="Q295" s="210">
        <v>0</v>
      </c>
      <c r="R295" s="208">
        <v>0</v>
      </c>
      <c r="S295" s="208">
        <v>0</v>
      </c>
      <c r="T295" s="208">
        <v>0</v>
      </c>
      <c r="U295" s="208">
        <v>0</v>
      </c>
      <c r="V295" s="208">
        <v>0</v>
      </c>
      <c r="W295" s="208">
        <v>0</v>
      </c>
      <c r="X295" s="208">
        <v>1542796</v>
      </c>
      <c r="Y295" s="208">
        <v>102196</v>
      </c>
      <c r="Z295" s="208">
        <v>1644992</v>
      </c>
      <c r="AA295" s="208">
        <v>24913</v>
      </c>
      <c r="AB295" s="208">
        <v>0</v>
      </c>
      <c r="AC295" s="208">
        <v>1669905</v>
      </c>
      <c r="AD295" s="209">
        <v>99.677968125111917</v>
      </c>
    </row>
    <row r="296" spans="1:30" ht="13.5" thickBot="1" x14ac:dyDescent="0.25">
      <c r="A296" s="48" t="s">
        <v>704</v>
      </c>
      <c r="B296" s="47" t="s">
        <v>703</v>
      </c>
      <c r="C296" s="48" t="s">
        <v>22</v>
      </c>
      <c r="D296" s="48" t="s">
        <v>1980</v>
      </c>
      <c r="E296" s="129" t="s">
        <v>15</v>
      </c>
      <c r="F296" s="129" t="s">
        <v>16</v>
      </c>
      <c r="G296" s="108">
        <v>18260</v>
      </c>
      <c r="H296" s="87" t="s">
        <v>1649</v>
      </c>
      <c r="I296" s="205">
        <v>0</v>
      </c>
      <c r="J296" s="207">
        <v>14300</v>
      </c>
      <c r="K296" s="208">
        <v>57082</v>
      </c>
      <c r="L296" s="208">
        <v>1294134</v>
      </c>
      <c r="M296" s="208">
        <v>0</v>
      </c>
      <c r="N296" s="208">
        <v>755</v>
      </c>
      <c r="O296" s="208">
        <v>1351971</v>
      </c>
      <c r="P296" s="208">
        <v>204323</v>
      </c>
      <c r="Q296" s="207">
        <v>3960</v>
      </c>
      <c r="R296" s="208">
        <v>11052</v>
      </c>
      <c r="S296" s="208">
        <v>0</v>
      </c>
      <c r="T296" s="208">
        <v>0</v>
      </c>
      <c r="U296" s="208">
        <v>74816</v>
      </c>
      <c r="V296" s="208">
        <v>85868</v>
      </c>
      <c r="W296" s="208">
        <v>0</v>
      </c>
      <c r="X296" s="208">
        <v>1437839</v>
      </c>
      <c r="Y296" s="208">
        <v>204323</v>
      </c>
      <c r="Z296" s="208">
        <v>1642162</v>
      </c>
      <c r="AA296" s="208">
        <v>16954</v>
      </c>
      <c r="AB296" s="208">
        <v>0</v>
      </c>
      <c r="AC296" s="208">
        <v>1659116</v>
      </c>
      <c r="AD296" s="209">
        <v>90.860679079956185</v>
      </c>
    </row>
    <row r="297" spans="1:30" ht="13.5" thickBot="1" x14ac:dyDescent="0.25">
      <c r="A297" s="48" t="s">
        <v>706</v>
      </c>
      <c r="B297" s="47" t="s">
        <v>705</v>
      </c>
      <c r="C297" s="48" t="s">
        <v>22</v>
      </c>
      <c r="D297" s="48" t="s">
        <v>1940</v>
      </c>
      <c r="E297" s="129" t="s">
        <v>15</v>
      </c>
      <c r="F297" s="129" t="s">
        <v>16</v>
      </c>
      <c r="G297" s="108">
        <v>13940</v>
      </c>
      <c r="H297" s="87" t="s">
        <v>1649</v>
      </c>
      <c r="I297" s="205">
        <v>0</v>
      </c>
      <c r="J297" s="207">
        <v>13940</v>
      </c>
      <c r="K297" s="208">
        <v>29744</v>
      </c>
      <c r="L297" s="208">
        <v>588000</v>
      </c>
      <c r="M297" s="208">
        <v>646</v>
      </c>
      <c r="N297" s="208">
        <v>9631</v>
      </c>
      <c r="O297" s="208">
        <v>628021</v>
      </c>
      <c r="P297" s="208">
        <v>25771</v>
      </c>
      <c r="Q297" s="210">
        <v>0</v>
      </c>
      <c r="R297" s="203">
        <v>0</v>
      </c>
      <c r="S297" s="203">
        <v>0</v>
      </c>
      <c r="T297" s="203">
        <v>0</v>
      </c>
      <c r="U297" s="203">
        <v>0</v>
      </c>
      <c r="V297" s="203">
        <v>0</v>
      </c>
      <c r="W297" s="203">
        <v>0</v>
      </c>
      <c r="X297" s="208">
        <v>628021</v>
      </c>
      <c r="Y297" s="208">
        <v>25771</v>
      </c>
      <c r="Z297" s="208">
        <v>653792</v>
      </c>
      <c r="AA297" s="208">
        <v>11173</v>
      </c>
      <c r="AB297" s="208">
        <v>0</v>
      </c>
      <c r="AC297" s="208">
        <v>664965</v>
      </c>
      <c r="AD297" s="209">
        <v>47.701936872309901</v>
      </c>
    </row>
    <row r="298" spans="1:30" ht="13.5" thickBot="1" x14ac:dyDescent="0.25">
      <c r="A298" s="48" t="s">
        <v>712</v>
      </c>
      <c r="B298" s="47" t="s">
        <v>711</v>
      </c>
      <c r="C298" s="48" t="s">
        <v>22</v>
      </c>
      <c r="D298" s="48" t="s">
        <v>2126</v>
      </c>
      <c r="E298" s="129" t="s">
        <v>101</v>
      </c>
      <c r="F298" s="129" t="s">
        <v>102</v>
      </c>
      <c r="G298" s="108">
        <v>17937</v>
      </c>
      <c r="H298" s="87" t="s">
        <v>1649</v>
      </c>
      <c r="I298" s="205">
        <v>0</v>
      </c>
      <c r="J298" s="207">
        <v>17937</v>
      </c>
      <c r="K298" s="208">
        <v>37017</v>
      </c>
      <c r="L298" s="208">
        <v>518714</v>
      </c>
      <c r="M298" s="203">
        <v>0</v>
      </c>
      <c r="N298" s="208">
        <v>24886</v>
      </c>
      <c r="O298" s="208">
        <v>580617</v>
      </c>
      <c r="P298" s="208">
        <v>72541</v>
      </c>
      <c r="Q298" s="210">
        <v>0</v>
      </c>
      <c r="R298" s="203">
        <v>0</v>
      </c>
      <c r="S298" s="203">
        <v>0</v>
      </c>
      <c r="T298" s="203">
        <v>0</v>
      </c>
      <c r="U298" s="203">
        <v>0</v>
      </c>
      <c r="V298" s="203">
        <v>0</v>
      </c>
      <c r="W298" s="203">
        <v>0</v>
      </c>
      <c r="X298" s="208">
        <v>580617</v>
      </c>
      <c r="Y298" s="208">
        <v>72541</v>
      </c>
      <c r="Z298" s="208">
        <v>653158</v>
      </c>
      <c r="AA298" s="208">
        <v>14762</v>
      </c>
      <c r="AB298" s="208">
        <v>0</v>
      </c>
      <c r="AC298" s="208">
        <v>667920</v>
      </c>
      <c r="AD298" s="209">
        <v>37.236996153202874</v>
      </c>
    </row>
    <row r="299" spans="1:30" ht="13.5" thickBot="1" x14ac:dyDescent="0.25">
      <c r="A299" s="48" t="s">
        <v>730</v>
      </c>
      <c r="B299" s="47" t="s">
        <v>729</v>
      </c>
      <c r="C299" s="48" t="s">
        <v>22</v>
      </c>
      <c r="D299" s="48" t="s">
        <v>1947</v>
      </c>
      <c r="E299" s="129" t="s">
        <v>20</v>
      </c>
      <c r="F299" s="129" t="s">
        <v>21</v>
      </c>
      <c r="G299" s="108">
        <v>18134</v>
      </c>
      <c r="H299" s="87" t="s">
        <v>1649</v>
      </c>
      <c r="I299" s="205">
        <v>0</v>
      </c>
      <c r="J299" s="207">
        <v>18134</v>
      </c>
      <c r="K299" s="208">
        <v>40782</v>
      </c>
      <c r="L299" s="208">
        <v>802574</v>
      </c>
      <c r="M299" s="203">
        <v>0</v>
      </c>
      <c r="N299" s="203">
        <v>0</v>
      </c>
      <c r="O299" s="208">
        <v>843356</v>
      </c>
      <c r="P299" s="208">
        <v>54963</v>
      </c>
      <c r="Q299" s="210">
        <v>0</v>
      </c>
      <c r="R299" s="203">
        <v>0</v>
      </c>
      <c r="S299" s="203">
        <v>0</v>
      </c>
      <c r="T299" s="203">
        <v>0</v>
      </c>
      <c r="U299" s="203">
        <v>0</v>
      </c>
      <c r="V299" s="203">
        <v>0</v>
      </c>
      <c r="W299" s="203">
        <v>0</v>
      </c>
      <c r="X299" s="208">
        <v>843356</v>
      </c>
      <c r="Y299" s="208">
        <v>54963</v>
      </c>
      <c r="Z299" s="208">
        <v>898319</v>
      </c>
      <c r="AA299" s="208">
        <v>14535</v>
      </c>
      <c r="AB299" s="208">
        <v>0</v>
      </c>
      <c r="AC299" s="208">
        <v>912854</v>
      </c>
      <c r="AD299" s="209">
        <v>50.339362523436641</v>
      </c>
    </row>
    <row r="300" spans="1:30" ht="13.5" thickBot="1" x14ac:dyDescent="0.25">
      <c r="A300" s="48" t="s">
        <v>742</v>
      </c>
      <c r="B300" s="47" t="s">
        <v>741</v>
      </c>
      <c r="C300" s="48" t="s">
        <v>22</v>
      </c>
      <c r="D300" s="48" t="s">
        <v>2264</v>
      </c>
      <c r="E300" s="129" t="s">
        <v>20</v>
      </c>
      <c r="F300" s="129" t="s">
        <v>21</v>
      </c>
      <c r="G300" s="108">
        <v>15497</v>
      </c>
      <c r="H300" s="87" t="s">
        <v>1649</v>
      </c>
      <c r="I300" s="205">
        <v>0</v>
      </c>
      <c r="J300" s="207">
        <v>15303</v>
      </c>
      <c r="K300" s="208">
        <v>10611</v>
      </c>
      <c r="L300" s="203">
        <v>0</v>
      </c>
      <c r="M300" s="203">
        <v>0</v>
      </c>
      <c r="N300" s="208">
        <v>160694</v>
      </c>
      <c r="O300" s="208">
        <v>171305</v>
      </c>
      <c r="P300" s="208">
        <v>15</v>
      </c>
      <c r="Q300" s="207">
        <v>194</v>
      </c>
      <c r="R300" s="203">
        <v>0</v>
      </c>
      <c r="S300" s="203">
        <v>0</v>
      </c>
      <c r="T300" s="208">
        <v>1500</v>
      </c>
      <c r="U300" s="203">
        <v>0</v>
      </c>
      <c r="V300" s="208">
        <v>1500</v>
      </c>
      <c r="W300" s="203">
        <v>0</v>
      </c>
      <c r="X300" s="208">
        <v>172805</v>
      </c>
      <c r="Y300" s="208">
        <v>15</v>
      </c>
      <c r="Z300" s="208">
        <v>172820</v>
      </c>
      <c r="AA300" s="208">
        <v>12407</v>
      </c>
      <c r="AB300" s="208">
        <v>0</v>
      </c>
      <c r="AC300" s="208">
        <v>185227</v>
      </c>
      <c r="AD300" s="209">
        <v>11.952442408208039</v>
      </c>
    </row>
    <row r="301" spans="1:30" ht="13.5" thickBot="1" x14ac:dyDescent="0.25">
      <c r="A301" s="48" t="s">
        <v>746</v>
      </c>
      <c r="B301" s="47" t="s">
        <v>745</v>
      </c>
      <c r="C301" s="48" t="s">
        <v>22</v>
      </c>
      <c r="D301" s="48" t="s">
        <v>2126</v>
      </c>
      <c r="E301" s="129" t="s">
        <v>20</v>
      </c>
      <c r="F301" s="129" t="s">
        <v>21</v>
      </c>
      <c r="G301" s="108">
        <v>14253</v>
      </c>
      <c r="H301" s="87" t="s">
        <v>1649</v>
      </c>
      <c r="I301" s="205">
        <v>0</v>
      </c>
      <c r="J301" s="207">
        <v>7811</v>
      </c>
      <c r="K301" s="208">
        <v>29415</v>
      </c>
      <c r="L301" s="208">
        <v>284173</v>
      </c>
      <c r="M301" s="208">
        <v>0</v>
      </c>
      <c r="N301" s="208">
        <v>100000</v>
      </c>
      <c r="O301" s="208">
        <v>413588</v>
      </c>
      <c r="P301" s="208">
        <v>310774</v>
      </c>
      <c r="Q301" s="207">
        <v>6442</v>
      </c>
      <c r="R301" s="203">
        <v>0</v>
      </c>
      <c r="S301" s="203">
        <v>0</v>
      </c>
      <c r="T301" s="203">
        <v>0</v>
      </c>
      <c r="U301" s="208">
        <v>78555</v>
      </c>
      <c r="V301" s="208">
        <v>78555</v>
      </c>
      <c r="W301" s="203">
        <v>0</v>
      </c>
      <c r="X301" s="208">
        <v>492143</v>
      </c>
      <c r="Y301" s="208">
        <v>310774</v>
      </c>
      <c r="Z301" s="208">
        <v>802917</v>
      </c>
      <c r="AA301" s="208">
        <v>11411</v>
      </c>
      <c r="AB301" s="208">
        <v>36803</v>
      </c>
      <c r="AC301" s="208">
        <v>851131</v>
      </c>
      <c r="AD301" s="209">
        <v>59.71591945555322</v>
      </c>
    </row>
    <row r="302" spans="1:30" ht="13.5" thickBot="1" x14ac:dyDescent="0.25">
      <c r="A302" s="48" t="s">
        <v>766</v>
      </c>
      <c r="B302" s="47" t="s">
        <v>765</v>
      </c>
      <c r="C302" s="48" t="s">
        <v>22</v>
      </c>
      <c r="D302" s="48" t="s">
        <v>2022</v>
      </c>
      <c r="E302" s="129" t="s">
        <v>253</v>
      </c>
      <c r="F302" s="129" t="s">
        <v>415</v>
      </c>
      <c r="G302" s="108">
        <v>12238</v>
      </c>
      <c r="H302" s="87" t="s">
        <v>1649</v>
      </c>
      <c r="I302" s="205">
        <v>0</v>
      </c>
      <c r="J302" s="207">
        <v>10937</v>
      </c>
      <c r="K302" s="208">
        <v>11949</v>
      </c>
      <c r="L302" s="208">
        <v>306023</v>
      </c>
      <c r="M302" s="203">
        <v>0</v>
      </c>
      <c r="N302" s="208">
        <v>17332</v>
      </c>
      <c r="O302" s="208">
        <v>335304</v>
      </c>
      <c r="P302" s="208">
        <v>16996</v>
      </c>
      <c r="Q302" s="207">
        <v>1301</v>
      </c>
      <c r="R302" s="208">
        <v>1421</v>
      </c>
      <c r="S302" s="203">
        <v>0</v>
      </c>
      <c r="T302" s="203">
        <v>0</v>
      </c>
      <c r="U302" s="203">
        <v>0</v>
      </c>
      <c r="V302" s="208">
        <v>1421</v>
      </c>
      <c r="W302" s="203">
        <v>0</v>
      </c>
      <c r="X302" s="208">
        <v>336725</v>
      </c>
      <c r="Y302" s="208">
        <v>16996</v>
      </c>
      <c r="Z302" s="208">
        <v>353721</v>
      </c>
      <c r="AA302" s="208">
        <v>8643</v>
      </c>
      <c r="AB302" s="208">
        <v>686</v>
      </c>
      <c r="AC302" s="208">
        <v>363050</v>
      </c>
      <c r="AD302" s="209">
        <v>29.665795064553031</v>
      </c>
    </row>
    <row r="303" spans="1:30" ht="13.5" thickBot="1" x14ac:dyDescent="0.25">
      <c r="A303" s="48" t="s">
        <v>786</v>
      </c>
      <c r="B303" s="47" t="s">
        <v>785</v>
      </c>
      <c r="C303" s="48" t="s">
        <v>22</v>
      </c>
      <c r="D303" s="48" t="s">
        <v>1979</v>
      </c>
      <c r="E303" s="129" t="s">
        <v>20</v>
      </c>
      <c r="F303" s="129" t="s">
        <v>21</v>
      </c>
      <c r="G303" s="108">
        <v>17593</v>
      </c>
      <c r="H303" s="87" t="s">
        <v>1649</v>
      </c>
      <c r="I303" s="205">
        <v>0</v>
      </c>
      <c r="J303" s="207">
        <v>17593</v>
      </c>
      <c r="K303" s="208">
        <v>16181</v>
      </c>
      <c r="L303" s="208">
        <v>390147</v>
      </c>
      <c r="M303" s="208">
        <v>390147</v>
      </c>
      <c r="N303" s="203">
        <v>0</v>
      </c>
      <c r="O303" s="208">
        <v>796475</v>
      </c>
      <c r="P303" s="208">
        <v>17890</v>
      </c>
      <c r="Q303" s="210">
        <v>0</v>
      </c>
      <c r="R303" s="203">
        <v>0</v>
      </c>
      <c r="S303" s="203">
        <v>0</v>
      </c>
      <c r="T303" s="203">
        <v>0</v>
      </c>
      <c r="U303" s="203">
        <v>0</v>
      </c>
      <c r="V303" s="203">
        <v>0</v>
      </c>
      <c r="W303" s="203">
        <v>0</v>
      </c>
      <c r="X303" s="208">
        <v>796475</v>
      </c>
      <c r="Y303" s="208">
        <v>17890</v>
      </c>
      <c r="Z303" s="208">
        <v>814365</v>
      </c>
      <c r="AA303" s="208">
        <v>15935</v>
      </c>
      <c r="AB303" s="208">
        <v>5961</v>
      </c>
      <c r="AC303" s="208">
        <v>836261</v>
      </c>
      <c r="AD303" s="209">
        <v>47.533735008241912</v>
      </c>
    </row>
    <row r="304" spans="1:30" ht="13.5" thickBot="1" x14ac:dyDescent="0.25">
      <c r="A304" s="48" t="s">
        <v>812</v>
      </c>
      <c r="B304" s="47" t="s">
        <v>811</v>
      </c>
      <c r="C304" s="48" t="s">
        <v>22</v>
      </c>
      <c r="D304" s="48" t="s">
        <v>1940</v>
      </c>
      <c r="E304" s="129" t="s">
        <v>20</v>
      </c>
      <c r="F304" s="129" t="s">
        <v>21</v>
      </c>
      <c r="G304" s="108">
        <v>13498</v>
      </c>
      <c r="H304" s="87" t="s">
        <v>1649</v>
      </c>
      <c r="I304" s="205">
        <v>0</v>
      </c>
      <c r="J304" s="207">
        <v>13498</v>
      </c>
      <c r="K304" s="208">
        <v>23246</v>
      </c>
      <c r="L304" s="208">
        <v>769354</v>
      </c>
      <c r="M304" s="208">
        <v>0</v>
      </c>
      <c r="N304" s="208">
        <v>0</v>
      </c>
      <c r="O304" s="208">
        <v>792600</v>
      </c>
      <c r="P304" s="208">
        <v>129679</v>
      </c>
      <c r="Q304" s="210">
        <v>0</v>
      </c>
      <c r="R304" s="203">
        <v>0</v>
      </c>
      <c r="S304" s="203">
        <v>0</v>
      </c>
      <c r="T304" s="203">
        <v>0</v>
      </c>
      <c r="U304" s="203">
        <v>0</v>
      </c>
      <c r="V304" s="203">
        <v>0</v>
      </c>
      <c r="W304" s="203">
        <v>0</v>
      </c>
      <c r="X304" s="208">
        <v>792600</v>
      </c>
      <c r="Y304" s="208">
        <v>129679</v>
      </c>
      <c r="Z304" s="208">
        <v>922279</v>
      </c>
      <c r="AA304" s="208">
        <v>10806</v>
      </c>
      <c r="AB304" s="208">
        <v>0</v>
      </c>
      <c r="AC304" s="208">
        <v>933085</v>
      </c>
      <c r="AD304" s="209">
        <v>69.127648540524518</v>
      </c>
    </row>
    <row r="305" spans="1:30" ht="13.5" thickBot="1" x14ac:dyDescent="0.25">
      <c r="A305" s="48" t="s">
        <v>38</v>
      </c>
      <c r="B305" s="47" t="s">
        <v>37</v>
      </c>
      <c r="C305" s="48" t="s">
        <v>39</v>
      </c>
      <c r="D305" s="48" t="s">
        <v>1979</v>
      </c>
      <c r="E305" s="129" t="s">
        <v>20</v>
      </c>
      <c r="F305" s="129" t="s">
        <v>21</v>
      </c>
      <c r="G305" s="108">
        <v>28210</v>
      </c>
      <c r="H305" s="87" t="s">
        <v>1649</v>
      </c>
      <c r="I305" s="205">
        <v>0</v>
      </c>
      <c r="J305" s="207">
        <v>28210</v>
      </c>
      <c r="K305" s="208">
        <v>78290</v>
      </c>
      <c r="L305" s="208">
        <v>0</v>
      </c>
      <c r="M305" s="208">
        <v>612889</v>
      </c>
      <c r="N305" s="208">
        <v>13742</v>
      </c>
      <c r="O305" s="208">
        <v>704921</v>
      </c>
      <c r="P305" s="208">
        <v>5708</v>
      </c>
      <c r="Q305" s="210">
        <v>0</v>
      </c>
      <c r="R305" s="203">
        <v>0</v>
      </c>
      <c r="S305" s="203">
        <v>0</v>
      </c>
      <c r="T305" s="203">
        <v>0</v>
      </c>
      <c r="U305" s="203">
        <v>0</v>
      </c>
      <c r="V305" s="203">
        <v>0</v>
      </c>
      <c r="W305" s="203">
        <v>0</v>
      </c>
      <c r="X305" s="208">
        <v>704921</v>
      </c>
      <c r="Y305" s="208">
        <v>5708</v>
      </c>
      <c r="Z305" s="208">
        <v>710629</v>
      </c>
      <c r="AA305" s="208">
        <v>22585</v>
      </c>
      <c r="AB305" s="208">
        <v>0</v>
      </c>
      <c r="AC305" s="208">
        <v>733214</v>
      </c>
      <c r="AD305" s="209">
        <v>25.991279688053883</v>
      </c>
    </row>
    <row r="306" spans="1:30" ht="13.5" thickBot="1" x14ac:dyDescent="0.25">
      <c r="A306" s="48" t="s">
        <v>41</v>
      </c>
      <c r="B306" s="47" t="s">
        <v>40</v>
      </c>
      <c r="C306" s="48" t="s">
        <v>39</v>
      </c>
      <c r="D306" s="48" t="s">
        <v>1980</v>
      </c>
      <c r="E306" s="129" t="s">
        <v>15</v>
      </c>
      <c r="F306" s="129" t="s">
        <v>16</v>
      </c>
      <c r="G306" s="108">
        <v>28283</v>
      </c>
      <c r="H306" s="87" t="s">
        <v>1649</v>
      </c>
      <c r="I306" s="205">
        <v>0</v>
      </c>
      <c r="J306" s="207">
        <v>20708</v>
      </c>
      <c r="K306" s="208">
        <v>66690</v>
      </c>
      <c r="L306" s="208">
        <v>187523</v>
      </c>
      <c r="M306" s="203">
        <v>0</v>
      </c>
      <c r="N306" s="203">
        <v>0</v>
      </c>
      <c r="O306" s="208">
        <v>254213</v>
      </c>
      <c r="P306" s="208">
        <v>23990</v>
      </c>
      <c r="Q306" s="207">
        <v>7575</v>
      </c>
      <c r="R306" s="208">
        <v>24416</v>
      </c>
      <c r="S306" s="208">
        <v>99169</v>
      </c>
      <c r="T306" s="208">
        <v>0</v>
      </c>
      <c r="U306" s="203">
        <v>0</v>
      </c>
      <c r="V306" s="208">
        <v>123585</v>
      </c>
      <c r="W306" s="203">
        <v>0</v>
      </c>
      <c r="X306" s="208">
        <v>377798</v>
      </c>
      <c r="Y306" s="208">
        <v>23990</v>
      </c>
      <c r="Z306" s="208">
        <v>401788</v>
      </c>
      <c r="AA306" s="208">
        <v>22670</v>
      </c>
      <c r="AB306" s="208">
        <v>0</v>
      </c>
      <c r="AC306" s="208">
        <v>424458</v>
      </c>
      <c r="AD306" s="209">
        <v>15.007531025704488</v>
      </c>
    </row>
    <row r="307" spans="1:30" ht="13.5" thickBot="1" x14ac:dyDescent="0.25">
      <c r="A307" s="48" t="s">
        <v>49</v>
      </c>
      <c r="B307" s="47" t="s">
        <v>48</v>
      </c>
      <c r="C307" s="48" t="s">
        <v>39</v>
      </c>
      <c r="D307" s="48" t="s">
        <v>1997</v>
      </c>
      <c r="E307" s="129" t="s">
        <v>15</v>
      </c>
      <c r="F307" s="129" t="s">
        <v>16</v>
      </c>
      <c r="G307" s="108">
        <v>29598</v>
      </c>
      <c r="H307" s="87" t="s">
        <v>1649</v>
      </c>
      <c r="I307" s="205">
        <v>0</v>
      </c>
      <c r="J307" s="207">
        <v>29598</v>
      </c>
      <c r="K307" s="208">
        <v>121238.59</v>
      </c>
      <c r="L307" s="208">
        <v>931333.33</v>
      </c>
      <c r="M307" s="208">
        <v>67997</v>
      </c>
      <c r="N307" s="208">
        <v>0</v>
      </c>
      <c r="O307" s="208">
        <v>1120568.92</v>
      </c>
      <c r="P307" s="208">
        <v>297762.06</v>
      </c>
      <c r="Q307" s="210">
        <v>0</v>
      </c>
      <c r="R307" s="203">
        <v>0</v>
      </c>
      <c r="S307" s="203">
        <v>0</v>
      </c>
      <c r="T307" s="203">
        <v>0</v>
      </c>
      <c r="U307" s="203">
        <v>0</v>
      </c>
      <c r="V307" s="203">
        <v>0</v>
      </c>
      <c r="W307" s="203">
        <v>0</v>
      </c>
      <c r="X307" s="208">
        <v>1120568.92</v>
      </c>
      <c r="Y307" s="208">
        <v>297762.06</v>
      </c>
      <c r="Z307" s="208">
        <v>1418330.98</v>
      </c>
      <c r="AA307" s="208">
        <v>26810</v>
      </c>
      <c r="AB307" s="208">
        <v>4181</v>
      </c>
      <c r="AC307" s="208">
        <v>1449321.98</v>
      </c>
      <c r="AD307" s="209">
        <v>48.966888978985068</v>
      </c>
    </row>
    <row r="308" spans="1:30" ht="13.5" thickBot="1" x14ac:dyDescent="0.25">
      <c r="A308" s="48" t="s">
        <v>72</v>
      </c>
      <c r="B308" s="47" t="s">
        <v>71</v>
      </c>
      <c r="C308" s="48" t="s">
        <v>39</v>
      </c>
      <c r="D308" s="48" t="s">
        <v>1940</v>
      </c>
      <c r="E308" s="129" t="s">
        <v>20</v>
      </c>
      <c r="F308" s="129" t="s">
        <v>21</v>
      </c>
      <c r="G308" s="108">
        <v>35350</v>
      </c>
      <c r="H308" s="87" t="s">
        <v>1649</v>
      </c>
      <c r="I308" s="205">
        <v>0</v>
      </c>
      <c r="J308" s="207">
        <v>20103</v>
      </c>
      <c r="K308" s="208">
        <v>34622</v>
      </c>
      <c r="L308" s="208">
        <v>3266790</v>
      </c>
      <c r="M308" s="208">
        <v>0</v>
      </c>
      <c r="N308" s="208">
        <v>0</v>
      </c>
      <c r="O308" s="208">
        <v>3301412</v>
      </c>
      <c r="P308" s="208">
        <v>160840</v>
      </c>
      <c r="Q308" s="207">
        <v>15247</v>
      </c>
      <c r="R308" s="208">
        <v>26258</v>
      </c>
      <c r="S308" s="208">
        <v>0</v>
      </c>
      <c r="T308" s="208">
        <v>0</v>
      </c>
      <c r="U308" s="208">
        <v>967571</v>
      </c>
      <c r="V308" s="208">
        <v>993829</v>
      </c>
      <c r="W308" s="208">
        <v>0</v>
      </c>
      <c r="X308" s="208">
        <v>4295241</v>
      </c>
      <c r="Y308" s="208">
        <v>160840</v>
      </c>
      <c r="Z308" s="208">
        <v>4456081</v>
      </c>
      <c r="AA308" s="208">
        <v>28301</v>
      </c>
      <c r="AB308" s="208">
        <v>0</v>
      </c>
      <c r="AC308" s="208">
        <v>4484382</v>
      </c>
      <c r="AD308" s="209">
        <v>126.85663366336634</v>
      </c>
    </row>
    <row r="309" spans="1:30" ht="13.5" thickBot="1" x14ac:dyDescent="0.25">
      <c r="A309" s="48" t="s">
        <v>84</v>
      </c>
      <c r="B309" s="47" t="s">
        <v>83</v>
      </c>
      <c r="C309" s="48" t="s">
        <v>39</v>
      </c>
      <c r="D309" s="48" t="s">
        <v>1979</v>
      </c>
      <c r="E309" s="129" t="s">
        <v>20</v>
      </c>
      <c r="F309" s="129" t="s">
        <v>21</v>
      </c>
      <c r="G309" s="108">
        <v>42361</v>
      </c>
      <c r="H309" s="87" t="s">
        <v>1649</v>
      </c>
      <c r="I309" s="205">
        <v>0</v>
      </c>
      <c r="J309" s="207">
        <v>42361</v>
      </c>
      <c r="K309" s="208">
        <v>0</v>
      </c>
      <c r="L309" s="208">
        <v>1966653</v>
      </c>
      <c r="M309" s="208">
        <v>13636</v>
      </c>
      <c r="N309" s="208">
        <v>0</v>
      </c>
      <c r="O309" s="208">
        <v>1980289</v>
      </c>
      <c r="P309" s="208">
        <v>18928</v>
      </c>
      <c r="Q309" s="210">
        <v>0</v>
      </c>
      <c r="R309" s="203">
        <v>0</v>
      </c>
      <c r="S309" s="203">
        <v>0</v>
      </c>
      <c r="T309" s="203">
        <v>0</v>
      </c>
      <c r="U309" s="203">
        <v>0</v>
      </c>
      <c r="V309" s="203">
        <v>0</v>
      </c>
      <c r="W309" s="203">
        <v>0</v>
      </c>
      <c r="X309" s="208">
        <v>1980289</v>
      </c>
      <c r="Y309" s="208">
        <v>18928</v>
      </c>
      <c r="Z309" s="208">
        <v>1999217</v>
      </c>
      <c r="AA309" s="208">
        <v>33953</v>
      </c>
      <c r="AB309" s="208">
        <v>4189</v>
      </c>
      <c r="AC309" s="208">
        <v>2037359</v>
      </c>
      <c r="AD309" s="209">
        <v>48.095158282382378</v>
      </c>
    </row>
    <row r="310" spans="1:30" ht="13.5" thickBot="1" x14ac:dyDescent="0.25">
      <c r="A310" s="48" t="s">
        <v>108</v>
      </c>
      <c r="B310" s="47" t="s">
        <v>107</v>
      </c>
      <c r="C310" s="48" t="s">
        <v>39</v>
      </c>
      <c r="D310" s="48" t="s">
        <v>1940</v>
      </c>
      <c r="E310" s="129" t="s">
        <v>61</v>
      </c>
      <c r="F310" s="129" t="s">
        <v>62</v>
      </c>
      <c r="G310" s="108">
        <v>41070</v>
      </c>
      <c r="H310" s="87" t="s">
        <v>1649</v>
      </c>
      <c r="I310" s="205">
        <v>0</v>
      </c>
      <c r="J310" s="207">
        <v>41070</v>
      </c>
      <c r="K310" s="208">
        <v>87628</v>
      </c>
      <c r="L310" s="208">
        <v>7434405</v>
      </c>
      <c r="M310" s="203">
        <v>0</v>
      </c>
      <c r="N310" s="203">
        <v>0</v>
      </c>
      <c r="O310" s="208">
        <v>7522033</v>
      </c>
      <c r="P310" s="208">
        <v>268544</v>
      </c>
      <c r="Q310" s="210">
        <v>0</v>
      </c>
      <c r="R310" s="203">
        <v>0</v>
      </c>
      <c r="S310" s="203">
        <v>0</v>
      </c>
      <c r="T310" s="203">
        <v>0</v>
      </c>
      <c r="U310" s="203">
        <v>0</v>
      </c>
      <c r="V310" s="203">
        <v>0</v>
      </c>
      <c r="W310" s="203">
        <v>0</v>
      </c>
      <c r="X310" s="208">
        <v>7522033</v>
      </c>
      <c r="Y310" s="208">
        <v>268544</v>
      </c>
      <c r="Z310" s="208">
        <v>7790577</v>
      </c>
      <c r="AA310" s="208">
        <v>32891</v>
      </c>
      <c r="AB310" s="208">
        <v>0</v>
      </c>
      <c r="AC310" s="208">
        <v>7823468</v>
      </c>
      <c r="AD310" s="209">
        <v>190.49106403700998</v>
      </c>
    </row>
    <row r="311" spans="1:30" ht="13.5" thickBot="1" x14ac:dyDescent="0.25">
      <c r="A311" s="48" t="s">
        <v>114</v>
      </c>
      <c r="B311" s="47" t="s">
        <v>113</v>
      </c>
      <c r="C311" s="48" t="s">
        <v>39</v>
      </c>
      <c r="D311" s="48" t="s">
        <v>2090</v>
      </c>
      <c r="E311" s="129" t="s">
        <v>15</v>
      </c>
      <c r="F311" s="129" t="s">
        <v>16</v>
      </c>
      <c r="G311" s="108">
        <v>46905</v>
      </c>
      <c r="H311" s="87" t="s">
        <v>1649</v>
      </c>
      <c r="I311" s="205">
        <v>0</v>
      </c>
      <c r="J311" s="207">
        <v>45248</v>
      </c>
      <c r="K311" s="208">
        <v>212217</v>
      </c>
      <c r="L311" s="208">
        <v>1612571</v>
      </c>
      <c r="M311" s="203">
        <v>0</v>
      </c>
      <c r="N311" s="208">
        <v>63681</v>
      </c>
      <c r="O311" s="208">
        <v>1888469</v>
      </c>
      <c r="P311" s="208">
        <v>0</v>
      </c>
      <c r="Q311" s="207">
        <v>1657</v>
      </c>
      <c r="R311" s="208">
        <v>4495</v>
      </c>
      <c r="S311" s="203">
        <v>0</v>
      </c>
      <c r="T311" s="203">
        <v>0</v>
      </c>
      <c r="U311" s="203">
        <v>0</v>
      </c>
      <c r="V311" s="208">
        <v>4495</v>
      </c>
      <c r="W311" s="203">
        <v>0</v>
      </c>
      <c r="X311" s="208">
        <v>1892964</v>
      </c>
      <c r="Y311" s="208">
        <v>0</v>
      </c>
      <c r="Z311" s="208">
        <v>1892964</v>
      </c>
      <c r="AA311" s="208">
        <v>37646</v>
      </c>
      <c r="AB311" s="208">
        <v>0</v>
      </c>
      <c r="AC311" s="208">
        <v>1930610</v>
      </c>
      <c r="AD311" s="209">
        <v>41.160004263937743</v>
      </c>
    </row>
    <row r="312" spans="1:30" ht="13.5" thickBot="1" x14ac:dyDescent="0.25">
      <c r="A312" s="48" t="s">
        <v>124</v>
      </c>
      <c r="B312" s="47" t="s">
        <v>123</v>
      </c>
      <c r="C312" s="48" t="s">
        <v>39</v>
      </c>
      <c r="D312" s="48" t="s">
        <v>2110</v>
      </c>
      <c r="E312" s="129" t="s">
        <v>46</v>
      </c>
      <c r="F312" s="129" t="s">
        <v>47</v>
      </c>
      <c r="G312" s="108">
        <v>43254</v>
      </c>
      <c r="H312" s="87" t="s">
        <v>1649</v>
      </c>
      <c r="I312" s="205">
        <v>0</v>
      </c>
      <c r="J312" s="207">
        <v>43254</v>
      </c>
      <c r="K312" s="208">
        <v>73508</v>
      </c>
      <c r="L312" s="208">
        <v>1928220</v>
      </c>
      <c r="M312" s="203">
        <v>0</v>
      </c>
      <c r="N312" s="208">
        <v>63059</v>
      </c>
      <c r="O312" s="208">
        <v>2064787</v>
      </c>
      <c r="P312" s="208">
        <v>109482</v>
      </c>
      <c r="Q312" s="210">
        <v>0</v>
      </c>
      <c r="R312" s="203">
        <v>0</v>
      </c>
      <c r="S312" s="203">
        <v>0</v>
      </c>
      <c r="T312" s="203">
        <v>0</v>
      </c>
      <c r="U312" s="203">
        <v>0</v>
      </c>
      <c r="V312" s="203">
        <v>0</v>
      </c>
      <c r="W312" s="203">
        <v>0</v>
      </c>
      <c r="X312" s="208">
        <v>2064787</v>
      </c>
      <c r="Y312" s="208">
        <v>109482</v>
      </c>
      <c r="Z312" s="208">
        <v>2174269</v>
      </c>
      <c r="AA312" s="208">
        <v>28492</v>
      </c>
      <c r="AB312" s="208">
        <v>0</v>
      </c>
      <c r="AC312" s="208">
        <v>2202761</v>
      </c>
      <c r="AD312" s="209">
        <v>50.926180237665882</v>
      </c>
    </row>
    <row r="313" spans="1:30" ht="13.5" thickBot="1" x14ac:dyDescent="0.25">
      <c r="A313" s="48" t="s">
        <v>134</v>
      </c>
      <c r="B313" s="47" t="s">
        <v>133</v>
      </c>
      <c r="C313" s="48" t="s">
        <v>39</v>
      </c>
      <c r="D313" s="48" t="s">
        <v>2128</v>
      </c>
      <c r="E313" s="129" t="s">
        <v>15</v>
      </c>
      <c r="F313" s="129" t="s">
        <v>16</v>
      </c>
      <c r="G313" s="108">
        <v>35087</v>
      </c>
      <c r="H313" s="87" t="s">
        <v>1649</v>
      </c>
      <c r="I313" s="205">
        <v>0</v>
      </c>
      <c r="J313" s="207">
        <v>32714</v>
      </c>
      <c r="K313" s="208">
        <v>165661</v>
      </c>
      <c r="L313" s="208">
        <v>723725</v>
      </c>
      <c r="M313" s="203">
        <v>0</v>
      </c>
      <c r="N313" s="208">
        <v>28811</v>
      </c>
      <c r="O313" s="208">
        <v>918197</v>
      </c>
      <c r="P313" s="208">
        <v>49251</v>
      </c>
      <c r="Q313" s="207">
        <v>2373</v>
      </c>
      <c r="R313" s="208">
        <v>13678</v>
      </c>
      <c r="S313" s="208">
        <v>39207</v>
      </c>
      <c r="T313" s="203">
        <v>0</v>
      </c>
      <c r="U313" s="203">
        <v>0</v>
      </c>
      <c r="V313" s="208">
        <v>52885</v>
      </c>
      <c r="W313" s="208">
        <v>397</v>
      </c>
      <c r="X313" s="208">
        <v>971082</v>
      </c>
      <c r="Y313" s="208">
        <v>49648</v>
      </c>
      <c r="Z313" s="208">
        <v>1020730</v>
      </c>
      <c r="AA313" s="208">
        <v>32817</v>
      </c>
      <c r="AB313" s="208">
        <v>0</v>
      </c>
      <c r="AC313" s="208">
        <v>1053547</v>
      </c>
      <c r="AD313" s="209">
        <v>30.026705047453472</v>
      </c>
    </row>
    <row r="314" spans="1:30" ht="13.5" thickBot="1" x14ac:dyDescent="0.25">
      <c r="A314" s="48" t="s">
        <v>150</v>
      </c>
      <c r="B314" s="47" t="s">
        <v>149</v>
      </c>
      <c r="C314" s="48" t="s">
        <v>39</v>
      </c>
      <c r="D314" s="48" t="s">
        <v>2152</v>
      </c>
      <c r="E314" s="129" t="s">
        <v>15</v>
      </c>
      <c r="F314" s="129" t="s">
        <v>16</v>
      </c>
      <c r="G314" s="108">
        <v>38002</v>
      </c>
      <c r="H314" s="87" t="s">
        <v>1648</v>
      </c>
      <c r="I314" s="205">
        <v>15453</v>
      </c>
      <c r="J314" s="207">
        <v>38002</v>
      </c>
      <c r="K314" s="208">
        <v>141191</v>
      </c>
      <c r="L314" s="208">
        <v>1081410</v>
      </c>
      <c r="M314" s="208">
        <v>0</v>
      </c>
      <c r="N314" s="208">
        <v>28195</v>
      </c>
      <c r="O314" s="208">
        <v>1250796</v>
      </c>
      <c r="P314" s="208">
        <v>77961</v>
      </c>
      <c r="Q314" s="210">
        <v>0</v>
      </c>
      <c r="R314" s="208">
        <v>0</v>
      </c>
      <c r="S314" s="208">
        <v>0</v>
      </c>
      <c r="T314" s="208">
        <v>0</v>
      </c>
      <c r="U314" s="208">
        <v>0</v>
      </c>
      <c r="V314" s="208">
        <v>0</v>
      </c>
      <c r="W314" s="208">
        <v>0</v>
      </c>
      <c r="X314" s="208">
        <v>1250796</v>
      </c>
      <c r="Y314" s="208">
        <v>77961</v>
      </c>
      <c r="Z314" s="208">
        <v>1328757</v>
      </c>
      <c r="AA314" s="208">
        <v>30460</v>
      </c>
      <c r="AB314" s="208">
        <v>0</v>
      </c>
      <c r="AC314" s="208">
        <v>1359217</v>
      </c>
      <c r="AD314" s="209">
        <v>35.766985948107994</v>
      </c>
    </row>
    <row r="315" spans="1:30" ht="13.5" thickBot="1" x14ac:dyDescent="0.25">
      <c r="A315" s="48" t="s">
        <v>170</v>
      </c>
      <c r="B315" s="47" t="s">
        <v>169</v>
      </c>
      <c r="C315" s="48" t="s">
        <v>39</v>
      </c>
      <c r="D315" s="48" t="s">
        <v>2010</v>
      </c>
      <c r="E315" s="129" t="s">
        <v>15</v>
      </c>
      <c r="F315" s="129" t="s">
        <v>16</v>
      </c>
      <c r="G315" s="108">
        <v>43381</v>
      </c>
      <c r="H315" s="87" t="s">
        <v>1648</v>
      </c>
      <c r="I315" s="205">
        <v>12500</v>
      </c>
      <c r="J315" s="207">
        <v>43381</v>
      </c>
      <c r="K315" s="208">
        <v>44999</v>
      </c>
      <c r="L315" s="208">
        <v>1016616</v>
      </c>
      <c r="M315" s="203">
        <v>0</v>
      </c>
      <c r="N315" s="208">
        <v>27502</v>
      </c>
      <c r="O315" s="208">
        <v>1089117</v>
      </c>
      <c r="P315" s="208">
        <v>830890</v>
      </c>
      <c r="Q315" s="210">
        <v>0</v>
      </c>
      <c r="R315" s="208">
        <v>0</v>
      </c>
      <c r="S315" s="203">
        <v>0</v>
      </c>
      <c r="T315" s="203">
        <v>0</v>
      </c>
      <c r="U315" s="203">
        <v>0</v>
      </c>
      <c r="V315" s="208">
        <v>0</v>
      </c>
      <c r="W315" s="203">
        <v>0</v>
      </c>
      <c r="X315" s="208">
        <v>1089117</v>
      </c>
      <c r="Y315" s="208">
        <v>830890</v>
      </c>
      <c r="Z315" s="208">
        <v>1920007</v>
      </c>
      <c r="AA315" s="208">
        <v>36892</v>
      </c>
      <c r="AB315" s="208">
        <v>0</v>
      </c>
      <c r="AC315" s="208">
        <v>1956899</v>
      </c>
      <c r="AD315" s="209">
        <v>45.1095871464466</v>
      </c>
    </row>
    <row r="316" spans="1:30" ht="13.5" thickBot="1" x14ac:dyDescent="0.25">
      <c r="A316" s="48" t="s">
        <v>174</v>
      </c>
      <c r="B316" s="47" t="s">
        <v>173</v>
      </c>
      <c r="C316" s="48" t="s">
        <v>39</v>
      </c>
      <c r="D316" s="48" t="s">
        <v>1940</v>
      </c>
      <c r="E316" s="129" t="s">
        <v>15</v>
      </c>
      <c r="F316" s="129" t="s">
        <v>16</v>
      </c>
      <c r="G316" s="108">
        <v>35563</v>
      </c>
      <c r="H316" s="87" t="s">
        <v>1649</v>
      </c>
      <c r="I316" s="205">
        <v>0</v>
      </c>
      <c r="J316" s="207">
        <v>35563</v>
      </c>
      <c r="K316" s="208">
        <v>75960</v>
      </c>
      <c r="L316" s="208">
        <v>1962229</v>
      </c>
      <c r="M316" s="203">
        <v>0</v>
      </c>
      <c r="N316" s="203">
        <v>0</v>
      </c>
      <c r="O316" s="208">
        <v>2038189</v>
      </c>
      <c r="P316" s="208">
        <v>48542</v>
      </c>
      <c r="Q316" s="210">
        <v>0</v>
      </c>
      <c r="R316" s="203">
        <v>0</v>
      </c>
      <c r="S316" s="203">
        <v>0</v>
      </c>
      <c r="T316" s="203">
        <v>0</v>
      </c>
      <c r="U316" s="203">
        <v>0</v>
      </c>
      <c r="V316" s="203">
        <v>0</v>
      </c>
      <c r="W316" s="203">
        <v>0</v>
      </c>
      <c r="X316" s="208">
        <v>2038189</v>
      </c>
      <c r="Y316" s="208">
        <v>48542</v>
      </c>
      <c r="Z316" s="208">
        <v>2086731</v>
      </c>
      <c r="AA316" s="208">
        <v>28505</v>
      </c>
      <c r="AB316" s="208">
        <v>0</v>
      </c>
      <c r="AC316" s="208">
        <v>2115236</v>
      </c>
      <c r="AD316" s="209">
        <v>59.478559176672384</v>
      </c>
    </row>
    <row r="317" spans="1:30" ht="13.5" thickBot="1" x14ac:dyDescent="0.25">
      <c r="A317" s="48" t="s">
        <v>188</v>
      </c>
      <c r="B317" s="47" t="s">
        <v>187</v>
      </c>
      <c r="C317" s="48" t="s">
        <v>39</v>
      </c>
      <c r="D317" s="48" t="s">
        <v>1940</v>
      </c>
      <c r="E317" s="129" t="s">
        <v>15</v>
      </c>
      <c r="F317" s="129" t="s">
        <v>16</v>
      </c>
      <c r="G317" s="108">
        <v>40186</v>
      </c>
      <c r="H317" s="87" t="s">
        <v>1649</v>
      </c>
      <c r="I317" s="205">
        <v>0</v>
      </c>
      <c r="J317" s="207">
        <v>40186</v>
      </c>
      <c r="K317" s="208">
        <v>85834</v>
      </c>
      <c r="L317" s="208">
        <v>1826971</v>
      </c>
      <c r="M317" s="208">
        <v>0</v>
      </c>
      <c r="N317" s="208">
        <v>3808</v>
      </c>
      <c r="O317" s="208">
        <v>1916613</v>
      </c>
      <c r="P317" s="208">
        <v>37204</v>
      </c>
      <c r="Q317" s="210">
        <v>0</v>
      </c>
      <c r="R317" s="203">
        <v>0</v>
      </c>
      <c r="S317" s="203">
        <v>0</v>
      </c>
      <c r="T317" s="203">
        <v>0</v>
      </c>
      <c r="U317" s="203">
        <v>0</v>
      </c>
      <c r="V317" s="203">
        <v>0</v>
      </c>
      <c r="W317" s="203">
        <v>0</v>
      </c>
      <c r="X317" s="208">
        <v>1916613</v>
      </c>
      <c r="Y317" s="208">
        <v>37204</v>
      </c>
      <c r="Z317" s="208">
        <v>1953817</v>
      </c>
      <c r="AA317" s="208">
        <v>32210</v>
      </c>
      <c r="AB317" s="208">
        <v>0</v>
      </c>
      <c r="AC317" s="208">
        <v>1986027</v>
      </c>
      <c r="AD317" s="209">
        <v>49.420867963967552</v>
      </c>
    </row>
    <row r="318" spans="1:30" ht="13.5" thickBot="1" x14ac:dyDescent="0.25">
      <c r="A318" s="48" t="s">
        <v>190</v>
      </c>
      <c r="B318" s="47" t="s">
        <v>189</v>
      </c>
      <c r="C318" s="48" t="s">
        <v>39</v>
      </c>
      <c r="D318" s="48" t="s">
        <v>2215</v>
      </c>
      <c r="E318" s="129" t="s">
        <v>20</v>
      </c>
      <c r="F318" s="129" t="s">
        <v>21</v>
      </c>
      <c r="G318" s="108">
        <v>28263</v>
      </c>
      <c r="H318" s="87" t="s">
        <v>1649</v>
      </c>
      <c r="I318" s="205">
        <v>0</v>
      </c>
      <c r="J318" s="207">
        <v>25433</v>
      </c>
      <c r="K318" s="208">
        <v>58239</v>
      </c>
      <c r="L318" s="208">
        <v>475081</v>
      </c>
      <c r="M318" s="203">
        <v>0</v>
      </c>
      <c r="N318" s="203">
        <v>0</v>
      </c>
      <c r="O318" s="208">
        <v>533320</v>
      </c>
      <c r="P318" s="203">
        <v>0</v>
      </c>
      <c r="Q318" s="207">
        <v>2830</v>
      </c>
      <c r="R318" s="208">
        <v>6870</v>
      </c>
      <c r="S318" s="203">
        <v>0</v>
      </c>
      <c r="T318" s="203">
        <v>0</v>
      </c>
      <c r="U318" s="203">
        <v>0</v>
      </c>
      <c r="V318" s="208">
        <v>6870</v>
      </c>
      <c r="W318" s="203">
        <v>0</v>
      </c>
      <c r="X318" s="208">
        <v>540190</v>
      </c>
      <c r="Y318" s="203">
        <v>0</v>
      </c>
      <c r="Z318" s="208">
        <v>540190</v>
      </c>
      <c r="AA318" s="208">
        <v>22655</v>
      </c>
      <c r="AB318" s="208">
        <v>0</v>
      </c>
      <c r="AC318" s="208">
        <v>562845</v>
      </c>
      <c r="AD318" s="209">
        <v>19.914552595265896</v>
      </c>
    </row>
    <row r="319" spans="1:30" ht="13.5" thickBot="1" x14ac:dyDescent="0.25">
      <c r="A319" s="48" t="s">
        <v>200</v>
      </c>
      <c r="B319" s="47" t="s">
        <v>199</v>
      </c>
      <c r="C319" s="48" t="s">
        <v>39</v>
      </c>
      <c r="D319" s="48" t="s">
        <v>2110</v>
      </c>
      <c r="E319" s="129" t="s">
        <v>20</v>
      </c>
      <c r="F319" s="129" t="s">
        <v>21</v>
      </c>
      <c r="G319" s="108">
        <v>26391</v>
      </c>
      <c r="H319" s="87" t="s">
        <v>1649</v>
      </c>
      <c r="I319" s="205">
        <v>0</v>
      </c>
      <c r="J319" s="207">
        <v>26391</v>
      </c>
      <c r="K319" s="208">
        <v>54573</v>
      </c>
      <c r="L319" s="208">
        <v>1921931</v>
      </c>
      <c r="M319" s="208">
        <v>0</v>
      </c>
      <c r="N319" s="208">
        <v>0</v>
      </c>
      <c r="O319" s="208">
        <v>1976504</v>
      </c>
      <c r="P319" s="208">
        <v>0</v>
      </c>
      <c r="Q319" s="210">
        <v>0</v>
      </c>
      <c r="R319" s="208">
        <v>0</v>
      </c>
      <c r="S319" s="208">
        <v>0</v>
      </c>
      <c r="T319" s="208">
        <v>0</v>
      </c>
      <c r="U319" s="208">
        <v>0</v>
      </c>
      <c r="V319" s="208">
        <v>0</v>
      </c>
      <c r="W319" s="208">
        <v>0</v>
      </c>
      <c r="X319" s="208">
        <v>1976504</v>
      </c>
      <c r="Y319" s="208">
        <v>0</v>
      </c>
      <c r="Z319" s="208">
        <v>1976504</v>
      </c>
      <c r="AA319" s="208">
        <v>21153</v>
      </c>
      <c r="AB319" s="208">
        <v>0</v>
      </c>
      <c r="AC319" s="208">
        <v>1997657</v>
      </c>
      <c r="AD319" s="209">
        <v>75.694630745329846</v>
      </c>
    </row>
    <row r="320" spans="1:30" ht="13.5" thickBot="1" x14ac:dyDescent="0.25">
      <c r="A320" s="48" t="s">
        <v>218</v>
      </c>
      <c r="B320" s="47" t="s">
        <v>217</v>
      </c>
      <c r="C320" s="48" t="s">
        <v>39</v>
      </c>
      <c r="D320" s="48" t="s">
        <v>2055</v>
      </c>
      <c r="E320" s="129" t="s">
        <v>15</v>
      </c>
      <c r="F320" s="129" t="s">
        <v>16</v>
      </c>
      <c r="G320" s="108">
        <v>32799</v>
      </c>
      <c r="H320" s="87" t="s">
        <v>1649</v>
      </c>
      <c r="I320" s="205">
        <v>0</v>
      </c>
      <c r="J320" s="207">
        <v>32799</v>
      </c>
      <c r="K320" s="208">
        <v>74717</v>
      </c>
      <c r="L320" s="208">
        <v>1589500</v>
      </c>
      <c r="M320" s="208">
        <v>0</v>
      </c>
      <c r="N320" s="203">
        <v>0</v>
      </c>
      <c r="O320" s="208">
        <v>1664217</v>
      </c>
      <c r="P320" s="208">
        <v>274690</v>
      </c>
      <c r="Q320" s="210">
        <v>0</v>
      </c>
      <c r="R320" s="203">
        <v>0</v>
      </c>
      <c r="S320" s="203">
        <v>0</v>
      </c>
      <c r="T320" s="203">
        <v>0</v>
      </c>
      <c r="U320" s="203">
        <v>0</v>
      </c>
      <c r="V320" s="203">
        <v>0</v>
      </c>
      <c r="W320" s="203">
        <v>0</v>
      </c>
      <c r="X320" s="208">
        <v>1664217</v>
      </c>
      <c r="Y320" s="208">
        <v>274690</v>
      </c>
      <c r="Z320" s="208">
        <v>1938907</v>
      </c>
      <c r="AA320" s="208">
        <v>26289</v>
      </c>
      <c r="AB320" s="208">
        <v>0</v>
      </c>
      <c r="AC320" s="208">
        <v>1965196</v>
      </c>
      <c r="AD320" s="209">
        <v>59.916338912771728</v>
      </c>
    </row>
    <row r="321" spans="1:30" ht="13.5" thickBot="1" x14ac:dyDescent="0.25">
      <c r="A321" s="48" t="s">
        <v>228</v>
      </c>
      <c r="B321" s="47" t="s">
        <v>227</v>
      </c>
      <c r="C321" s="48" t="s">
        <v>39</v>
      </c>
      <c r="D321" s="48" t="s">
        <v>2280</v>
      </c>
      <c r="E321" s="129" t="s">
        <v>15</v>
      </c>
      <c r="F321" s="129" t="s">
        <v>16</v>
      </c>
      <c r="G321" s="108">
        <v>26168</v>
      </c>
      <c r="H321" s="87" t="s">
        <v>1649</v>
      </c>
      <c r="I321" s="205">
        <v>0</v>
      </c>
      <c r="J321" s="207">
        <v>26168</v>
      </c>
      <c r="K321" s="208">
        <v>93123</v>
      </c>
      <c r="L321" s="208">
        <v>718753</v>
      </c>
      <c r="M321" s="203">
        <v>0</v>
      </c>
      <c r="N321" s="208">
        <v>181180</v>
      </c>
      <c r="O321" s="208">
        <v>993056</v>
      </c>
      <c r="P321" s="208">
        <v>76091</v>
      </c>
      <c r="Q321" s="210">
        <v>0</v>
      </c>
      <c r="R321" s="203">
        <v>0</v>
      </c>
      <c r="S321" s="203">
        <v>0</v>
      </c>
      <c r="T321" s="203">
        <v>0</v>
      </c>
      <c r="U321" s="203">
        <v>0</v>
      </c>
      <c r="V321" s="203">
        <v>0</v>
      </c>
      <c r="W321" s="203">
        <v>0</v>
      </c>
      <c r="X321" s="208">
        <v>993056</v>
      </c>
      <c r="Y321" s="208">
        <v>76091</v>
      </c>
      <c r="Z321" s="208">
        <v>1069147</v>
      </c>
      <c r="AA321" s="208">
        <v>33837</v>
      </c>
      <c r="AB321" s="208">
        <v>0</v>
      </c>
      <c r="AC321" s="208">
        <v>1102984</v>
      </c>
      <c r="AD321" s="209">
        <v>42.150107000917153</v>
      </c>
    </row>
    <row r="322" spans="1:30" ht="13.5" thickBot="1" x14ac:dyDescent="0.25">
      <c r="A322" s="48" t="s">
        <v>240</v>
      </c>
      <c r="B322" s="47" t="s">
        <v>239</v>
      </c>
      <c r="C322" s="48" t="s">
        <v>39</v>
      </c>
      <c r="D322" s="48" t="s">
        <v>1939</v>
      </c>
      <c r="E322" s="129" t="s">
        <v>20</v>
      </c>
      <c r="F322" s="129" t="s">
        <v>21</v>
      </c>
      <c r="G322" s="108">
        <v>48579</v>
      </c>
      <c r="H322" s="87" t="s">
        <v>1648</v>
      </c>
      <c r="I322" s="205">
        <v>50000</v>
      </c>
      <c r="J322" s="207">
        <v>48579</v>
      </c>
      <c r="K322" s="208">
        <v>71783</v>
      </c>
      <c r="L322" s="208">
        <v>1012026</v>
      </c>
      <c r="M322" s="208">
        <v>1012026</v>
      </c>
      <c r="N322" s="203">
        <v>0</v>
      </c>
      <c r="O322" s="208">
        <v>2095835</v>
      </c>
      <c r="P322" s="208">
        <v>331000</v>
      </c>
      <c r="Q322" s="210">
        <v>0</v>
      </c>
      <c r="R322" s="203">
        <v>0</v>
      </c>
      <c r="S322" s="203">
        <v>0</v>
      </c>
      <c r="T322" s="203">
        <v>0</v>
      </c>
      <c r="U322" s="203">
        <v>0</v>
      </c>
      <c r="V322" s="203">
        <v>0</v>
      </c>
      <c r="W322" s="203">
        <v>0</v>
      </c>
      <c r="X322" s="208">
        <v>2095835</v>
      </c>
      <c r="Y322" s="208">
        <v>331000</v>
      </c>
      <c r="Z322" s="208">
        <v>2426835</v>
      </c>
      <c r="AA322" s="208">
        <v>19280</v>
      </c>
      <c r="AB322" s="208">
        <v>5000</v>
      </c>
      <c r="AC322" s="208">
        <v>2451115</v>
      </c>
      <c r="AD322" s="209">
        <v>50.456267111303241</v>
      </c>
    </row>
    <row r="323" spans="1:30" ht="13.5" thickBot="1" x14ac:dyDescent="0.25">
      <c r="A323" s="48" t="s">
        <v>242</v>
      </c>
      <c r="B323" s="47" t="s">
        <v>241</v>
      </c>
      <c r="C323" s="48" t="s">
        <v>39</v>
      </c>
      <c r="D323" s="48" t="s">
        <v>2010</v>
      </c>
      <c r="E323" s="129" t="s">
        <v>20</v>
      </c>
      <c r="F323" s="129" t="s">
        <v>21</v>
      </c>
      <c r="G323" s="108">
        <v>32442</v>
      </c>
      <c r="H323" s="87" t="s">
        <v>1649</v>
      </c>
      <c r="I323" s="205">
        <v>0</v>
      </c>
      <c r="J323" s="207">
        <v>32442</v>
      </c>
      <c r="K323" s="208">
        <v>33708</v>
      </c>
      <c r="L323" s="208">
        <v>469535</v>
      </c>
      <c r="M323" s="208">
        <v>423421</v>
      </c>
      <c r="N323" s="208">
        <v>54434</v>
      </c>
      <c r="O323" s="208">
        <v>981098</v>
      </c>
      <c r="P323" s="208">
        <v>0</v>
      </c>
      <c r="Q323" s="210">
        <v>0</v>
      </c>
      <c r="R323" s="208">
        <v>0</v>
      </c>
      <c r="S323" s="208">
        <v>0</v>
      </c>
      <c r="T323" s="208">
        <v>0</v>
      </c>
      <c r="U323" s="208">
        <v>0</v>
      </c>
      <c r="V323" s="208">
        <v>0</v>
      </c>
      <c r="W323" s="208">
        <v>0</v>
      </c>
      <c r="X323" s="208">
        <v>981098</v>
      </c>
      <c r="Y323" s="208">
        <v>0</v>
      </c>
      <c r="Z323" s="208">
        <v>981098</v>
      </c>
      <c r="AA323" s="208">
        <v>26003</v>
      </c>
      <c r="AB323" s="208">
        <v>0</v>
      </c>
      <c r="AC323" s="208">
        <v>1007101</v>
      </c>
      <c r="AD323" s="209">
        <v>31.043123112015287</v>
      </c>
    </row>
    <row r="324" spans="1:30" ht="13.5" thickBot="1" x14ac:dyDescent="0.25">
      <c r="A324" s="48" t="s">
        <v>300</v>
      </c>
      <c r="B324" s="47" t="s">
        <v>299</v>
      </c>
      <c r="C324" s="48" t="s">
        <v>39</v>
      </c>
      <c r="D324" s="48" t="s">
        <v>1979</v>
      </c>
      <c r="E324" s="129" t="s">
        <v>20</v>
      </c>
      <c r="F324" s="129" t="s">
        <v>21</v>
      </c>
      <c r="G324" s="108">
        <v>27692</v>
      </c>
      <c r="H324" s="87" t="s">
        <v>1649</v>
      </c>
      <c r="I324" s="205">
        <v>0</v>
      </c>
      <c r="J324" s="207">
        <v>27692</v>
      </c>
      <c r="K324" s="208">
        <v>21653</v>
      </c>
      <c r="L324" s="208">
        <v>521156</v>
      </c>
      <c r="M324" s="203">
        <v>0</v>
      </c>
      <c r="N324" s="203">
        <v>0</v>
      </c>
      <c r="O324" s="208">
        <v>542809</v>
      </c>
      <c r="P324" s="208">
        <v>18945</v>
      </c>
      <c r="Q324" s="210">
        <v>0</v>
      </c>
      <c r="R324" s="203">
        <v>0</v>
      </c>
      <c r="S324" s="203">
        <v>0</v>
      </c>
      <c r="T324" s="203">
        <v>0</v>
      </c>
      <c r="U324" s="203">
        <v>0</v>
      </c>
      <c r="V324" s="203">
        <v>0</v>
      </c>
      <c r="W324" s="203">
        <v>0</v>
      </c>
      <c r="X324" s="208">
        <v>542809</v>
      </c>
      <c r="Y324" s="208">
        <v>18945</v>
      </c>
      <c r="Z324" s="208">
        <v>561754</v>
      </c>
      <c r="AA324" s="208">
        <v>22196</v>
      </c>
      <c r="AB324" s="208">
        <v>5000</v>
      </c>
      <c r="AC324" s="208">
        <v>588950</v>
      </c>
      <c r="AD324" s="209">
        <v>21.267875198613318</v>
      </c>
    </row>
    <row r="325" spans="1:30" ht="13.5" thickBot="1" x14ac:dyDescent="0.25">
      <c r="A325" s="48" t="s">
        <v>308</v>
      </c>
      <c r="B325" s="47" t="s">
        <v>307</v>
      </c>
      <c r="C325" s="48" t="s">
        <v>39</v>
      </c>
      <c r="D325" s="48" t="s">
        <v>1980</v>
      </c>
      <c r="E325" s="129" t="s">
        <v>15</v>
      </c>
      <c r="F325" s="129" t="s">
        <v>16</v>
      </c>
      <c r="G325" s="108">
        <v>46985</v>
      </c>
      <c r="H325" s="87" t="s">
        <v>1649</v>
      </c>
      <c r="I325" s="205">
        <v>0</v>
      </c>
      <c r="J325" s="207">
        <v>46985</v>
      </c>
      <c r="K325" s="208">
        <v>151349</v>
      </c>
      <c r="L325" s="203">
        <v>0</v>
      </c>
      <c r="M325" s="208">
        <v>949983</v>
      </c>
      <c r="N325" s="208">
        <v>0</v>
      </c>
      <c r="O325" s="208">
        <v>1101332</v>
      </c>
      <c r="P325" s="208">
        <v>29715</v>
      </c>
      <c r="Q325" s="210">
        <v>0</v>
      </c>
      <c r="R325" s="203">
        <v>0</v>
      </c>
      <c r="S325" s="203">
        <v>0</v>
      </c>
      <c r="T325" s="203">
        <v>0</v>
      </c>
      <c r="U325" s="203">
        <v>0</v>
      </c>
      <c r="V325" s="203">
        <v>0</v>
      </c>
      <c r="W325" s="203">
        <v>0</v>
      </c>
      <c r="X325" s="208">
        <v>1101332</v>
      </c>
      <c r="Y325" s="208">
        <v>29715</v>
      </c>
      <c r="Z325" s="208">
        <v>1131047</v>
      </c>
      <c r="AA325" s="208">
        <v>37660</v>
      </c>
      <c r="AB325" s="208">
        <v>0</v>
      </c>
      <c r="AC325" s="208">
        <v>1168707</v>
      </c>
      <c r="AD325" s="209">
        <v>24.874044907949347</v>
      </c>
    </row>
    <row r="326" spans="1:30" ht="13.5" thickBot="1" x14ac:dyDescent="0.25">
      <c r="A326" s="48" t="s">
        <v>328</v>
      </c>
      <c r="B326" s="47" t="s">
        <v>327</v>
      </c>
      <c r="C326" s="48" t="s">
        <v>39</v>
      </c>
      <c r="D326" s="48" t="s">
        <v>2367</v>
      </c>
      <c r="E326" s="129" t="s">
        <v>20</v>
      </c>
      <c r="F326" s="129" t="s">
        <v>21</v>
      </c>
      <c r="G326" s="108">
        <v>40898</v>
      </c>
      <c r="H326" s="87" t="s">
        <v>1648</v>
      </c>
      <c r="I326" s="205">
        <v>8000</v>
      </c>
      <c r="J326" s="207">
        <v>40898</v>
      </c>
      <c r="K326" s="208">
        <v>72265</v>
      </c>
      <c r="L326" s="208">
        <v>1429032</v>
      </c>
      <c r="M326" s="208">
        <v>0</v>
      </c>
      <c r="N326" s="208">
        <v>89786</v>
      </c>
      <c r="O326" s="208">
        <v>1591083</v>
      </c>
      <c r="P326" s="208">
        <v>81796</v>
      </c>
      <c r="Q326" s="210">
        <v>0</v>
      </c>
      <c r="R326" s="203">
        <v>0</v>
      </c>
      <c r="S326" s="203">
        <v>0</v>
      </c>
      <c r="T326" s="203">
        <v>0</v>
      </c>
      <c r="U326" s="203">
        <v>0</v>
      </c>
      <c r="V326" s="203">
        <v>0</v>
      </c>
      <c r="W326" s="203">
        <v>0</v>
      </c>
      <c r="X326" s="208">
        <v>1591083</v>
      </c>
      <c r="Y326" s="208">
        <v>81796</v>
      </c>
      <c r="Z326" s="208">
        <v>1672879</v>
      </c>
      <c r="AA326" s="208">
        <v>114579</v>
      </c>
      <c r="AB326" s="208">
        <v>0</v>
      </c>
      <c r="AC326" s="208">
        <v>1787458</v>
      </c>
      <c r="AD326" s="209">
        <v>43.705266761210815</v>
      </c>
    </row>
    <row r="327" spans="1:30" ht="13.5" thickBot="1" x14ac:dyDescent="0.25">
      <c r="A327" s="48" t="s">
        <v>386</v>
      </c>
      <c r="B327" s="47" t="s">
        <v>385</v>
      </c>
      <c r="C327" s="48" t="s">
        <v>39</v>
      </c>
      <c r="D327" s="48" t="s">
        <v>2494</v>
      </c>
      <c r="E327" s="129" t="s">
        <v>15</v>
      </c>
      <c r="F327" s="129" t="s">
        <v>16</v>
      </c>
      <c r="G327" s="108">
        <v>41786</v>
      </c>
      <c r="H327" s="87" t="s">
        <v>1649</v>
      </c>
      <c r="I327" s="205">
        <v>0</v>
      </c>
      <c r="J327" s="207">
        <v>41786</v>
      </c>
      <c r="K327" s="208">
        <v>274230</v>
      </c>
      <c r="L327" s="208">
        <v>833098</v>
      </c>
      <c r="M327" s="208">
        <v>0</v>
      </c>
      <c r="N327" s="208">
        <v>0</v>
      </c>
      <c r="O327" s="208">
        <v>1107328</v>
      </c>
      <c r="P327" s="208">
        <v>49576</v>
      </c>
      <c r="Q327" s="210">
        <v>0</v>
      </c>
      <c r="R327" s="203">
        <v>0</v>
      </c>
      <c r="S327" s="203">
        <v>0</v>
      </c>
      <c r="T327" s="203">
        <v>0</v>
      </c>
      <c r="U327" s="203">
        <v>0</v>
      </c>
      <c r="V327" s="203">
        <v>0</v>
      </c>
      <c r="W327" s="203">
        <v>0</v>
      </c>
      <c r="X327" s="208">
        <v>1107328</v>
      </c>
      <c r="Y327" s="208">
        <v>49576</v>
      </c>
      <c r="Z327" s="208">
        <v>1156904</v>
      </c>
      <c r="AA327" s="208">
        <v>44351</v>
      </c>
      <c r="AB327" s="208">
        <v>0</v>
      </c>
      <c r="AC327" s="208">
        <v>1201255</v>
      </c>
      <c r="AD327" s="209">
        <v>28.747786339922463</v>
      </c>
    </row>
    <row r="328" spans="1:30" ht="13.5" thickBot="1" x14ac:dyDescent="0.25">
      <c r="A328" s="48" t="s">
        <v>431</v>
      </c>
      <c r="B328" s="47" t="s">
        <v>430</v>
      </c>
      <c r="C328" s="48" t="s">
        <v>39</v>
      </c>
      <c r="D328" s="48" t="s">
        <v>1947</v>
      </c>
      <c r="E328" s="129" t="s">
        <v>15</v>
      </c>
      <c r="F328" s="129" t="s">
        <v>16</v>
      </c>
      <c r="G328" s="108">
        <v>40771</v>
      </c>
      <c r="H328" s="87" t="s">
        <v>1649</v>
      </c>
      <c r="I328" s="205">
        <v>0</v>
      </c>
      <c r="J328" s="207">
        <v>40771</v>
      </c>
      <c r="K328" s="208">
        <v>91692</v>
      </c>
      <c r="L328" s="208">
        <v>1025612</v>
      </c>
      <c r="M328" s="203">
        <v>0</v>
      </c>
      <c r="N328" s="203">
        <v>0</v>
      </c>
      <c r="O328" s="208">
        <v>1117304</v>
      </c>
      <c r="P328" s="208">
        <v>46893</v>
      </c>
      <c r="Q328" s="210">
        <v>0</v>
      </c>
      <c r="R328" s="203">
        <v>0</v>
      </c>
      <c r="S328" s="203">
        <v>0</v>
      </c>
      <c r="T328" s="203">
        <v>0</v>
      </c>
      <c r="U328" s="203">
        <v>0</v>
      </c>
      <c r="V328" s="203">
        <v>0</v>
      </c>
      <c r="W328" s="203">
        <v>0</v>
      </c>
      <c r="X328" s="208">
        <v>1117304</v>
      </c>
      <c r="Y328" s="208">
        <v>46893</v>
      </c>
      <c r="Z328" s="208">
        <v>1164197</v>
      </c>
      <c r="AA328" s="208">
        <v>32679</v>
      </c>
      <c r="AB328" s="208">
        <v>0</v>
      </c>
      <c r="AC328" s="208">
        <v>1196876</v>
      </c>
      <c r="AD328" s="209">
        <v>29.356061906747442</v>
      </c>
    </row>
    <row r="329" spans="1:30" ht="13.5" thickBot="1" x14ac:dyDescent="0.25">
      <c r="A329" s="48" t="s">
        <v>437</v>
      </c>
      <c r="B329" s="47" t="s">
        <v>436</v>
      </c>
      <c r="C329" s="48" t="s">
        <v>39</v>
      </c>
      <c r="D329" s="48" t="s">
        <v>1979</v>
      </c>
      <c r="E329" s="129" t="s">
        <v>20</v>
      </c>
      <c r="F329" s="129" t="s">
        <v>21</v>
      </c>
      <c r="G329" s="108">
        <v>38144</v>
      </c>
      <c r="H329" s="87" t="s">
        <v>1649</v>
      </c>
      <c r="I329" s="205">
        <v>0</v>
      </c>
      <c r="J329" s="207">
        <v>38144</v>
      </c>
      <c r="K329" s="208">
        <v>55834</v>
      </c>
      <c r="L329" s="208">
        <v>324841</v>
      </c>
      <c r="M329" s="208">
        <v>0</v>
      </c>
      <c r="N329" s="208">
        <v>0</v>
      </c>
      <c r="O329" s="208">
        <v>380675</v>
      </c>
      <c r="P329" s="208">
        <v>1574</v>
      </c>
      <c r="Q329" s="210">
        <v>0</v>
      </c>
      <c r="R329" s="208">
        <v>0</v>
      </c>
      <c r="S329" s="208">
        <v>0</v>
      </c>
      <c r="T329" s="208">
        <v>0</v>
      </c>
      <c r="U329" s="208">
        <v>0</v>
      </c>
      <c r="V329" s="208">
        <v>0</v>
      </c>
      <c r="W329" s="208">
        <v>0</v>
      </c>
      <c r="X329" s="208">
        <v>380675</v>
      </c>
      <c r="Y329" s="208">
        <v>1574</v>
      </c>
      <c r="Z329" s="208">
        <v>382249</v>
      </c>
      <c r="AA329" s="208">
        <v>32532</v>
      </c>
      <c r="AB329" s="208">
        <v>0</v>
      </c>
      <c r="AC329" s="208">
        <v>414781</v>
      </c>
      <c r="AD329" s="209">
        <v>10.874082424496644</v>
      </c>
    </row>
    <row r="330" spans="1:30" ht="13.5" thickBot="1" x14ac:dyDescent="0.25">
      <c r="A330" s="48" t="s">
        <v>448</v>
      </c>
      <c r="B330" s="47" t="s">
        <v>447</v>
      </c>
      <c r="C330" s="48" t="s">
        <v>39</v>
      </c>
      <c r="D330" s="48" t="s">
        <v>1980</v>
      </c>
      <c r="E330" s="129" t="s">
        <v>20</v>
      </c>
      <c r="F330" s="129" t="s">
        <v>21</v>
      </c>
      <c r="G330" s="108">
        <v>35540</v>
      </c>
      <c r="H330" s="87" t="s">
        <v>1649</v>
      </c>
      <c r="I330" s="205">
        <v>0</v>
      </c>
      <c r="J330" s="207">
        <v>35540</v>
      </c>
      <c r="K330" s="208">
        <v>114482</v>
      </c>
      <c r="L330" s="208">
        <v>2330718</v>
      </c>
      <c r="M330" s="203">
        <v>0</v>
      </c>
      <c r="N330" s="208">
        <v>642212</v>
      </c>
      <c r="O330" s="208">
        <v>3087412</v>
      </c>
      <c r="P330" s="208">
        <v>78939</v>
      </c>
      <c r="Q330" s="210">
        <v>0</v>
      </c>
      <c r="R330" s="203">
        <v>0</v>
      </c>
      <c r="S330" s="203">
        <v>0</v>
      </c>
      <c r="T330" s="203">
        <v>0</v>
      </c>
      <c r="U330" s="203">
        <v>0</v>
      </c>
      <c r="V330" s="203">
        <v>0</v>
      </c>
      <c r="W330" s="203">
        <v>0</v>
      </c>
      <c r="X330" s="208">
        <v>3087412</v>
      </c>
      <c r="Y330" s="208">
        <v>78939</v>
      </c>
      <c r="Z330" s="208">
        <v>3166351</v>
      </c>
      <c r="AA330" s="208">
        <v>28452</v>
      </c>
      <c r="AB330" s="208">
        <v>0</v>
      </c>
      <c r="AC330" s="208">
        <v>3194803</v>
      </c>
      <c r="AD330" s="209">
        <v>89.893162633652224</v>
      </c>
    </row>
    <row r="331" spans="1:30" ht="13.5" thickBot="1" x14ac:dyDescent="0.25">
      <c r="A331" s="48" t="s">
        <v>464</v>
      </c>
      <c r="B331" s="47" t="s">
        <v>463</v>
      </c>
      <c r="C331" s="48" t="s">
        <v>39</v>
      </c>
      <c r="D331" s="48" t="s">
        <v>1940</v>
      </c>
      <c r="E331" s="129" t="s">
        <v>20</v>
      </c>
      <c r="F331" s="129" t="s">
        <v>21</v>
      </c>
      <c r="G331" s="108">
        <v>29694</v>
      </c>
      <c r="H331" s="87" t="s">
        <v>1649</v>
      </c>
      <c r="I331" s="205">
        <v>0</v>
      </c>
      <c r="J331" s="207">
        <v>29694</v>
      </c>
      <c r="K331" s="208">
        <v>51139</v>
      </c>
      <c r="L331" s="208">
        <v>707271</v>
      </c>
      <c r="M331" s="203">
        <v>0</v>
      </c>
      <c r="N331" s="208">
        <v>23773</v>
      </c>
      <c r="O331" s="208">
        <v>782183</v>
      </c>
      <c r="P331" s="208">
        <v>9603</v>
      </c>
      <c r="Q331" s="210">
        <v>0</v>
      </c>
      <c r="R331" s="203">
        <v>0</v>
      </c>
      <c r="S331" s="203">
        <v>0</v>
      </c>
      <c r="T331" s="203">
        <v>0</v>
      </c>
      <c r="U331" s="203">
        <v>0</v>
      </c>
      <c r="V331" s="203">
        <v>0</v>
      </c>
      <c r="W331" s="203">
        <v>0</v>
      </c>
      <c r="X331" s="208">
        <v>782183</v>
      </c>
      <c r="Y331" s="208">
        <v>9603</v>
      </c>
      <c r="Z331" s="208">
        <v>791786</v>
      </c>
      <c r="AA331" s="208">
        <v>23771</v>
      </c>
      <c r="AB331" s="208">
        <v>0</v>
      </c>
      <c r="AC331" s="208">
        <v>815557</v>
      </c>
      <c r="AD331" s="209">
        <v>27.465380211490537</v>
      </c>
    </row>
    <row r="332" spans="1:30" ht="13.5" thickBot="1" x14ac:dyDescent="0.25">
      <c r="A332" s="48" t="s">
        <v>484</v>
      </c>
      <c r="B332" s="47" t="s">
        <v>483</v>
      </c>
      <c r="C332" s="48" t="s">
        <v>39</v>
      </c>
      <c r="D332" s="48" t="s">
        <v>2595</v>
      </c>
      <c r="E332" s="129" t="s">
        <v>15</v>
      </c>
      <c r="F332" s="129" t="s">
        <v>16</v>
      </c>
      <c r="G332" s="108">
        <v>28646</v>
      </c>
      <c r="H332" s="87" t="s">
        <v>1649</v>
      </c>
      <c r="I332" s="205">
        <v>0</v>
      </c>
      <c r="J332" s="207">
        <v>28646</v>
      </c>
      <c r="K332" s="208">
        <v>118932</v>
      </c>
      <c r="L332" s="208">
        <v>1003264</v>
      </c>
      <c r="M332" s="203">
        <v>0</v>
      </c>
      <c r="N332" s="203">
        <v>0</v>
      </c>
      <c r="O332" s="208">
        <v>1122196</v>
      </c>
      <c r="P332" s="203">
        <v>0</v>
      </c>
      <c r="Q332" s="210">
        <v>0</v>
      </c>
      <c r="R332" s="203">
        <v>0</v>
      </c>
      <c r="S332" s="203">
        <v>0</v>
      </c>
      <c r="T332" s="203">
        <v>0</v>
      </c>
      <c r="U332" s="203">
        <v>0</v>
      </c>
      <c r="V332" s="203">
        <v>0</v>
      </c>
      <c r="W332" s="203">
        <v>0</v>
      </c>
      <c r="X332" s="208">
        <v>1122196</v>
      </c>
      <c r="Y332" s="203">
        <v>0</v>
      </c>
      <c r="Z332" s="208">
        <v>1122196</v>
      </c>
      <c r="AA332" s="208">
        <v>22960</v>
      </c>
      <c r="AB332" s="208">
        <v>11512</v>
      </c>
      <c r="AC332" s="208">
        <v>1156668</v>
      </c>
      <c r="AD332" s="209">
        <v>40.377993437129092</v>
      </c>
    </row>
    <row r="333" spans="1:30" ht="13.5" thickBot="1" x14ac:dyDescent="0.25">
      <c r="A333" s="48" t="s">
        <v>538</v>
      </c>
      <c r="B333" s="47" t="s">
        <v>537</v>
      </c>
      <c r="C333" s="48" t="s">
        <v>39</v>
      </c>
      <c r="D333" s="48" t="s">
        <v>1979</v>
      </c>
      <c r="E333" s="129" t="s">
        <v>46</v>
      </c>
      <c r="F333" s="129" t="s">
        <v>47</v>
      </c>
      <c r="G333" s="108">
        <v>34467</v>
      </c>
      <c r="H333" s="87" t="s">
        <v>1649</v>
      </c>
      <c r="I333" s="205">
        <v>0</v>
      </c>
      <c r="J333" s="207">
        <v>34467</v>
      </c>
      <c r="K333" s="208">
        <v>24934</v>
      </c>
      <c r="L333" s="208">
        <v>2914707</v>
      </c>
      <c r="M333" s="208">
        <v>0</v>
      </c>
      <c r="N333" s="208">
        <v>0</v>
      </c>
      <c r="O333" s="208">
        <v>2939641</v>
      </c>
      <c r="P333" s="208">
        <v>57119</v>
      </c>
      <c r="Q333" s="210">
        <v>0</v>
      </c>
      <c r="R333" s="203">
        <v>0</v>
      </c>
      <c r="S333" s="203">
        <v>0</v>
      </c>
      <c r="T333" s="203">
        <v>0</v>
      </c>
      <c r="U333" s="203">
        <v>0</v>
      </c>
      <c r="V333" s="203">
        <v>0</v>
      </c>
      <c r="W333" s="203">
        <v>0</v>
      </c>
      <c r="X333" s="208">
        <v>2939641</v>
      </c>
      <c r="Y333" s="208">
        <v>57119</v>
      </c>
      <c r="Z333" s="208">
        <v>2996760</v>
      </c>
      <c r="AA333" s="208">
        <v>68992</v>
      </c>
      <c r="AB333" s="208">
        <v>2092</v>
      </c>
      <c r="AC333" s="208">
        <v>3067844</v>
      </c>
      <c r="AD333" s="209">
        <v>89.008152725795682</v>
      </c>
    </row>
    <row r="334" spans="1:30" ht="13.5" thickBot="1" x14ac:dyDescent="0.25">
      <c r="A334" s="48" t="s">
        <v>544</v>
      </c>
      <c r="B334" s="47" t="s">
        <v>543</v>
      </c>
      <c r="C334" s="48" t="s">
        <v>39</v>
      </c>
      <c r="D334" s="48" t="s">
        <v>1940</v>
      </c>
      <c r="E334" s="129" t="s">
        <v>20</v>
      </c>
      <c r="F334" s="129" t="s">
        <v>21</v>
      </c>
      <c r="G334" s="108">
        <v>29319</v>
      </c>
      <c r="H334" s="87" t="s">
        <v>1649</v>
      </c>
      <c r="I334" s="205">
        <v>0</v>
      </c>
      <c r="J334" s="207">
        <v>29319</v>
      </c>
      <c r="K334" s="208">
        <v>71810</v>
      </c>
      <c r="L334" s="208">
        <v>702349</v>
      </c>
      <c r="M334" s="208">
        <v>27500</v>
      </c>
      <c r="N334" s="208">
        <v>25000</v>
      </c>
      <c r="O334" s="208">
        <v>826659</v>
      </c>
      <c r="P334" s="208">
        <v>25789</v>
      </c>
      <c r="Q334" s="210">
        <v>0</v>
      </c>
      <c r="R334" s="203">
        <v>0</v>
      </c>
      <c r="S334" s="203">
        <v>0</v>
      </c>
      <c r="T334" s="203">
        <v>0</v>
      </c>
      <c r="U334" s="203">
        <v>0</v>
      </c>
      <c r="V334" s="203">
        <v>0</v>
      </c>
      <c r="W334" s="203">
        <v>0</v>
      </c>
      <c r="X334" s="208">
        <v>826659</v>
      </c>
      <c r="Y334" s="208">
        <v>25789</v>
      </c>
      <c r="Z334" s="208">
        <v>852448</v>
      </c>
      <c r="AA334" s="208">
        <v>27000</v>
      </c>
      <c r="AB334" s="208">
        <v>7500</v>
      </c>
      <c r="AC334" s="208">
        <v>886948</v>
      </c>
      <c r="AD334" s="209">
        <v>30.251645690507861</v>
      </c>
    </row>
    <row r="335" spans="1:30" ht="13.5" thickBot="1" x14ac:dyDescent="0.25">
      <c r="A335" s="48" t="s">
        <v>550</v>
      </c>
      <c r="B335" s="47" t="s">
        <v>549</v>
      </c>
      <c r="C335" s="48" t="s">
        <v>39</v>
      </c>
      <c r="D335" s="48" t="s">
        <v>1940</v>
      </c>
      <c r="E335" s="129" t="s">
        <v>15</v>
      </c>
      <c r="F335" s="129" t="s">
        <v>16</v>
      </c>
      <c r="G335" s="108">
        <v>35394</v>
      </c>
      <c r="H335" s="87" t="s">
        <v>1649</v>
      </c>
      <c r="I335" s="205">
        <v>0</v>
      </c>
      <c r="J335" s="207">
        <v>35394</v>
      </c>
      <c r="K335" s="208">
        <v>75599</v>
      </c>
      <c r="L335" s="208">
        <v>2297710</v>
      </c>
      <c r="M335" s="208">
        <v>0</v>
      </c>
      <c r="N335" s="208">
        <v>0</v>
      </c>
      <c r="O335" s="208">
        <v>2373309</v>
      </c>
      <c r="P335" s="208">
        <v>187613</v>
      </c>
      <c r="Q335" s="210">
        <v>0</v>
      </c>
      <c r="R335" s="208">
        <v>0</v>
      </c>
      <c r="S335" s="208">
        <v>0</v>
      </c>
      <c r="T335" s="208">
        <v>0</v>
      </c>
      <c r="U335" s="208">
        <v>0</v>
      </c>
      <c r="V335" s="208">
        <v>0</v>
      </c>
      <c r="W335" s="208">
        <v>0</v>
      </c>
      <c r="X335" s="208">
        <v>2373309</v>
      </c>
      <c r="Y335" s="208">
        <v>187613</v>
      </c>
      <c r="Z335" s="208">
        <v>2560922</v>
      </c>
      <c r="AA335" s="208">
        <v>28871</v>
      </c>
      <c r="AB335" s="208">
        <v>0</v>
      </c>
      <c r="AC335" s="208">
        <v>2589793</v>
      </c>
      <c r="AD335" s="209">
        <v>73.170396112335425</v>
      </c>
    </row>
    <row r="336" spans="1:30" ht="13.5" thickBot="1" x14ac:dyDescent="0.25">
      <c r="A336" s="48" t="s">
        <v>578</v>
      </c>
      <c r="B336" s="47" t="s">
        <v>577</v>
      </c>
      <c r="C336" s="48" t="s">
        <v>39</v>
      </c>
      <c r="D336" s="48" t="s">
        <v>2349</v>
      </c>
      <c r="E336" s="129" t="s">
        <v>101</v>
      </c>
      <c r="F336" s="129" t="s">
        <v>102</v>
      </c>
      <c r="G336" s="108">
        <v>36441</v>
      </c>
      <c r="H336" s="87" t="s">
        <v>1648</v>
      </c>
      <c r="I336" s="205">
        <v>41500</v>
      </c>
      <c r="J336" s="207">
        <v>21355</v>
      </c>
      <c r="K336" s="208">
        <v>43076</v>
      </c>
      <c r="L336" s="208">
        <v>952444</v>
      </c>
      <c r="M336" s="208">
        <v>42458</v>
      </c>
      <c r="N336" s="203">
        <v>0</v>
      </c>
      <c r="O336" s="208">
        <v>1037978</v>
      </c>
      <c r="P336" s="208">
        <v>311254</v>
      </c>
      <c r="Q336" s="207">
        <v>15086</v>
      </c>
      <c r="R336" s="208">
        <v>31194</v>
      </c>
      <c r="S336" s="208">
        <v>596549</v>
      </c>
      <c r="T336" s="203">
        <v>0</v>
      </c>
      <c r="U336" s="203">
        <v>0</v>
      </c>
      <c r="V336" s="208">
        <v>627743</v>
      </c>
      <c r="W336" s="203">
        <v>0</v>
      </c>
      <c r="X336" s="208">
        <v>1665721</v>
      </c>
      <c r="Y336" s="208">
        <v>311254</v>
      </c>
      <c r="Z336" s="208">
        <v>1976975</v>
      </c>
      <c r="AA336" s="208">
        <v>29174</v>
      </c>
      <c r="AB336" s="208">
        <v>0</v>
      </c>
      <c r="AC336" s="208">
        <v>2006149</v>
      </c>
      <c r="AD336" s="209">
        <v>55.051974424412066</v>
      </c>
    </row>
    <row r="337" spans="1:30" ht="13.5" thickBot="1" x14ac:dyDescent="0.25">
      <c r="A337" s="48" t="s">
        <v>588</v>
      </c>
      <c r="B337" s="47" t="s">
        <v>587</v>
      </c>
      <c r="C337" s="48" t="s">
        <v>39</v>
      </c>
      <c r="D337" s="48" t="s">
        <v>1979</v>
      </c>
      <c r="E337" s="129" t="s">
        <v>15</v>
      </c>
      <c r="F337" s="129" t="s">
        <v>16</v>
      </c>
      <c r="G337" s="108">
        <v>36656</v>
      </c>
      <c r="H337" s="87" t="s">
        <v>1649</v>
      </c>
      <c r="I337" s="205">
        <v>1</v>
      </c>
      <c r="J337" s="207">
        <v>36656</v>
      </c>
      <c r="K337" s="208">
        <v>28663</v>
      </c>
      <c r="L337" s="208">
        <v>3481517</v>
      </c>
      <c r="M337" s="203">
        <v>0</v>
      </c>
      <c r="N337" s="203">
        <v>0</v>
      </c>
      <c r="O337" s="208">
        <v>3510180</v>
      </c>
      <c r="P337" s="208">
        <v>301970</v>
      </c>
      <c r="Q337" s="210">
        <v>0</v>
      </c>
      <c r="R337" s="203">
        <v>0</v>
      </c>
      <c r="S337" s="203">
        <v>0</v>
      </c>
      <c r="T337" s="203">
        <v>0</v>
      </c>
      <c r="U337" s="203">
        <v>0</v>
      </c>
      <c r="V337" s="203">
        <v>0</v>
      </c>
      <c r="W337" s="203">
        <v>0</v>
      </c>
      <c r="X337" s="208">
        <v>3510180</v>
      </c>
      <c r="Y337" s="208">
        <v>301970</v>
      </c>
      <c r="Z337" s="208">
        <v>3812150</v>
      </c>
      <c r="AA337" s="208">
        <v>29381</v>
      </c>
      <c r="AB337" s="208">
        <v>0</v>
      </c>
      <c r="AC337" s="208">
        <v>3841531</v>
      </c>
      <c r="AD337" s="209">
        <v>104.7995144041903</v>
      </c>
    </row>
    <row r="338" spans="1:30" ht="13.5" thickBot="1" x14ac:dyDescent="0.25">
      <c r="A338" s="48" t="s">
        <v>616</v>
      </c>
      <c r="B338" s="47" t="s">
        <v>615</v>
      </c>
      <c r="C338" s="48" t="s">
        <v>39</v>
      </c>
      <c r="D338" s="48" t="s">
        <v>1979</v>
      </c>
      <c r="E338" s="129" t="s">
        <v>61</v>
      </c>
      <c r="F338" s="129" t="s">
        <v>62</v>
      </c>
      <c r="G338" s="108">
        <v>48362</v>
      </c>
      <c r="H338" s="87" t="s">
        <v>1649</v>
      </c>
      <c r="I338" s="205">
        <v>0</v>
      </c>
      <c r="J338" s="207">
        <v>48362</v>
      </c>
      <c r="K338" s="208">
        <v>47071</v>
      </c>
      <c r="L338" s="208">
        <v>1865198</v>
      </c>
      <c r="M338" s="208">
        <v>0</v>
      </c>
      <c r="N338" s="208">
        <v>124695</v>
      </c>
      <c r="O338" s="208">
        <v>2036964</v>
      </c>
      <c r="P338" s="208">
        <v>164868</v>
      </c>
      <c r="Q338" s="210">
        <v>0</v>
      </c>
      <c r="R338" s="203">
        <v>0</v>
      </c>
      <c r="S338" s="203">
        <v>0</v>
      </c>
      <c r="T338" s="203">
        <v>0</v>
      </c>
      <c r="U338" s="203">
        <v>0</v>
      </c>
      <c r="V338" s="203">
        <v>0</v>
      </c>
      <c r="W338" s="203">
        <v>0</v>
      </c>
      <c r="X338" s="208">
        <v>2036964</v>
      </c>
      <c r="Y338" s="208">
        <v>164868</v>
      </c>
      <c r="Z338" s="208">
        <v>2201832</v>
      </c>
      <c r="AA338" s="208">
        <v>38763</v>
      </c>
      <c r="AB338" s="208">
        <v>0</v>
      </c>
      <c r="AC338" s="208">
        <v>2240595</v>
      </c>
      <c r="AD338" s="209">
        <v>46.329659650138538</v>
      </c>
    </row>
    <row r="339" spans="1:30" ht="13.5" thickBot="1" x14ac:dyDescent="0.25">
      <c r="A339" s="48" t="s">
        <v>640</v>
      </c>
      <c r="B339" s="47" t="s">
        <v>639</v>
      </c>
      <c r="C339" s="48" t="s">
        <v>39</v>
      </c>
      <c r="D339" s="48" t="s">
        <v>2010</v>
      </c>
      <c r="E339" s="129" t="s">
        <v>20</v>
      </c>
      <c r="F339" s="129" t="s">
        <v>21</v>
      </c>
      <c r="G339" s="108">
        <v>33839</v>
      </c>
      <c r="H339" s="87" t="s">
        <v>1649</v>
      </c>
      <c r="I339" s="205">
        <v>0</v>
      </c>
      <c r="J339" s="207">
        <v>33839</v>
      </c>
      <c r="K339" s="208">
        <v>35101</v>
      </c>
      <c r="L339" s="208">
        <v>2133911</v>
      </c>
      <c r="M339" s="208">
        <v>65525</v>
      </c>
      <c r="N339" s="208">
        <v>39543</v>
      </c>
      <c r="O339" s="208">
        <v>2274080</v>
      </c>
      <c r="P339" s="208">
        <v>81352</v>
      </c>
      <c r="Q339" s="210">
        <v>0</v>
      </c>
      <c r="R339" s="203">
        <v>0</v>
      </c>
      <c r="S339" s="203">
        <v>0</v>
      </c>
      <c r="T339" s="203">
        <v>0</v>
      </c>
      <c r="U339" s="203">
        <v>0</v>
      </c>
      <c r="V339" s="203">
        <v>0</v>
      </c>
      <c r="W339" s="203">
        <v>0</v>
      </c>
      <c r="X339" s="208">
        <v>2274080</v>
      </c>
      <c r="Y339" s="208">
        <v>81352</v>
      </c>
      <c r="Z339" s="208">
        <v>2355432</v>
      </c>
      <c r="AA339" s="208">
        <v>27000</v>
      </c>
      <c r="AB339" s="208">
        <v>0</v>
      </c>
      <c r="AC339" s="208">
        <v>2382432</v>
      </c>
      <c r="AD339" s="209">
        <v>70.404917402996546</v>
      </c>
    </row>
    <row r="340" spans="1:30" ht="13.5" thickBot="1" x14ac:dyDescent="0.25">
      <c r="A340" s="48" t="s">
        <v>642</v>
      </c>
      <c r="B340" s="47" t="s">
        <v>641</v>
      </c>
      <c r="C340" s="48" t="s">
        <v>39</v>
      </c>
      <c r="D340" s="48" t="s">
        <v>1979</v>
      </c>
      <c r="E340" s="129" t="s">
        <v>20</v>
      </c>
      <c r="F340" s="129" t="s">
        <v>21</v>
      </c>
      <c r="G340" s="108">
        <v>39868</v>
      </c>
      <c r="H340" s="87" t="s">
        <v>1649</v>
      </c>
      <c r="I340" s="205">
        <v>0</v>
      </c>
      <c r="J340" s="207">
        <v>23989</v>
      </c>
      <c r="K340" s="208">
        <v>222561</v>
      </c>
      <c r="L340" s="208">
        <v>0</v>
      </c>
      <c r="M340" s="208">
        <v>570973</v>
      </c>
      <c r="N340" s="208">
        <v>12185</v>
      </c>
      <c r="O340" s="208">
        <v>805719</v>
      </c>
      <c r="P340" s="208">
        <v>50261</v>
      </c>
      <c r="Q340" s="207">
        <v>15879</v>
      </c>
      <c r="R340" s="208">
        <v>9889</v>
      </c>
      <c r="S340" s="208">
        <v>0</v>
      </c>
      <c r="T340" s="208">
        <v>0</v>
      </c>
      <c r="U340" s="208">
        <v>25000</v>
      </c>
      <c r="V340" s="208">
        <v>34889</v>
      </c>
      <c r="W340" s="208">
        <v>0</v>
      </c>
      <c r="X340" s="208">
        <v>840608</v>
      </c>
      <c r="Y340" s="208">
        <v>50261</v>
      </c>
      <c r="Z340" s="208">
        <v>890869</v>
      </c>
      <c r="AA340" s="208">
        <v>31955</v>
      </c>
      <c r="AB340" s="208">
        <v>0</v>
      </c>
      <c r="AC340" s="208">
        <v>922824</v>
      </c>
      <c r="AD340" s="209">
        <v>23.146985050667201</v>
      </c>
    </row>
    <row r="341" spans="1:30" ht="13.5" thickBot="1" x14ac:dyDescent="0.25">
      <c r="A341" s="48" t="s">
        <v>646</v>
      </c>
      <c r="B341" s="47" t="s">
        <v>645</v>
      </c>
      <c r="C341" s="48" t="s">
        <v>39</v>
      </c>
      <c r="D341" s="48" t="s">
        <v>2010</v>
      </c>
      <c r="E341" s="129" t="s">
        <v>20</v>
      </c>
      <c r="F341" s="129" t="s">
        <v>21</v>
      </c>
      <c r="G341" s="108">
        <v>47299</v>
      </c>
      <c r="H341" s="87" t="s">
        <v>1649</v>
      </c>
      <c r="I341" s="205">
        <v>0</v>
      </c>
      <c r="J341" s="207">
        <v>47299</v>
      </c>
      <c r="K341" s="208">
        <v>44748</v>
      </c>
      <c r="L341" s="208">
        <v>455180</v>
      </c>
      <c r="M341" s="208">
        <v>910362</v>
      </c>
      <c r="N341" s="208">
        <v>100130</v>
      </c>
      <c r="O341" s="208">
        <v>1510420</v>
      </c>
      <c r="P341" s="208">
        <v>16613</v>
      </c>
      <c r="Q341" s="210">
        <v>0</v>
      </c>
      <c r="R341" s="203">
        <v>0</v>
      </c>
      <c r="S341" s="203">
        <v>0</v>
      </c>
      <c r="T341" s="203">
        <v>0</v>
      </c>
      <c r="U341" s="203">
        <v>0</v>
      </c>
      <c r="V341" s="203">
        <v>0</v>
      </c>
      <c r="W341" s="203">
        <v>0</v>
      </c>
      <c r="X341" s="208">
        <v>1510420</v>
      </c>
      <c r="Y341" s="208">
        <v>16613</v>
      </c>
      <c r="Z341" s="208">
        <v>1527033</v>
      </c>
      <c r="AA341" s="208">
        <v>37867</v>
      </c>
      <c r="AB341" s="208">
        <v>1500</v>
      </c>
      <c r="AC341" s="208">
        <v>1566400</v>
      </c>
      <c r="AD341" s="209">
        <v>33.116979217319603</v>
      </c>
    </row>
    <row r="342" spans="1:30" ht="13.5" thickBot="1" x14ac:dyDescent="0.25">
      <c r="A342" s="48" t="s">
        <v>664</v>
      </c>
      <c r="B342" s="47" t="s">
        <v>663</v>
      </c>
      <c r="C342" s="48" t="s">
        <v>39</v>
      </c>
      <c r="D342" s="48" t="s">
        <v>2006</v>
      </c>
      <c r="E342" s="129" t="s">
        <v>46</v>
      </c>
      <c r="F342" s="129" t="s">
        <v>47</v>
      </c>
      <c r="G342" s="108">
        <v>26376</v>
      </c>
      <c r="H342" s="87" t="s">
        <v>1649</v>
      </c>
      <c r="I342" s="205">
        <v>0</v>
      </c>
      <c r="J342" s="207">
        <v>26376</v>
      </c>
      <c r="K342" s="208">
        <v>35410</v>
      </c>
      <c r="L342" s="208">
        <v>2040086</v>
      </c>
      <c r="M342" s="203">
        <v>0</v>
      </c>
      <c r="N342" s="208">
        <v>0</v>
      </c>
      <c r="O342" s="208">
        <v>2075496</v>
      </c>
      <c r="P342" s="208">
        <v>82174</v>
      </c>
      <c r="Q342" s="210">
        <v>0</v>
      </c>
      <c r="R342" s="203">
        <v>0</v>
      </c>
      <c r="S342" s="203">
        <v>0</v>
      </c>
      <c r="T342" s="203">
        <v>0</v>
      </c>
      <c r="U342" s="203">
        <v>0</v>
      </c>
      <c r="V342" s="203">
        <v>0</v>
      </c>
      <c r="W342" s="203">
        <v>0</v>
      </c>
      <c r="X342" s="208">
        <v>2075496</v>
      </c>
      <c r="Y342" s="208">
        <v>82174</v>
      </c>
      <c r="Z342" s="208">
        <v>2157670</v>
      </c>
      <c r="AA342" s="208">
        <v>117845</v>
      </c>
      <c r="AB342" s="208">
        <v>0</v>
      </c>
      <c r="AC342" s="208">
        <v>2275515</v>
      </c>
      <c r="AD342" s="209">
        <v>86.272179253867151</v>
      </c>
    </row>
    <row r="343" spans="1:30" ht="13.5" thickBot="1" x14ac:dyDescent="0.25">
      <c r="A343" s="48" t="s">
        <v>688</v>
      </c>
      <c r="B343" s="47" t="s">
        <v>687</v>
      </c>
      <c r="C343" s="48" t="s">
        <v>39</v>
      </c>
      <c r="D343" s="48" t="s">
        <v>2215</v>
      </c>
      <c r="E343" s="129" t="s">
        <v>46</v>
      </c>
      <c r="F343" s="129" t="s">
        <v>47</v>
      </c>
      <c r="G343" s="108">
        <v>27920</v>
      </c>
      <c r="H343" s="87" t="s">
        <v>1649</v>
      </c>
      <c r="I343" s="203">
        <v>0</v>
      </c>
      <c r="J343" s="207">
        <v>27920</v>
      </c>
      <c r="K343" s="208">
        <v>55355</v>
      </c>
      <c r="L343" s="208">
        <v>734544</v>
      </c>
      <c r="M343" s="208">
        <v>0</v>
      </c>
      <c r="N343" s="208">
        <v>0</v>
      </c>
      <c r="O343" s="208">
        <v>789899</v>
      </c>
      <c r="P343" s="208">
        <v>20524</v>
      </c>
      <c r="Q343" s="210">
        <v>0</v>
      </c>
      <c r="R343" s="203">
        <v>0</v>
      </c>
      <c r="S343" s="203">
        <v>0</v>
      </c>
      <c r="T343" s="203">
        <v>0</v>
      </c>
      <c r="U343" s="203">
        <v>0</v>
      </c>
      <c r="V343" s="203">
        <v>0</v>
      </c>
      <c r="W343" s="203">
        <v>0</v>
      </c>
      <c r="X343" s="208">
        <v>789899</v>
      </c>
      <c r="Y343" s="208">
        <v>20524</v>
      </c>
      <c r="Z343" s="208">
        <v>810423</v>
      </c>
      <c r="AA343" s="208">
        <v>22352</v>
      </c>
      <c r="AB343" s="208">
        <v>0</v>
      </c>
      <c r="AC343" s="208">
        <v>832775</v>
      </c>
      <c r="AD343" s="209">
        <v>29.827184813753583</v>
      </c>
    </row>
    <row r="344" spans="1:30" ht="13.5" thickBot="1" x14ac:dyDescent="0.25">
      <c r="A344" s="48" t="s">
        <v>698</v>
      </c>
      <c r="B344" s="47" t="s">
        <v>697</v>
      </c>
      <c r="C344" s="48" t="s">
        <v>39</v>
      </c>
      <c r="D344" s="48" t="s">
        <v>1979</v>
      </c>
      <c r="E344" s="129" t="s">
        <v>20</v>
      </c>
      <c r="F344" s="129" t="s">
        <v>21</v>
      </c>
      <c r="G344" s="108">
        <v>30047</v>
      </c>
      <c r="H344" s="87" t="s">
        <v>1649</v>
      </c>
      <c r="I344" s="205">
        <v>0</v>
      </c>
      <c r="J344" s="207">
        <v>30047</v>
      </c>
      <c r="K344" s="208">
        <v>23494</v>
      </c>
      <c r="L344" s="208">
        <v>589992</v>
      </c>
      <c r="M344" s="203">
        <v>0</v>
      </c>
      <c r="N344" s="203">
        <v>0</v>
      </c>
      <c r="O344" s="208">
        <v>613486</v>
      </c>
      <c r="P344" s="208">
        <v>23000</v>
      </c>
      <c r="Q344" s="210">
        <v>0</v>
      </c>
      <c r="R344" s="203">
        <v>0</v>
      </c>
      <c r="S344" s="203">
        <v>0</v>
      </c>
      <c r="T344" s="203">
        <v>0</v>
      </c>
      <c r="U344" s="203">
        <v>0</v>
      </c>
      <c r="V344" s="203">
        <v>0</v>
      </c>
      <c r="W344" s="203">
        <v>0</v>
      </c>
      <c r="X344" s="208">
        <v>613486</v>
      </c>
      <c r="Y344" s="208">
        <v>23000</v>
      </c>
      <c r="Z344" s="208">
        <v>636486</v>
      </c>
      <c r="AA344" s="208">
        <v>24083</v>
      </c>
      <c r="AB344" s="208">
        <v>0</v>
      </c>
      <c r="AC344" s="208">
        <v>660569</v>
      </c>
      <c r="AD344" s="209">
        <v>21.984524245348954</v>
      </c>
    </row>
    <row r="345" spans="1:30" ht="13.5" thickBot="1" x14ac:dyDescent="0.25">
      <c r="A345" s="48" t="s">
        <v>716</v>
      </c>
      <c r="B345" s="47" t="s">
        <v>715</v>
      </c>
      <c r="C345" s="48" t="s">
        <v>39</v>
      </c>
      <c r="D345" s="48" t="s">
        <v>2266</v>
      </c>
      <c r="E345" s="129" t="s">
        <v>20</v>
      </c>
      <c r="F345" s="129" t="s">
        <v>21</v>
      </c>
      <c r="G345" s="108">
        <v>43031</v>
      </c>
      <c r="H345" s="87" t="s">
        <v>1649</v>
      </c>
      <c r="I345" s="205">
        <v>0</v>
      </c>
      <c r="J345" s="207">
        <v>40841</v>
      </c>
      <c r="K345" s="208">
        <v>131073</v>
      </c>
      <c r="L345" s="208">
        <v>649613</v>
      </c>
      <c r="M345" s="208">
        <v>2000</v>
      </c>
      <c r="N345" s="208">
        <v>161590</v>
      </c>
      <c r="O345" s="208">
        <v>944276</v>
      </c>
      <c r="P345" s="208">
        <v>164460</v>
      </c>
      <c r="Q345" s="207">
        <v>2190</v>
      </c>
      <c r="R345" s="208">
        <v>7923</v>
      </c>
      <c r="S345" s="208">
        <v>94897</v>
      </c>
      <c r="T345" s="203">
        <v>0</v>
      </c>
      <c r="U345" s="203">
        <v>0</v>
      </c>
      <c r="V345" s="208">
        <v>102820</v>
      </c>
      <c r="W345" s="208">
        <v>10475</v>
      </c>
      <c r="X345" s="208">
        <v>1047096</v>
      </c>
      <c r="Y345" s="208">
        <v>174935</v>
      </c>
      <c r="Z345" s="208">
        <v>1222031</v>
      </c>
      <c r="AA345" s="208">
        <v>29788</v>
      </c>
      <c r="AB345" s="208">
        <v>0</v>
      </c>
      <c r="AC345" s="208">
        <v>1251819</v>
      </c>
      <c r="AD345" s="209">
        <v>29.091097116032628</v>
      </c>
    </row>
    <row r="346" spans="1:30" ht="13.5" thickBot="1" x14ac:dyDescent="0.25">
      <c r="A346" s="48" t="s">
        <v>760</v>
      </c>
      <c r="B346" s="47" t="s">
        <v>759</v>
      </c>
      <c r="C346" s="48" t="s">
        <v>39</v>
      </c>
      <c r="D346" s="48" t="s">
        <v>2446</v>
      </c>
      <c r="E346" s="129" t="s">
        <v>15</v>
      </c>
      <c r="F346" s="129" t="s">
        <v>16</v>
      </c>
      <c r="G346" s="108">
        <v>44265</v>
      </c>
      <c r="H346" s="87" t="s">
        <v>1649</v>
      </c>
      <c r="I346" s="205">
        <v>0</v>
      </c>
      <c r="J346" s="207">
        <v>40692</v>
      </c>
      <c r="K346" s="208">
        <v>155112</v>
      </c>
      <c r="L346" s="208">
        <v>1879380</v>
      </c>
      <c r="M346" s="203">
        <v>0</v>
      </c>
      <c r="N346" s="208">
        <v>88071</v>
      </c>
      <c r="O346" s="208">
        <v>2122563</v>
      </c>
      <c r="P346" s="208">
        <v>85590</v>
      </c>
      <c r="Q346" s="207">
        <v>3573</v>
      </c>
      <c r="R346" s="208">
        <v>14348</v>
      </c>
      <c r="S346" s="208">
        <v>0</v>
      </c>
      <c r="T346" s="203">
        <v>0</v>
      </c>
      <c r="U346" s="208">
        <v>1000</v>
      </c>
      <c r="V346" s="208">
        <v>15348</v>
      </c>
      <c r="W346" s="203">
        <v>0</v>
      </c>
      <c r="X346" s="208">
        <v>2137911</v>
      </c>
      <c r="Y346" s="208">
        <v>85590</v>
      </c>
      <c r="Z346" s="208">
        <v>2223501</v>
      </c>
      <c r="AA346" s="208">
        <v>35066</v>
      </c>
      <c r="AB346" s="208">
        <v>0</v>
      </c>
      <c r="AC346" s="208">
        <v>2258567</v>
      </c>
      <c r="AD346" s="209">
        <v>51.023765955043487</v>
      </c>
    </row>
    <row r="347" spans="1:30" ht="13.5" thickBot="1" x14ac:dyDescent="0.25">
      <c r="A347" s="48" t="s">
        <v>800</v>
      </c>
      <c r="B347" s="47" t="s">
        <v>799</v>
      </c>
      <c r="C347" s="48" t="s">
        <v>39</v>
      </c>
      <c r="D347" s="48" t="s">
        <v>1940</v>
      </c>
      <c r="E347" s="129" t="s">
        <v>15</v>
      </c>
      <c r="F347" s="129" t="s">
        <v>16</v>
      </c>
      <c r="G347" s="108">
        <v>30019</v>
      </c>
      <c r="H347" s="87" t="s">
        <v>1649</v>
      </c>
      <c r="I347" s="205">
        <v>0</v>
      </c>
      <c r="J347" s="207">
        <v>30019</v>
      </c>
      <c r="K347" s="208">
        <v>64118</v>
      </c>
      <c r="L347" s="208">
        <v>1149300</v>
      </c>
      <c r="M347" s="203">
        <v>0</v>
      </c>
      <c r="N347" s="203">
        <v>0</v>
      </c>
      <c r="O347" s="208">
        <v>1213418</v>
      </c>
      <c r="P347" s="208">
        <v>139416</v>
      </c>
      <c r="Q347" s="210">
        <v>0</v>
      </c>
      <c r="R347" s="203">
        <v>0</v>
      </c>
      <c r="S347" s="203">
        <v>0</v>
      </c>
      <c r="T347" s="203">
        <v>0</v>
      </c>
      <c r="U347" s="203">
        <v>0</v>
      </c>
      <c r="V347" s="203">
        <v>0</v>
      </c>
      <c r="W347" s="203">
        <v>0</v>
      </c>
      <c r="X347" s="208">
        <v>1213418</v>
      </c>
      <c r="Y347" s="208">
        <v>139416</v>
      </c>
      <c r="Z347" s="208">
        <v>1352834</v>
      </c>
      <c r="AA347" s="208">
        <v>24061</v>
      </c>
      <c r="AB347" s="208">
        <v>0</v>
      </c>
      <c r="AC347" s="208">
        <v>1376895</v>
      </c>
      <c r="AD347" s="209">
        <v>45.867450614610746</v>
      </c>
    </row>
    <row r="348" spans="1:30" ht="13.5" thickBot="1" x14ac:dyDescent="0.25">
      <c r="A348" s="48" t="s">
        <v>53</v>
      </c>
      <c r="B348" s="47" t="s">
        <v>52</v>
      </c>
      <c r="C348" s="48" t="s">
        <v>54</v>
      </c>
      <c r="D348" s="48" t="s">
        <v>2006</v>
      </c>
      <c r="E348" s="129" t="s">
        <v>20</v>
      </c>
      <c r="F348" s="129" t="s">
        <v>21</v>
      </c>
      <c r="G348" s="108">
        <v>163590</v>
      </c>
      <c r="H348" s="87" t="s">
        <v>1649</v>
      </c>
      <c r="I348" s="205">
        <v>0</v>
      </c>
      <c r="J348" s="207">
        <v>163590</v>
      </c>
      <c r="K348" s="208">
        <v>166555</v>
      </c>
      <c r="L348" s="208">
        <v>16705845</v>
      </c>
      <c r="M348" s="203">
        <v>0</v>
      </c>
      <c r="N348" s="208">
        <v>213145</v>
      </c>
      <c r="O348" s="208">
        <v>17085545</v>
      </c>
      <c r="P348" s="208">
        <v>850312</v>
      </c>
      <c r="Q348" s="210">
        <v>0</v>
      </c>
      <c r="R348" s="203">
        <v>0</v>
      </c>
      <c r="S348" s="203">
        <v>0</v>
      </c>
      <c r="T348" s="203">
        <v>0</v>
      </c>
      <c r="U348" s="203">
        <v>0</v>
      </c>
      <c r="V348" s="203">
        <v>0</v>
      </c>
      <c r="W348" s="203">
        <v>0</v>
      </c>
      <c r="X348" s="208">
        <v>17085545</v>
      </c>
      <c r="Y348" s="208">
        <v>850312</v>
      </c>
      <c r="Z348" s="208">
        <v>17935857</v>
      </c>
      <c r="AA348" s="208">
        <v>106556</v>
      </c>
      <c r="AB348" s="208">
        <v>0</v>
      </c>
      <c r="AC348" s="208">
        <v>18042413</v>
      </c>
      <c r="AD348" s="209">
        <v>110.2904395134177</v>
      </c>
    </row>
    <row r="349" spans="1:30" ht="13.5" thickBot="1" x14ac:dyDescent="0.25">
      <c r="A349" s="48" t="s">
        <v>78</v>
      </c>
      <c r="B349" s="47" t="s">
        <v>77</v>
      </c>
      <c r="C349" s="48" t="s">
        <v>54</v>
      </c>
      <c r="D349" s="48" t="s">
        <v>2041</v>
      </c>
      <c r="E349" s="129" t="s">
        <v>15</v>
      </c>
      <c r="F349" s="129" t="s">
        <v>16</v>
      </c>
      <c r="G349" s="108">
        <v>107681</v>
      </c>
      <c r="H349" s="87" t="s">
        <v>1649</v>
      </c>
      <c r="I349" s="205">
        <v>0</v>
      </c>
      <c r="J349" s="207">
        <v>107681</v>
      </c>
      <c r="K349" s="208">
        <v>328886</v>
      </c>
      <c r="L349" s="208">
        <v>5501958</v>
      </c>
      <c r="M349" s="208">
        <v>0</v>
      </c>
      <c r="N349" s="208">
        <v>527943</v>
      </c>
      <c r="O349" s="208">
        <v>6358787</v>
      </c>
      <c r="P349" s="208">
        <v>158887</v>
      </c>
      <c r="Q349" s="210">
        <v>0</v>
      </c>
      <c r="R349" s="208">
        <v>0</v>
      </c>
      <c r="S349" s="208">
        <v>0</v>
      </c>
      <c r="T349" s="208">
        <v>0</v>
      </c>
      <c r="U349" s="208">
        <v>0</v>
      </c>
      <c r="V349" s="208">
        <v>0</v>
      </c>
      <c r="W349" s="208">
        <v>0</v>
      </c>
      <c r="X349" s="208">
        <v>6358787</v>
      </c>
      <c r="Y349" s="208">
        <v>158887</v>
      </c>
      <c r="Z349" s="208">
        <v>6517674</v>
      </c>
      <c r="AA349" s="208">
        <v>86866</v>
      </c>
      <c r="AB349" s="208">
        <v>0</v>
      </c>
      <c r="AC349" s="208">
        <v>6604540</v>
      </c>
      <c r="AD349" s="209">
        <v>61.334311531282211</v>
      </c>
    </row>
    <row r="350" spans="1:30" ht="13.5" thickBot="1" x14ac:dyDescent="0.25">
      <c r="A350" s="48" t="s">
        <v>140</v>
      </c>
      <c r="B350" s="47" t="s">
        <v>139</v>
      </c>
      <c r="C350" s="48" t="s">
        <v>54</v>
      </c>
      <c r="D350" s="48" t="s">
        <v>1979</v>
      </c>
      <c r="E350" s="129" t="s">
        <v>15</v>
      </c>
      <c r="F350" s="129" t="s">
        <v>16</v>
      </c>
      <c r="G350" s="108">
        <v>90173</v>
      </c>
      <c r="H350" s="87" t="s">
        <v>1649</v>
      </c>
      <c r="I350" s="205">
        <v>0</v>
      </c>
      <c r="J350" s="207">
        <v>90173</v>
      </c>
      <c r="K350" s="208">
        <v>70510</v>
      </c>
      <c r="L350" s="208">
        <v>5923345</v>
      </c>
      <c r="M350" s="208">
        <v>0</v>
      </c>
      <c r="N350" s="208">
        <v>0</v>
      </c>
      <c r="O350" s="208">
        <v>5993855</v>
      </c>
      <c r="P350" s="208">
        <v>204813</v>
      </c>
      <c r="Q350" s="210">
        <v>0</v>
      </c>
      <c r="R350" s="203">
        <v>0</v>
      </c>
      <c r="S350" s="203">
        <v>0</v>
      </c>
      <c r="T350" s="203">
        <v>0</v>
      </c>
      <c r="U350" s="203">
        <v>0</v>
      </c>
      <c r="V350" s="203">
        <v>0</v>
      </c>
      <c r="W350" s="203">
        <v>0</v>
      </c>
      <c r="X350" s="208">
        <v>5993855</v>
      </c>
      <c r="Y350" s="208">
        <v>204813</v>
      </c>
      <c r="Z350" s="208">
        <v>6198668</v>
      </c>
      <c r="AA350" s="208">
        <v>72276</v>
      </c>
      <c r="AB350" s="208">
        <v>0</v>
      </c>
      <c r="AC350" s="208">
        <v>6270944</v>
      </c>
      <c r="AD350" s="209">
        <v>69.543477537622124</v>
      </c>
    </row>
    <row r="351" spans="1:30" ht="13.5" thickBot="1" x14ac:dyDescent="0.25">
      <c r="A351" s="48" t="s">
        <v>142</v>
      </c>
      <c r="B351" s="47" t="s">
        <v>141</v>
      </c>
      <c r="C351" s="48" t="s">
        <v>54</v>
      </c>
      <c r="D351" s="48" t="s">
        <v>1939</v>
      </c>
      <c r="E351" s="129" t="s">
        <v>15</v>
      </c>
      <c r="F351" s="129" t="s">
        <v>16</v>
      </c>
      <c r="G351" s="108">
        <v>238859</v>
      </c>
      <c r="H351" s="87" t="s">
        <v>1649</v>
      </c>
      <c r="I351" s="205">
        <v>0</v>
      </c>
      <c r="J351" s="207">
        <v>238859</v>
      </c>
      <c r="K351" s="208">
        <v>417664</v>
      </c>
      <c r="L351" s="208">
        <v>10620125</v>
      </c>
      <c r="M351" s="208">
        <v>0</v>
      </c>
      <c r="N351" s="208">
        <v>447693</v>
      </c>
      <c r="O351" s="208">
        <v>11485482</v>
      </c>
      <c r="P351" s="208">
        <v>625919</v>
      </c>
      <c r="Q351" s="210">
        <v>0</v>
      </c>
      <c r="R351" s="203">
        <v>0</v>
      </c>
      <c r="S351" s="203">
        <v>0</v>
      </c>
      <c r="T351" s="203">
        <v>0</v>
      </c>
      <c r="U351" s="203">
        <v>0</v>
      </c>
      <c r="V351" s="203">
        <v>0</v>
      </c>
      <c r="W351" s="203">
        <v>0</v>
      </c>
      <c r="X351" s="208">
        <v>11485482</v>
      </c>
      <c r="Y351" s="208">
        <v>625919</v>
      </c>
      <c r="Z351" s="208">
        <v>12111401</v>
      </c>
      <c r="AA351" s="208">
        <v>328714</v>
      </c>
      <c r="AB351" s="208">
        <v>0</v>
      </c>
      <c r="AC351" s="208">
        <v>12440115</v>
      </c>
      <c r="AD351" s="209">
        <v>52.081416233007758</v>
      </c>
    </row>
    <row r="352" spans="1:30" ht="13.5" thickBot="1" x14ac:dyDescent="0.25">
      <c r="A352" s="48" t="s">
        <v>172</v>
      </c>
      <c r="B352" s="47" t="s">
        <v>171</v>
      </c>
      <c r="C352" s="48" t="s">
        <v>54</v>
      </c>
      <c r="D352" s="48" t="s">
        <v>2190</v>
      </c>
      <c r="E352" s="129" t="s">
        <v>15</v>
      </c>
      <c r="F352" s="129" t="s">
        <v>16</v>
      </c>
      <c r="G352" s="108">
        <v>51640</v>
      </c>
      <c r="H352" s="87" t="s">
        <v>1649</v>
      </c>
      <c r="I352" s="205">
        <v>0</v>
      </c>
      <c r="J352" s="207">
        <v>51640</v>
      </c>
      <c r="K352" s="208">
        <v>180516</v>
      </c>
      <c r="L352" s="208">
        <v>2139083</v>
      </c>
      <c r="M352" s="203">
        <v>0</v>
      </c>
      <c r="N352" s="203">
        <v>0</v>
      </c>
      <c r="O352" s="208">
        <v>2319599</v>
      </c>
      <c r="P352" s="208">
        <v>152704</v>
      </c>
      <c r="Q352" s="210">
        <v>0</v>
      </c>
      <c r="R352" s="203">
        <v>0</v>
      </c>
      <c r="S352" s="203">
        <v>0</v>
      </c>
      <c r="T352" s="203">
        <v>0</v>
      </c>
      <c r="U352" s="203">
        <v>0</v>
      </c>
      <c r="V352" s="203">
        <v>0</v>
      </c>
      <c r="W352" s="203">
        <v>0</v>
      </c>
      <c r="X352" s="208">
        <v>2319599</v>
      </c>
      <c r="Y352" s="208">
        <v>152704</v>
      </c>
      <c r="Z352" s="208">
        <v>2472303</v>
      </c>
      <c r="AA352" s="208">
        <v>43910</v>
      </c>
      <c r="AB352" s="208">
        <v>0</v>
      </c>
      <c r="AC352" s="208">
        <v>2516213</v>
      </c>
      <c r="AD352" s="209">
        <v>48.726045701006974</v>
      </c>
    </row>
    <row r="353" spans="1:30" ht="13.5" thickBot="1" x14ac:dyDescent="0.25">
      <c r="A353" s="48" t="s">
        <v>178</v>
      </c>
      <c r="B353" s="47" t="s">
        <v>177</v>
      </c>
      <c r="C353" s="48" t="s">
        <v>54</v>
      </c>
      <c r="D353" s="48" t="s">
        <v>2010</v>
      </c>
      <c r="E353" s="129" t="s">
        <v>46</v>
      </c>
      <c r="F353" s="129" t="s">
        <v>47</v>
      </c>
      <c r="G353" s="108">
        <v>169833</v>
      </c>
      <c r="H353" s="87" t="s">
        <v>1649</v>
      </c>
      <c r="I353" s="205">
        <v>0</v>
      </c>
      <c r="J353" s="207">
        <v>169833</v>
      </c>
      <c r="K353" s="208">
        <v>176166</v>
      </c>
      <c r="L353" s="208">
        <v>7779855</v>
      </c>
      <c r="M353" s="203">
        <v>0</v>
      </c>
      <c r="N353" s="208">
        <v>157394</v>
      </c>
      <c r="O353" s="208">
        <v>8113415</v>
      </c>
      <c r="P353" s="208">
        <v>99851</v>
      </c>
      <c r="Q353" s="210">
        <v>0</v>
      </c>
      <c r="R353" s="203">
        <v>0</v>
      </c>
      <c r="S353" s="203">
        <v>0</v>
      </c>
      <c r="T353" s="203">
        <v>0</v>
      </c>
      <c r="U353" s="203">
        <v>0</v>
      </c>
      <c r="V353" s="203">
        <v>0</v>
      </c>
      <c r="W353" s="203">
        <v>0</v>
      </c>
      <c r="X353" s="208">
        <v>8113415</v>
      </c>
      <c r="Y353" s="208">
        <v>99851</v>
      </c>
      <c r="Z353" s="208">
        <v>8213266</v>
      </c>
      <c r="AA353" s="208">
        <v>136126</v>
      </c>
      <c r="AB353" s="208">
        <v>0</v>
      </c>
      <c r="AC353" s="208">
        <v>8349392</v>
      </c>
      <c r="AD353" s="209">
        <v>49.162365382463953</v>
      </c>
    </row>
    <row r="354" spans="1:30" ht="13.5" thickBot="1" x14ac:dyDescent="0.25">
      <c r="A354" s="48" t="s">
        <v>212</v>
      </c>
      <c r="B354" s="47" t="s">
        <v>211</v>
      </c>
      <c r="C354" s="48" t="s">
        <v>54</v>
      </c>
      <c r="D354" s="48" t="s">
        <v>1979</v>
      </c>
      <c r="E354" s="129" t="s">
        <v>20</v>
      </c>
      <c r="F354" s="129" t="s">
        <v>21</v>
      </c>
      <c r="G354" s="108">
        <v>57774</v>
      </c>
      <c r="H354" s="87" t="s">
        <v>1649</v>
      </c>
      <c r="I354" s="205">
        <v>0</v>
      </c>
      <c r="J354" s="207">
        <v>57774</v>
      </c>
      <c r="K354" s="208">
        <v>114412</v>
      </c>
      <c r="L354" s="208">
        <v>2217218</v>
      </c>
      <c r="M354" s="208">
        <v>231204</v>
      </c>
      <c r="N354" s="203">
        <v>0</v>
      </c>
      <c r="O354" s="208">
        <v>2562834</v>
      </c>
      <c r="P354" s="208">
        <v>129604</v>
      </c>
      <c r="Q354" s="210">
        <v>0</v>
      </c>
      <c r="R354" s="203">
        <v>0</v>
      </c>
      <c r="S354" s="203">
        <v>0</v>
      </c>
      <c r="T354" s="203">
        <v>0</v>
      </c>
      <c r="U354" s="203">
        <v>0</v>
      </c>
      <c r="V354" s="203">
        <v>0</v>
      </c>
      <c r="W354" s="203">
        <v>0</v>
      </c>
      <c r="X354" s="208">
        <v>2562834</v>
      </c>
      <c r="Y354" s="208">
        <v>129604</v>
      </c>
      <c r="Z354" s="208">
        <v>2692438</v>
      </c>
      <c r="AA354" s="208">
        <v>22929</v>
      </c>
      <c r="AB354" s="208">
        <v>0</v>
      </c>
      <c r="AC354" s="208">
        <v>2715367</v>
      </c>
      <c r="AD354" s="209">
        <v>46.999809602935578</v>
      </c>
    </row>
    <row r="355" spans="1:30" ht="13.5" thickBot="1" x14ac:dyDescent="0.25">
      <c r="A355" s="48" t="s">
        <v>214</v>
      </c>
      <c r="B355" s="47" t="s">
        <v>213</v>
      </c>
      <c r="C355" s="48" t="s">
        <v>54</v>
      </c>
      <c r="D355" s="48" t="s">
        <v>1979</v>
      </c>
      <c r="E355" s="129" t="s">
        <v>20</v>
      </c>
      <c r="F355" s="129" t="s">
        <v>21</v>
      </c>
      <c r="G355" s="108">
        <v>98153</v>
      </c>
      <c r="H355" s="87" t="s">
        <v>1649</v>
      </c>
      <c r="I355" s="205">
        <v>0</v>
      </c>
      <c r="J355" s="207">
        <v>98153</v>
      </c>
      <c r="K355" s="208">
        <v>76749</v>
      </c>
      <c r="L355" s="208">
        <v>5588774</v>
      </c>
      <c r="M355" s="208">
        <v>0</v>
      </c>
      <c r="N355" s="208">
        <v>35459</v>
      </c>
      <c r="O355" s="208">
        <v>5700982</v>
      </c>
      <c r="P355" s="208">
        <v>54664</v>
      </c>
      <c r="Q355" s="210">
        <v>0</v>
      </c>
      <c r="R355" s="203">
        <v>0</v>
      </c>
      <c r="S355" s="203">
        <v>0</v>
      </c>
      <c r="T355" s="203">
        <v>0</v>
      </c>
      <c r="U355" s="203">
        <v>0</v>
      </c>
      <c r="V355" s="203">
        <v>0</v>
      </c>
      <c r="W355" s="203">
        <v>0</v>
      </c>
      <c r="X355" s="208">
        <v>5700982</v>
      </c>
      <c r="Y355" s="208">
        <v>54664</v>
      </c>
      <c r="Z355" s="208">
        <v>5755646</v>
      </c>
      <c r="AA355" s="208">
        <v>1265232</v>
      </c>
      <c r="AB355" s="208">
        <v>11189</v>
      </c>
      <c r="AC355" s="208">
        <v>7032067</v>
      </c>
      <c r="AD355" s="209">
        <v>71.643933450836954</v>
      </c>
    </row>
    <row r="356" spans="1:30" ht="13.5" thickBot="1" x14ac:dyDescent="0.25">
      <c r="A356" s="48" t="s">
        <v>222</v>
      </c>
      <c r="B356" s="47" t="s">
        <v>221</v>
      </c>
      <c r="C356" s="48" t="s">
        <v>54</v>
      </c>
      <c r="D356" s="48" t="s">
        <v>1979</v>
      </c>
      <c r="E356" s="129" t="s">
        <v>20</v>
      </c>
      <c r="F356" s="129" t="s">
        <v>21</v>
      </c>
      <c r="G356" s="108">
        <v>713777</v>
      </c>
      <c r="H356" s="87" t="s">
        <v>1648</v>
      </c>
      <c r="I356" s="205">
        <v>3000000</v>
      </c>
      <c r="J356" s="207">
        <v>713777</v>
      </c>
      <c r="K356" s="208">
        <v>442609</v>
      </c>
      <c r="L356" s="208">
        <v>25238671</v>
      </c>
      <c r="M356" s="208">
        <v>0</v>
      </c>
      <c r="N356" s="208">
        <v>1325784</v>
      </c>
      <c r="O356" s="208">
        <v>27007064</v>
      </c>
      <c r="P356" s="208">
        <v>480439</v>
      </c>
      <c r="Q356" s="210">
        <v>0</v>
      </c>
      <c r="R356" s="208">
        <v>0</v>
      </c>
      <c r="S356" s="208">
        <v>0</v>
      </c>
      <c r="T356" s="208">
        <v>0</v>
      </c>
      <c r="U356" s="208">
        <v>0</v>
      </c>
      <c r="V356" s="208">
        <v>0</v>
      </c>
      <c r="W356" s="208">
        <v>0</v>
      </c>
      <c r="X356" s="208">
        <v>27007064</v>
      </c>
      <c r="Y356" s="208">
        <v>480439</v>
      </c>
      <c r="Z356" s="208">
        <v>27487503</v>
      </c>
      <c r="AA356" s="208">
        <v>891882</v>
      </c>
      <c r="AB356" s="208">
        <v>0</v>
      </c>
      <c r="AC356" s="208">
        <v>28379385</v>
      </c>
      <c r="AD356" s="209">
        <v>39.759455684338384</v>
      </c>
    </row>
    <row r="357" spans="1:30" ht="13.5" thickBot="1" x14ac:dyDescent="0.25">
      <c r="A357" s="48" t="s">
        <v>266</v>
      </c>
      <c r="B357" s="47" t="s">
        <v>265</v>
      </c>
      <c r="C357" s="48" t="s">
        <v>54</v>
      </c>
      <c r="D357" s="48" t="s">
        <v>1940</v>
      </c>
      <c r="E357" s="129" t="s">
        <v>20</v>
      </c>
      <c r="F357" s="129" t="s">
        <v>21</v>
      </c>
      <c r="G357" s="108">
        <v>90112</v>
      </c>
      <c r="H357" s="87" t="s">
        <v>1648</v>
      </c>
      <c r="I357" s="205">
        <v>335067</v>
      </c>
      <c r="J357" s="207">
        <v>90112</v>
      </c>
      <c r="K357" s="208">
        <v>155192</v>
      </c>
      <c r="L357" s="208">
        <v>5830304</v>
      </c>
      <c r="M357" s="208">
        <v>0</v>
      </c>
      <c r="N357" s="208">
        <v>318489</v>
      </c>
      <c r="O357" s="208">
        <v>6303985</v>
      </c>
      <c r="P357" s="208">
        <v>205431</v>
      </c>
      <c r="Q357" s="210">
        <v>0</v>
      </c>
      <c r="R357" s="203">
        <v>0</v>
      </c>
      <c r="S357" s="203">
        <v>0</v>
      </c>
      <c r="T357" s="203">
        <v>0</v>
      </c>
      <c r="U357" s="203">
        <v>0</v>
      </c>
      <c r="V357" s="203">
        <v>0</v>
      </c>
      <c r="W357" s="203">
        <v>0</v>
      </c>
      <c r="X357" s="208">
        <v>6303985</v>
      </c>
      <c r="Y357" s="208">
        <v>205431</v>
      </c>
      <c r="Z357" s="208">
        <v>6509416</v>
      </c>
      <c r="AA357" s="208">
        <v>72143</v>
      </c>
      <c r="AB357" s="208">
        <v>0</v>
      </c>
      <c r="AC357" s="208">
        <v>6581559</v>
      </c>
      <c r="AD357" s="209">
        <v>73.037542169744313</v>
      </c>
    </row>
    <row r="358" spans="1:30" ht="13.5" thickBot="1" x14ac:dyDescent="0.25">
      <c r="A358" s="48" t="s">
        <v>278</v>
      </c>
      <c r="B358" s="47" t="s">
        <v>277</v>
      </c>
      <c r="C358" s="48" t="s">
        <v>54</v>
      </c>
      <c r="D358" s="48" t="s">
        <v>2343</v>
      </c>
      <c r="E358" s="129" t="s">
        <v>20</v>
      </c>
      <c r="F358" s="129" t="s">
        <v>21</v>
      </c>
      <c r="G358" s="108">
        <v>102434</v>
      </c>
      <c r="H358" s="87" t="s">
        <v>1649</v>
      </c>
      <c r="I358" s="205">
        <v>0</v>
      </c>
      <c r="J358" s="207">
        <v>102434</v>
      </c>
      <c r="K358" s="208">
        <v>86637</v>
      </c>
      <c r="L358" s="208">
        <v>2857957</v>
      </c>
      <c r="M358" s="203">
        <v>0</v>
      </c>
      <c r="N358" s="208">
        <v>0</v>
      </c>
      <c r="O358" s="208">
        <v>2944594</v>
      </c>
      <c r="P358" s="208">
        <v>1913901</v>
      </c>
      <c r="Q358" s="210">
        <v>0</v>
      </c>
      <c r="R358" s="208">
        <v>0</v>
      </c>
      <c r="S358" s="208">
        <v>0</v>
      </c>
      <c r="T358" s="208">
        <v>0</v>
      </c>
      <c r="U358" s="208">
        <v>0</v>
      </c>
      <c r="V358" s="208">
        <v>0</v>
      </c>
      <c r="W358" s="208">
        <v>0</v>
      </c>
      <c r="X358" s="208">
        <v>2944594</v>
      </c>
      <c r="Y358" s="208">
        <v>1913901</v>
      </c>
      <c r="Z358" s="208">
        <v>4858495</v>
      </c>
      <c r="AA358" s="208">
        <v>318216</v>
      </c>
      <c r="AB358" s="208">
        <v>0</v>
      </c>
      <c r="AC358" s="208">
        <v>5176711</v>
      </c>
      <c r="AD358" s="209">
        <v>50.537038483316088</v>
      </c>
    </row>
    <row r="359" spans="1:30" ht="13.5" thickBot="1" x14ac:dyDescent="0.25">
      <c r="A359" s="48" t="s">
        <v>304</v>
      </c>
      <c r="B359" s="47" t="s">
        <v>303</v>
      </c>
      <c r="C359" s="48" t="s">
        <v>54</v>
      </c>
      <c r="D359" s="48" t="s">
        <v>2343</v>
      </c>
      <c r="E359" s="129" t="s">
        <v>15</v>
      </c>
      <c r="F359" s="129" t="s">
        <v>16</v>
      </c>
      <c r="G359" s="108">
        <v>332567</v>
      </c>
      <c r="H359" s="87" t="s">
        <v>1649</v>
      </c>
      <c r="I359" s="205">
        <v>0</v>
      </c>
      <c r="J359" s="207">
        <v>323366</v>
      </c>
      <c r="K359" s="208">
        <v>295217</v>
      </c>
      <c r="L359" s="208">
        <v>8427444</v>
      </c>
      <c r="M359" s="203">
        <v>0</v>
      </c>
      <c r="N359" s="208">
        <v>0</v>
      </c>
      <c r="O359" s="208">
        <v>8722661</v>
      </c>
      <c r="P359" s="208">
        <v>503652</v>
      </c>
      <c r="Q359" s="207">
        <v>9201</v>
      </c>
      <c r="R359" s="208">
        <v>19027</v>
      </c>
      <c r="S359" s="203">
        <v>0</v>
      </c>
      <c r="T359" s="203">
        <v>0</v>
      </c>
      <c r="U359" s="203">
        <v>0</v>
      </c>
      <c r="V359" s="208">
        <v>19027</v>
      </c>
      <c r="W359" s="203">
        <v>0</v>
      </c>
      <c r="X359" s="208">
        <v>8741688</v>
      </c>
      <c r="Y359" s="208">
        <v>503652</v>
      </c>
      <c r="Z359" s="208">
        <v>9245340</v>
      </c>
      <c r="AA359" s="208">
        <v>307634</v>
      </c>
      <c r="AB359" s="208">
        <v>0</v>
      </c>
      <c r="AC359" s="208">
        <v>9552974</v>
      </c>
      <c r="AD359" s="209">
        <v>28.724960684613926</v>
      </c>
    </row>
    <row r="360" spans="1:30" ht="13.5" thickBot="1" x14ac:dyDescent="0.25">
      <c r="A360" s="48" t="s">
        <v>318</v>
      </c>
      <c r="B360" s="47" t="s">
        <v>317</v>
      </c>
      <c r="C360" s="48" t="s">
        <v>54</v>
      </c>
      <c r="D360" s="48" t="s">
        <v>2198</v>
      </c>
      <c r="E360" s="129" t="s">
        <v>20</v>
      </c>
      <c r="F360" s="129" t="s">
        <v>21</v>
      </c>
      <c r="G360" s="108">
        <v>76707</v>
      </c>
      <c r="H360" s="87" t="s">
        <v>1648</v>
      </c>
      <c r="I360" s="205">
        <v>600000</v>
      </c>
      <c r="J360" s="207">
        <v>41863</v>
      </c>
      <c r="K360" s="208">
        <v>69901</v>
      </c>
      <c r="L360" s="208">
        <v>0</v>
      </c>
      <c r="M360" s="208">
        <v>2079373</v>
      </c>
      <c r="N360" s="208">
        <v>1659803</v>
      </c>
      <c r="O360" s="208">
        <v>3809077</v>
      </c>
      <c r="P360" s="208">
        <v>457979</v>
      </c>
      <c r="Q360" s="207">
        <v>34844</v>
      </c>
      <c r="R360" s="208">
        <v>57744</v>
      </c>
      <c r="S360" s="208">
        <v>0</v>
      </c>
      <c r="T360" s="208">
        <v>242889</v>
      </c>
      <c r="U360" s="208">
        <v>0</v>
      </c>
      <c r="V360" s="208">
        <v>300633</v>
      </c>
      <c r="W360" s="208">
        <v>0</v>
      </c>
      <c r="X360" s="208">
        <v>4109710</v>
      </c>
      <c r="Y360" s="208">
        <v>457979</v>
      </c>
      <c r="Z360" s="208">
        <v>4567689</v>
      </c>
      <c r="AA360" s="208">
        <v>31038</v>
      </c>
      <c r="AB360" s="208">
        <v>0</v>
      </c>
      <c r="AC360" s="208">
        <v>4598727</v>
      </c>
      <c r="AD360" s="209">
        <v>59.951855762837809</v>
      </c>
    </row>
    <row r="361" spans="1:30" ht="13.5" thickBot="1" x14ac:dyDescent="0.25">
      <c r="A361" s="48" t="s">
        <v>322</v>
      </c>
      <c r="B361" s="47" t="s">
        <v>321</v>
      </c>
      <c r="C361" s="48" t="s">
        <v>54</v>
      </c>
      <c r="D361" s="48" t="s">
        <v>2155</v>
      </c>
      <c r="E361" s="129" t="s">
        <v>20</v>
      </c>
      <c r="F361" s="129" t="s">
        <v>21</v>
      </c>
      <c r="G361" s="108">
        <v>188040</v>
      </c>
      <c r="H361" s="87" t="s">
        <v>1649</v>
      </c>
      <c r="I361" s="205">
        <v>0</v>
      </c>
      <c r="J361" s="207">
        <v>188040</v>
      </c>
      <c r="K361" s="208">
        <v>374497</v>
      </c>
      <c r="L361" s="208">
        <v>11190561</v>
      </c>
      <c r="M361" s="208">
        <v>0</v>
      </c>
      <c r="N361" s="208">
        <v>0</v>
      </c>
      <c r="O361" s="208">
        <v>11565058</v>
      </c>
      <c r="P361" s="208">
        <v>564783</v>
      </c>
      <c r="Q361" s="210">
        <v>0</v>
      </c>
      <c r="R361" s="208">
        <v>0</v>
      </c>
      <c r="S361" s="208">
        <v>0</v>
      </c>
      <c r="T361" s="208">
        <v>0</v>
      </c>
      <c r="U361" s="208">
        <v>0</v>
      </c>
      <c r="V361" s="208">
        <v>0</v>
      </c>
      <c r="W361" s="208">
        <v>0</v>
      </c>
      <c r="X361" s="208">
        <v>11565058</v>
      </c>
      <c r="Y361" s="208">
        <v>564783</v>
      </c>
      <c r="Z361" s="208">
        <v>12129841</v>
      </c>
      <c r="AA361" s="208">
        <v>150719</v>
      </c>
      <c r="AB361" s="208">
        <v>0</v>
      </c>
      <c r="AC361" s="208">
        <v>12280560</v>
      </c>
      <c r="AD361" s="209">
        <v>65.308232291001914</v>
      </c>
    </row>
    <row r="362" spans="1:30" ht="13.5" thickBot="1" x14ac:dyDescent="0.25">
      <c r="A362" s="48" t="s">
        <v>326</v>
      </c>
      <c r="B362" s="47" t="s">
        <v>325</v>
      </c>
      <c r="C362" s="48" t="s">
        <v>54</v>
      </c>
      <c r="D362" s="48" t="s">
        <v>1979</v>
      </c>
      <c r="E362" s="129" t="s">
        <v>20</v>
      </c>
      <c r="F362" s="129" t="s">
        <v>21</v>
      </c>
      <c r="G362" s="108">
        <v>51133</v>
      </c>
      <c r="H362" s="87" t="s">
        <v>1649</v>
      </c>
      <c r="I362" s="205">
        <v>0</v>
      </c>
      <c r="J362" s="207">
        <v>51133</v>
      </c>
      <c r="K362" s="208">
        <v>31568</v>
      </c>
      <c r="L362" s="208">
        <v>6256982</v>
      </c>
      <c r="M362" s="208">
        <v>0</v>
      </c>
      <c r="N362" s="208">
        <v>258091</v>
      </c>
      <c r="O362" s="208">
        <v>6546641</v>
      </c>
      <c r="P362" s="208">
        <v>189631</v>
      </c>
      <c r="Q362" s="210">
        <v>0</v>
      </c>
      <c r="R362" s="203">
        <v>0</v>
      </c>
      <c r="S362" s="203">
        <v>0</v>
      </c>
      <c r="T362" s="203">
        <v>0</v>
      </c>
      <c r="U362" s="203">
        <v>0</v>
      </c>
      <c r="V362" s="203">
        <v>0</v>
      </c>
      <c r="W362" s="203">
        <v>0</v>
      </c>
      <c r="X362" s="208">
        <v>6546641</v>
      </c>
      <c r="Y362" s="208">
        <v>189631</v>
      </c>
      <c r="Z362" s="208">
        <v>6736272</v>
      </c>
      <c r="AA362" s="208">
        <v>41127</v>
      </c>
      <c r="AB362" s="208">
        <v>0</v>
      </c>
      <c r="AC362" s="208">
        <v>6777399</v>
      </c>
      <c r="AD362" s="209">
        <v>132.54452115072459</v>
      </c>
    </row>
    <row r="363" spans="1:30" ht="13.5" thickBot="1" x14ac:dyDescent="0.25">
      <c r="A363" s="48" t="s">
        <v>352</v>
      </c>
      <c r="B363" s="47" t="s">
        <v>351</v>
      </c>
      <c r="C363" s="48" t="s">
        <v>54</v>
      </c>
      <c r="D363" s="48" t="s">
        <v>1980</v>
      </c>
      <c r="E363" s="129" t="s">
        <v>20</v>
      </c>
      <c r="F363" s="129" t="s">
        <v>21</v>
      </c>
      <c r="G363" s="108">
        <v>102423</v>
      </c>
      <c r="H363" s="87" t="s">
        <v>1649</v>
      </c>
      <c r="I363" s="205">
        <v>0</v>
      </c>
      <c r="J363" s="207">
        <v>91994</v>
      </c>
      <c r="K363" s="208">
        <v>279405</v>
      </c>
      <c r="L363" s="208">
        <v>5794738</v>
      </c>
      <c r="M363" s="203">
        <v>0</v>
      </c>
      <c r="N363" s="208">
        <v>123668</v>
      </c>
      <c r="O363" s="208">
        <v>6197811</v>
      </c>
      <c r="P363" s="208">
        <v>106963</v>
      </c>
      <c r="Q363" s="207">
        <v>10429</v>
      </c>
      <c r="R363" s="208">
        <v>47457</v>
      </c>
      <c r="S363" s="203">
        <v>0</v>
      </c>
      <c r="T363" s="203">
        <v>0</v>
      </c>
      <c r="U363" s="208">
        <v>107340</v>
      </c>
      <c r="V363" s="208">
        <v>154797</v>
      </c>
      <c r="W363" s="203">
        <v>0</v>
      </c>
      <c r="X363" s="208">
        <v>6352608</v>
      </c>
      <c r="Y363" s="208">
        <v>106963</v>
      </c>
      <c r="Z363" s="208">
        <v>6459571</v>
      </c>
      <c r="AA363" s="208">
        <v>184768</v>
      </c>
      <c r="AB363" s="208">
        <v>82731</v>
      </c>
      <c r="AC363" s="208">
        <v>6727070</v>
      </c>
      <c r="AD363" s="209">
        <v>65.679290784296498</v>
      </c>
    </row>
    <row r="364" spans="1:30" ht="13.5" thickBot="1" x14ac:dyDescent="0.25">
      <c r="A364" s="48" t="s">
        <v>374</v>
      </c>
      <c r="B364" s="47" t="s">
        <v>373</v>
      </c>
      <c r="C364" s="48" t="s">
        <v>54</v>
      </c>
      <c r="D364" s="48" t="s">
        <v>2110</v>
      </c>
      <c r="E364" s="129" t="s">
        <v>20</v>
      </c>
      <c r="F364" s="129" t="s">
        <v>21</v>
      </c>
      <c r="G364" s="108">
        <v>52529</v>
      </c>
      <c r="H364" s="87" t="s">
        <v>1649</v>
      </c>
      <c r="I364" s="205">
        <v>0</v>
      </c>
      <c r="J364" s="207">
        <v>52529</v>
      </c>
      <c r="K364" s="208">
        <v>121779</v>
      </c>
      <c r="L364" s="208">
        <v>2792141</v>
      </c>
      <c r="M364" s="208">
        <v>0</v>
      </c>
      <c r="N364" s="208">
        <v>0</v>
      </c>
      <c r="O364" s="208">
        <v>2913920</v>
      </c>
      <c r="P364" s="208">
        <v>136144</v>
      </c>
      <c r="Q364" s="210">
        <v>0</v>
      </c>
      <c r="R364" s="203">
        <v>0</v>
      </c>
      <c r="S364" s="203">
        <v>0</v>
      </c>
      <c r="T364" s="203">
        <v>0</v>
      </c>
      <c r="U364" s="203">
        <v>0</v>
      </c>
      <c r="V364" s="203">
        <v>0</v>
      </c>
      <c r="W364" s="203">
        <v>0</v>
      </c>
      <c r="X364" s="208">
        <v>2913920</v>
      </c>
      <c r="Y364" s="208">
        <v>136144</v>
      </c>
      <c r="Z364" s="208">
        <v>3050064</v>
      </c>
      <c r="AA364" s="208">
        <v>42054</v>
      </c>
      <c r="AB364" s="208">
        <v>20064</v>
      </c>
      <c r="AC364" s="208">
        <v>3112182</v>
      </c>
      <c r="AD364" s="209">
        <v>59.246930267090562</v>
      </c>
    </row>
    <row r="365" spans="1:30" ht="13.5" thickBot="1" x14ac:dyDescent="0.25">
      <c r="A365" s="48" t="s">
        <v>394</v>
      </c>
      <c r="B365" s="47" t="s">
        <v>393</v>
      </c>
      <c r="C365" s="48" t="s">
        <v>54</v>
      </c>
      <c r="D365" s="48" t="s">
        <v>2501</v>
      </c>
      <c r="E365" s="129" t="s">
        <v>15</v>
      </c>
      <c r="F365" s="129" t="s">
        <v>16</v>
      </c>
      <c r="G365" s="108">
        <v>160248</v>
      </c>
      <c r="H365" s="87" t="s">
        <v>1649</v>
      </c>
      <c r="I365" s="205">
        <v>0</v>
      </c>
      <c r="J365" s="207">
        <v>160248</v>
      </c>
      <c r="K365" s="208">
        <v>503703</v>
      </c>
      <c r="L365" s="208">
        <v>7956493</v>
      </c>
      <c r="M365" s="203">
        <v>0</v>
      </c>
      <c r="N365" s="203">
        <v>0</v>
      </c>
      <c r="O365" s="208">
        <v>8460196</v>
      </c>
      <c r="P365" s="208">
        <v>415674</v>
      </c>
      <c r="Q365" s="210">
        <v>0</v>
      </c>
      <c r="R365" s="208">
        <v>0</v>
      </c>
      <c r="S365" s="203">
        <v>0</v>
      </c>
      <c r="T365" s="203">
        <v>0</v>
      </c>
      <c r="U365" s="203">
        <v>0</v>
      </c>
      <c r="V365" s="208">
        <v>0</v>
      </c>
      <c r="W365" s="203">
        <v>0</v>
      </c>
      <c r="X365" s="208">
        <v>8460196</v>
      </c>
      <c r="Y365" s="208">
        <v>415674</v>
      </c>
      <c r="Z365" s="208">
        <v>8875870</v>
      </c>
      <c r="AA365" s="208">
        <v>163529</v>
      </c>
      <c r="AB365" s="208">
        <v>0</v>
      </c>
      <c r="AC365" s="208">
        <v>9039399</v>
      </c>
      <c r="AD365" s="209">
        <v>56.408810094353754</v>
      </c>
    </row>
    <row r="366" spans="1:30" ht="13.5" thickBot="1" x14ac:dyDescent="0.25">
      <c r="A366" s="48" t="s">
        <v>402</v>
      </c>
      <c r="B366" s="47" t="s">
        <v>401</v>
      </c>
      <c r="C366" s="48" t="s">
        <v>54</v>
      </c>
      <c r="D366" s="48" t="s">
        <v>2022</v>
      </c>
      <c r="E366" s="129" t="s">
        <v>20</v>
      </c>
      <c r="F366" s="129" t="s">
        <v>21</v>
      </c>
      <c r="G366" s="108">
        <v>123979</v>
      </c>
      <c r="H366" s="87" t="s">
        <v>1648</v>
      </c>
      <c r="I366" s="205">
        <v>77422</v>
      </c>
      <c r="J366" s="207">
        <v>116445</v>
      </c>
      <c r="K366" s="208">
        <v>135935</v>
      </c>
      <c r="L366" s="208">
        <v>11536105</v>
      </c>
      <c r="M366" s="203">
        <v>0</v>
      </c>
      <c r="N366" s="208">
        <v>0</v>
      </c>
      <c r="O366" s="208">
        <v>11672040</v>
      </c>
      <c r="P366" s="208">
        <v>169184</v>
      </c>
      <c r="Q366" s="207">
        <v>7534</v>
      </c>
      <c r="R366" s="208">
        <v>34386</v>
      </c>
      <c r="S366" s="203">
        <v>0</v>
      </c>
      <c r="T366" s="203">
        <v>0</v>
      </c>
      <c r="U366" s="203">
        <v>0</v>
      </c>
      <c r="V366" s="208">
        <v>34386</v>
      </c>
      <c r="W366" s="208">
        <v>0</v>
      </c>
      <c r="X366" s="208">
        <v>11706426</v>
      </c>
      <c r="Y366" s="208">
        <v>169184</v>
      </c>
      <c r="Z366" s="208">
        <v>11875610</v>
      </c>
      <c r="AA366" s="208">
        <v>494887</v>
      </c>
      <c r="AB366" s="208">
        <v>0</v>
      </c>
      <c r="AC366" s="208">
        <v>12370497</v>
      </c>
      <c r="AD366" s="209">
        <v>99.778970632123176</v>
      </c>
    </row>
    <row r="367" spans="1:30" ht="13.5" thickBot="1" x14ac:dyDescent="0.25">
      <c r="A367" s="48" t="s">
        <v>406</v>
      </c>
      <c r="B367" s="47" t="s">
        <v>405</v>
      </c>
      <c r="C367" s="48" t="s">
        <v>54</v>
      </c>
      <c r="D367" s="48" t="s">
        <v>2155</v>
      </c>
      <c r="E367" s="129" t="s">
        <v>15</v>
      </c>
      <c r="F367" s="129" t="s">
        <v>16</v>
      </c>
      <c r="G367" s="108">
        <v>395660</v>
      </c>
      <c r="H367" s="87" t="s">
        <v>1649</v>
      </c>
      <c r="I367" s="205">
        <v>0</v>
      </c>
      <c r="J367" s="207">
        <v>395660</v>
      </c>
      <c r="K367" s="208">
        <v>787989</v>
      </c>
      <c r="L367" s="208">
        <v>22115215</v>
      </c>
      <c r="M367" s="203">
        <v>0</v>
      </c>
      <c r="N367" s="208">
        <v>14884</v>
      </c>
      <c r="O367" s="208">
        <v>22918088</v>
      </c>
      <c r="P367" s="208">
        <v>1875548</v>
      </c>
      <c r="Q367" s="210">
        <v>0</v>
      </c>
      <c r="R367" s="203">
        <v>0</v>
      </c>
      <c r="S367" s="203">
        <v>0</v>
      </c>
      <c r="T367" s="203">
        <v>0</v>
      </c>
      <c r="U367" s="203">
        <v>0</v>
      </c>
      <c r="V367" s="203">
        <v>0</v>
      </c>
      <c r="W367" s="203">
        <v>0</v>
      </c>
      <c r="X367" s="208">
        <v>22918088</v>
      </c>
      <c r="Y367" s="208">
        <v>1875548</v>
      </c>
      <c r="Z367" s="208">
        <v>24793636</v>
      </c>
      <c r="AA367" s="208">
        <v>905003</v>
      </c>
      <c r="AB367" s="208">
        <v>0</v>
      </c>
      <c r="AC367" s="208">
        <v>25698639</v>
      </c>
      <c r="AD367" s="209">
        <v>64.951319314563008</v>
      </c>
    </row>
    <row r="368" spans="1:30" ht="13.5" thickBot="1" x14ac:dyDescent="0.25">
      <c r="A368" s="48" t="s">
        <v>417</v>
      </c>
      <c r="B368" s="47" t="s">
        <v>416</v>
      </c>
      <c r="C368" s="48" t="s">
        <v>54</v>
      </c>
      <c r="D368" s="48" t="s">
        <v>1992</v>
      </c>
      <c r="E368" s="129" t="s">
        <v>15</v>
      </c>
      <c r="F368" s="129" t="s">
        <v>16</v>
      </c>
      <c r="G368" s="108">
        <v>60006</v>
      </c>
      <c r="H368" s="87" t="s">
        <v>1649</v>
      </c>
      <c r="I368" s="205">
        <v>0</v>
      </c>
      <c r="J368" s="207">
        <v>60006</v>
      </c>
      <c r="K368" s="208">
        <v>138855</v>
      </c>
      <c r="L368" s="208">
        <v>1740602</v>
      </c>
      <c r="M368" s="203">
        <v>0</v>
      </c>
      <c r="N368" s="203">
        <v>0</v>
      </c>
      <c r="O368" s="208">
        <v>1879457</v>
      </c>
      <c r="P368" s="208">
        <v>100610</v>
      </c>
      <c r="Q368" s="210">
        <v>0</v>
      </c>
      <c r="R368" s="203">
        <v>0</v>
      </c>
      <c r="S368" s="203">
        <v>0</v>
      </c>
      <c r="T368" s="203">
        <v>0</v>
      </c>
      <c r="U368" s="203">
        <v>0</v>
      </c>
      <c r="V368" s="203">
        <v>0</v>
      </c>
      <c r="W368" s="203">
        <v>0</v>
      </c>
      <c r="X368" s="208">
        <v>1879457</v>
      </c>
      <c r="Y368" s="208">
        <v>100610</v>
      </c>
      <c r="Z368" s="208">
        <v>1980067</v>
      </c>
      <c r="AA368" s="208">
        <v>43497</v>
      </c>
      <c r="AB368" s="208">
        <v>0</v>
      </c>
      <c r="AC368" s="208">
        <v>2023564</v>
      </c>
      <c r="AD368" s="209">
        <v>33.722694397226945</v>
      </c>
    </row>
    <row r="369" spans="1:30" ht="13.5" thickBot="1" x14ac:dyDescent="0.25">
      <c r="A369" s="48" t="s">
        <v>443</v>
      </c>
      <c r="B369" s="47" t="s">
        <v>442</v>
      </c>
      <c r="C369" s="48" t="s">
        <v>54</v>
      </c>
      <c r="D369" s="48" t="s">
        <v>1979</v>
      </c>
      <c r="E369" s="129" t="s">
        <v>444</v>
      </c>
      <c r="F369" s="129" t="s">
        <v>16</v>
      </c>
      <c r="G369" s="108">
        <v>96942</v>
      </c>
      <c r="H369" s="87" t="s">
        <v>1649</v>
      </c>
      <c r="I369" s="205">
        <v>0</v>
      </c>
      <c r="J369" s="207">
        <v>96942</v>
      </c>
      <c r="K369" s="208">
        <v>133962</v>
      </c>
      <c r="L369" s="208">
        <v>3312744</v>
      </c>
      <c r="M369" s="203">
        <v>0</v>
      </c>
      <c r="N369" s="208">
        <v>320562</v>
      </c>
      <c r="O369" s="208">
        <v>3767268</v>
      </c>
      <c r="P369" s="208">
        <v>252539</v>
      </c>
      <c r="Q369" s="210">
        <v>0</v>
      </c>
      <c r="R369" s="203">
        <v>0</v>
      </c>
      <c r="S369" s="203">
        <v>0</v>
      </c>
      <c r="T369" s="203">
        <v>0</v>
      </c>
      <c r="U369" s="203">
        <v>0</v>
      </c>
      <c r="V369" s="203">
        <v>0</v>
      </c>
      <c r="W369" s="203">
        <v>0</v>
      </c>
      <c r="X369" s="208">
        <v>3767268</v>
      </c>
      <c r="Y369" s="208">
        <v>252539</v>
      </c>
      <c r="Z369" s="208">
        <v>4019807</v>
      </c>
      <c r="AA369" s="208">
        <v>77701</v>
      </c>
      <c r="AB369" s="208">
        <v>0</v>
      </c>
      <c r="AC369" s="208">
        <v>4097508</v>
      </c>
      <c r="AD369" s="209">
        <v>42.267623940087887</v>
      </c>
    </row>
    <row r="370" spans="1:30" ht="13.5" thickBot="1" x14ac:dyDescent="0.25">
      <c r="A370" s="48" t="s">
        <v>508</v>
      </c>
      <c r="B370" s="47" t="s">
        <v>507</v>
      </c>
      <c r="C370" s="48" t="s">
        <v>54</v>
      </c>
      <c r="D370" s="48" t="s">
        <v>2612</v>
      </c>
      <c r="E370" s="129" t="s">
        <v>15</v>
      </c>
      <c r="F370" s="129" t="s">
        <v>16</v>
      </c>
      <c r="G370" s="108">
        <v>149955</v>
      </c>
      <c r="H370" s="87" t="s">
        <v>1648</v>
      </c>
      <c r="I370" s="205">
        <v>330500</v>
      </c>
      <c r="J370" s="207">
        <v>149955</v>
      </c>
      <c r="K370" s="208">
        <v>1455128</v>
      </c>
      <c r="L370" s="208">
        <v>6140402</v>
      </c>
      <c r="M370" s="208">
        <v>0</v>
      </c>
      <c r="N370" s="208">
        <v>0</v>
      </c>
      <c r="O370" s="208">
        <v>7595530</v>
      </c>
      <c r="P370" s="208">
        <v>447884</v>
      </c>
      <c r="Q370" s="210">
        <v>0</v>
      </c>
      <c r="R370" s="203">
        <v>0</v>
      </c>
      <c r="S370" s="203">
        <v>0</v>
      </c>
      <c r="T370" s="203">
        <v>0</v>
      </c>
      <c r="U370" s="203">
        <v>0</v>
      </c>
      <c r="V370" s="203">
        <v>0</v>
      </c>
      <c r="W370" s="203">
        <v>0</v>
      </c>
      <c r="X370" s="208">
        <v>7595530</v>
      </c>
      <c r="Y370" s="208">
        <v>447884</v>
      </c>
      <c r="Z370" s="208">
        <v>8043414</v>
      </c>
      <c r="AA370" s="208">
        <v>120193</v>
      </c>
      <c r="AB370" s="208">
        <v>0</v>
      </c>
      <c r="AC370" s="208">
        <v>8163607</v>
      </c>
      <c r="AD370" s="209">
        <v>54.440378780300755</v>
      </c>
    </row>
    <row r="371" spans="1:30" ht="13.5" thickBot="1" x14ac:dyDescent="0.25">
      <c r="A371" s="48" t="s">
        <v>522</v>
      </c>
      <c r="B371" s="47" t="s">
        <v>521</v>
      </c>
      <c r="C371" s="48" t="s">
        <v>54</v>
      </c>
      <c r="D371" s="48" t="s">
        <v>2367</v>
      </c>
      <c r="E371" s="129" t="s">
        <v>15</v>
      </c>
      <c r="F371" s="129" t="s">
        <v>16</v>
      </c>
      <c r="G371" s="108">
        <v>105852</v>
      </c>
      <c r="H371" s="87" t="s">
        <v>1649</v>
      </c>
      <c r="I371" s="205">
        <v>0</v>
      </c>
      <c r="J371" s="207">
        <v>105852</v>
      </c>
      <c r="K371" s="208">
        <v>209113</v>
      </c>
      <c r="L371" s="208">
        <v>3615232</v>
      </c>
      <c r="M371" s="203">
        <v>0</v>
      </c>
      <c r="N371" s="208">
        <v>0</v>
      </c>
      <c r="O371" s="208">
        <v>3824345</v>
      </c>
      <c r="P371" s="208">
        <v>788081</v>
      </c>
      <c r="Q371" s="210">
        <v>0</v>
      </c>
      <c r="R371" s="203">
        <v>0</v>
      </c>
      <c r="S371" s="203">
        <v>0</v>
      </c>
      <c r="T371" s="203">
        <v>0</v>
      </c>
      <c r="U371" s="203">
        <v>0</v>
      </c>
      <c r="V371" s="203">
        <v>0</v>
      </c>
      <c r="W371" s="203">
        <v>0</v>
      </c>
      <c r="X371" s="208">
        <v>3824345</v>
      </c>
      <c r="Y371" s="208">
        <v>788081</v>
      </c>
      <c r="Z371" s="208">
        <v>4612426</v>
      </c>
      <c r="AA371" s="208">
        <v>217261</v>
      </c>
      <c r="AB371" s="208">
        <v>0</v>
      </c>
      <c r="AC371" s="208">
        <v>4829687</v>
      </c>
      <c r="AD371" s="209">
        <v>45.626790235423044</v>
      </c>
    </row>
    <row r="372" spans="1:30" ht="13.5" thickBot="1" x14ac:dyDescent="0.25">
      <c r="A372" s="48" t="s">
        <v>542</v>
      </c>
      <c r="B372" s="47" t="s">
        <v>541</v>
      </c>
      <c r="C372" s="48" t="s">
        <v>54</v>
      </c>
      <c r="D372" s="48" t="s">
        <v>1940</v>
      </c>
      <c r="E372" s="129" t="s">
        <v>20</v>
      </c>
      <c r="F372" s="129" t="s">
        <v>21</v>
      </c>
      <c r="G372" s="108">
        <v>55374</v>
      </c>
      <c r="H372" s="87" t="s">
        <v>1649</v>
      </c>
      <c r="I372" s="205">
        <v>0</v>
      </c>
      <c r="J372" s="207">
        <v>55224</v>
      </c>
      <c r="K372" s="208">
        <v>118345</v>
      </c>
      <c r="L372" s="208">
        <v>2815535</v>
      </c>
      <c r="M372" s="208">
        <v>0</v>
      </c>
      <c r="N372" s="208">
        <v>0</v>
      </c>
      <c r="O372" s="208">
        <v>2933880</v>
      </c>
      <c r="P372" s="208">
        <v>247654</v>
      </c>
      <c r="Q372" s="207">
        <v>150</v>
      </c>
      <c r="R372" s="208">
        <v>0</v>
      </c>
      <c r="S372" s="208">
        <v>6591</v>
      </c>
      <c r="T372" s="208">
        <v>0</v>
      </c>
      <c r="U372" s="208">
        <v>0</v>
      </c>
      <c r="V372" s="208">
        <v>6591</v>
      </c>
      <c r="W372" s="208">
        <v>0</v>
      </c>
      <c r="X372" s="208">
        <v>2940471</v>
      </c>
      <c r="Y372" s="208">
        <v>247654</v>
      </c>
      <c r="Z372" s="208">
        <v>3188125</v>
      </c>
      <c r="AA372" s="208">
        <v>44383</v>
      </c>
      <c r="AB372" s="208">
        <v>0</v>
      </c>
      <c r="AC372" s="208">
        <v>3232508</v>
      </c>
      <c r="AD372" s="209">
        <v>58.375916495106004</v>
      </c>
    </row>
    <row r="373" spans="1:30" ht="13.5" thickBot="1" x14ac:dyDescent="0.25">
      <c r="A373" s="48" t="s">
        <v>590</v>
      </c>
      <c r="B373" s="47" t="s">
        <v>589</v>
      </c>
      <c r="C373" s="48" t="s">
        <v>54</v>
      </c>
      <c r="D373" s="48" t="s">
        <v>1940</v>
      </c>
      <c r="E373" s="129" t="s">
        <v>20</v>
      </c>
      <c r="F373" s="129" t="s">
        <v>21</v>
      </c>
      <c r="G373" s="108">
        <v>59515</v>
      </c>
      <c r="H373" s="87" t="s">
        <v>1649</v>
      </c>
      <c r="I373" s="205">
        <v>0</v>
      </c>
      <c r="J373" s="207">
        <v>59515</v>
      </c>
      <c r="K373" s="208">
        <v>102497</v>
      </c>
      <c r="L373" s="208">
        <v>711842</v>
      </c>
      <c r="M373" s="208">
        <v>0</v>
      </c>
      <c r="N373" s="208">
        <v>6403</v>
      </c>
      <c r="O373" s="208">
        <v>820742</v>
      </c>
      <c r="P373" s="208">
        <v>179555</v>
      </c>
      <c r="Q373" s="210">
        <v>0</v>
      </c>
      <c r="R373" s="208">
        <v>0</v>
      </c>
      <c r="S373" s="208">
        <v>0</v>
      </c>
      <c r="T373" s="208">
        <v>0</v>
      </c>
      <c r="U373" s="208">
        <v>0</v>
      </c>
      <c r="V373" s="208">
        <v>0</v>
      </c>
      <c r="W373" s="208">
        <v>0</v>
      </c>
      <c r="X373" s="208">
        <v>820742</v>
      </c>
      <c r="Y373" s="208">
        <v>179555</v>
      </c>
      <c r="Z373" s="208">
        <v>1000297</v>
      </c>
      <c r="AA373" s="208">
        <v>23620</v>
      </c>
      <c r="AB373" s="208">
        <v>6403</v>
      </c>
      <c r="AC373" s="208">
        <v>1030320</v>
      </c>
      <c r="AD373" s="209">
        <v>17.311938166848694</v>
      </c>
    </row>
    <row r="374" spans="1:30" ht="13.5" thickBot="1" x14ac:dyDescent="0.25">
      <c r="A374" s="48" t="s">
        <v>594</v>
      </c>
      <c r="B374" s="47" t="s">
        <v>593</v>
      </c>
      <c r="C374" s="48" t="s">
        <v>54</v>
      </c>
      <c r="D374" s="48" t="s">
        <v>2022</v>
      </c>
      <c r="E374" s="129" t="s">
        <v>15</v>
      </c>
      <c r="F374" s="129" t="s">
        <v>16</v>
      </c>
      <c r="G374" s="108">
        <v>52170</v>
      </c>
      <c r="H374" s="87" t="s">
        <v>1649</v>
      </c>
      <c r="I374" s="205">
        <v>0</v>
      </c>
      <c r="J374" s="207">
        <v>52170</v>
      </c>
      <c r="K374" s="208">
        <v>69560</v>
      </c>
      <c r="L374" s="208">
        <v>3469297</v>
      </c>
      <c r="M374" s="208">
        <v>0</v>
      </c>
      <c r="N374" s="208">
        <v>0</v>
      </c>
      <c r="O374" s="208">
        <v>3538857</v>
      </c>
      <c r="P374" s="208">
        <v>694869</v>
      </c>
      <c r="Q374" s="210">
        <v>0</v>
      </c>
      <c r="R374" s="203">
        <v>0</v>
      </c>
      <c r="S374" s="203">
        <v>0</v>
      </c>
      <c r="T374" s="203">
        <v>0</v>
      </c>
      <c r="U374" s="203">
        <v>0</v>
      </c>
      <c r="V374" s="203">
        <v>0</v>
      </c>
      <c r="W374" s="203">
        <v>0</v>
      </c>
      <c r="X374" s="208">
        <v>3538857</v>
      </c>
      <c r="Y374" s="208">
        <v>694869</v>
      </c>
      <c r="Z374" s="208">
        <v>4233726</v>
      </c>
      <c r="AA374" s="208">
        <v>41815</v>
      </c>
      <c r="AB374" s="208">
        <v>0</v>
      </c>
      <c r="AC374" s="208">
        <v>4275541</v>
      </c>
      <c r="AD374" s="209">
        <v>81.954015717845508</v>
      </c>
    </row>
    <row r="375" spans="1:30" ht="13.5" thickBot="1" x14ac:dyDescent="0.25">
      <c r="A375" s="48" t="s">
        <v>604</v>
      </c>
      <c r="B375" s="47" t="s">
        <v>603</v>
      </c>
      <c r="C375" s="48" t="s">
        <v>54</v>
      </c>
      <c r="D375" s="48" t="s">
        <v>2101</v>
      </c>
      <c r="E375" s="129" t="s">
        <v>20</v>
      </c>
      <c r="F375" s="129" t="s">
        <v>21</v>
      </c>
      <c r="G375" s="108">
        <v>124690</v>
      </c>
      <c r="H375" s="87" t="s">
        <v>1649</v>
      </c>
      <c r="I375" s="205">
        <v>0</v>
      </c>
      <c r="J375" s="207">
        <v>57737</v>
      </c>
      <c r="K375" s="208">
        <v>132365</v>
      </c>
      <c r="L375" s="208">
        <v>2369126</v>
      </c>
      <c r="M375" s="208">
        <v>0</v>
      </c>
      <c r="N375" s="208">
        <v>108881</v>
      </c>
      <c r="O375" s="208">
        <v>2610372</v>
      </c>
      <c r="P375" s="208">
        <v>0</v>
      </c>
      <c r="Q375" s="207">
        <v>66953</v>
      </c>
      <c r="R375" s="208">
        <v>153524</v>
      </c>
      <c r="S375" s="208">
        <v>0</v>
      </c>
      <c r="T375" s="208">
        <v>0</v>
      </c>
      <c r="U375" s="208">
        <v>707000</v>
      </c>
      <c r="V375" s="208">
        <v>860524</v>
      </c>
      <c r="W375" s="208">
        <v>28614</v>
      </c>
      <c r="X375" s="208">
        <v>3470896</v>
      </c>
      <c r="Y375" s="208">
        <v>28614</v>
      </c>
      <c r="Z375" s="208">
        <v>3499510</v>
      </c>
      <c r="AA375" s="208">
        <v>100791</v>
      </c>
      <c r="AB375" s="208">
        <v>0</v>
      </c>
      <c r="AC375" s="208">
        <v>3600301</v>
      </c>
      <c r="AD375" s="209">
        <v>28.874015558585292</v>
      </c>
    </row>
    <row r="376" spans="1:30" ht="13.5" thickBot="1" x14ac:dyDescent="0.25">
      <c r="A376" s="48" t="s">
        <v>638</v>
      </c>
      <c r="B376" s="47" t="s">
        <v>637</v>
      </c>
      <c r="C376" s="48" t="s">
        <v>54</v>
      </c>
      <c r="D376" s="48" t="s">
        <v>1940</v>
      </c>
      <c r="E376" s="129" t="s">
        <v>15</v>
      </c>
      <c r="F376" s="129" t="s">
        <v>16</v>
      </c>
      <c r="G376" s="108">
        <v>100485</v>
      </c>
      <c r="H376" s="87" t="s">
        <v>1648</v>
      </c>
      <c r="I376" s="205">
        <v>65000</v>
      </c>
      <c r="J376" s="207">
        <v>70995</v>
      </c>
      <c r="K376" s="208">
        <v>151529</v>
      </c>
      <c r="L376" s="208">
        <v>2695325</v>
      </c>
      <c r="M376" s="203">
        <v>0</v>
      </c>
      <c r="N376" s="208">
        <v>143285</v>
      </c>
      <c r="O376" s="208">
        <v>2990139</v>
      </c>
      <c r="P376" s="208">
        <v>368003</v>
      </c>
      <c r="Q376" s="207">
        <v>29490</v>
      </c>
      <c r="R376" s="208">
        <v>63100</v>
      </c>
      <c r="S376" s="208">
        <v>807505</v>
      </c>
      <c r="T376" s="208">
        <v>479185</v>
      </c>
      <c r="U376" s="208">
        <v>0</v>
      </c>
      <c r="V376" s="208">
        <v>1349790</v>
      </c>
      <c r="W376" s="203">
        <v>0</v>
      </c>
      <c r="X376" s="208">
        <v>4339929</v>
      </c>
      <c r="Y376" s="208">
        <v>368003</v>
      </c>
      <c r="Z376" s="208">
        <v>4707932</v>
      </c>
      <c r="AA376" s="208">
        <v>121706</v>
      </c>
      <c r="AB376" s="208">
        <v>0</v>
      </c>
      <c r="AC376" s="208">
        <v>4829638</v>
      </c>
      <c r="AD376" s="209">
        <v>48.063273125342093</v>
      </c>
    </row>
    <row r="377" spans="1:30" ht="13.5" thickBot="1" x14ac:dyDescent="0.25">
      <c r="A377" s="48" t="s">
        <v>648</v>
      </c>
      <c r="B377" s="47" t="s">
        <v>647</v>
      </c>
      <c r="C377" s="48" t="s">
        <v>54</v>
      </c>
      <c r="D377" s="48" t="s">
        <v>1940</v>
      </c>
      <c r="E377" s="129" t="s">
        <v>20</v>
      </c>
      <c r="F377" s="129" t="s">
        <v>21</v>
      </c>
      <c r="G377" s="108">
        <v>57236</v>
      </c>
      <c r="H377" s="87" t="s">
        <v>1649</v>
      </c>
      <c r="I377" s="205">
        <v>0</v>
      </c>
      <c r="J377" s="207">
        <v>57236</v>
      </c>
      <c r="K377" s="208">
        <v>122250</v>
      </c>
      <c r="L377" s="208">
        <v>2444920</v>
      </c>
      <c r="M377" s="208">
        <v>45980</v>
      </c>
      <c r="N377" s="208">
        <v>59590</v>
      </c>
      <c r="O377" s="208">
        <v>2672740</v>
      </c>
      <c r="P377" s="208">
        <v>97650</v>
      </c>
      <c r="Q377" s="210">
        <v>0</v>
      </c>
      <c r="R377" s="203">
        <v>0</v>
      </c>
      <c r="S377" s="203">
        <v>0</v>
      </c>
      <c r="T377" s="203">
        <v>0</v>
      </c>
      <c r="U377" s="203">
        <v>0</v>
      </c>
      <c r="V377" s="203">
        <v>0</v>
      </c>
      <c r="W377" s="203">
        <v>0</v>
      </c>
      <c r="X377" s="208">
        <v>2672740</v>
      </c>
      <c r="Y377" s="208">
        <v>97650</v>
      </c>
      <c r="Z377" s="208">
        <v>2770390</v>
      </c>
      <c r="AA377" s="208">
        <v>45980</v>
      </c>
      <c r="AB377" s="208">
        <v>0</v>
      </c>
      <c r="AC377" s="208">
        <v>2816370</v>
      </c>
      <c r="AD377" s="209">
        <v>49.206268781885527</v>
      </c>
    </row>
    <row r="378" spans="1:30" ht="13.5" thickBot="1" x14ac:dyDescent="0.25">
      <c r="A378" s="48" t="s">
        <v>654</v>
      </c>
      <c r="B378" s="47" t="s">
        <v>653</v>
      </c>
      <c r="C378" s="48" t="s">
        <v>54</v>
      </c>
      <c r="D378" s="48" t="s">
        <v>2805</v>
      </c>
      <c r="E378" s="129" t="s">
        <v>15</v>
      </c>
      <c r="F378" s="129" t="s">
        <v>16</v>
      </c>
      <c r="G378" s="108">
        <v>160312</v>
      </c>
      <c r="H378" s="87" t="s">
        <v>1648</v>
      </c>
      <c r="I378" s="205">
        <v>150000</v>
      </c>
      <c r="J378" s="207">
        <v>158267</v>
      </c>
      <c r="K378" s="208">
        <v>490945</v>
      </c>
      <c r="L378" s="208">
        <v>4207274</v>
      </c>
      <c r="M378" s="208">
        <v>8000</v>
      </c>
      <c r="N378" s="208">
        <v>41591</v>
      </c>
      <c r="O378" s="208">
        <v>4747810</v>
      </c>
      <c r="P378" s="208">
        <v>250013</v>
      </c>
      <c r="Q378" s="207">
        <v>2045</v>
      </c>
      <c r="R378" s="208">
        <v>2121</v>
      </c>
      <c r="S378" s="208">
        <v>0</v>
      </c>
      <c r="T378" s="208">
        <v>0</v>
      </c>
      <c r="U378" s="208">
        <v>0</v>
      </c>
      <c r="V378" s="208">
        <v>2121</v>
      </c>
      <c r="W378" s="208">
        <v>0</v>
      </c>
      <c r="X378" s="208">
        <v>4749931</v>
      </c>
      <c r="Y378" s="208">
        <v>250013</v>
      </c>
      <c r="Z378" s="208">
        <v>4999944</v>
      </c>
      <c r="AA378" s="208">
        <v>169566</v>
      </c>
      <c r="AB378" s="208">
        <v>0</v>
      </c>
      <c r="AC378" s="208">
        <v>5169510</v>
      </c>
      <c r="AD378" s="209">
        <v>32.246556714406907</v>
      </c>
    </row>
    <row r="379" spans="1:30" ht="13.5" thickBot="1" x14ac:dyDescent="0.25">
      <c r="A379" s="48" t="s">
        <v>656</v>
      </c>
      <c r="B379" s="47" t="s">
        <v>655</v>
      </c>
      <c r="C379" s="48" t="s">
        <v>54</v>
      </c>
      <c r="D379" s="48" t="s">
        <v>2010</v>
      </c>
      <c r="E379" s="129" t="s">
        <v>20</v>
      </c>
      <c r="F379" s="129" t="s">
        <v>21</v>
      </c>
      <c r="G379" s="108">
        <v>59715</v>
      </c>
      <c r="H379" s="87" t="s">
        <v>1649</v>
      </c>
      <c r="I379" s="205">
        <v>0</v>
      </c>
      <c r="J379" s="207">
        <v>59715</v>
      </c>
      <c r="K379" s="208">
        <v>56496</v>
      </c>
      <c r="L379" s="208">
        <v>0</v>
      </c>
      <c r="M379" s="208">
        <v>1364039</v>
      </c>
      <c r="N379" s="208">
        <v>29167</v>
      </c>
      <c r="O379" s="208">
        <v>1449702</v>
      </c>
      <c r="P379" s="208">
        <v>30722</v>
      </c>
      <c r="Q379" s="210">
        <v>0</v>
      </c>
      <c r="R379" s="208">
        <v>0</v>
      </c>
      <c r="S379" s="208">
        <v>0</v>
      </c>
      <c r="T379" s="208">
        <v>0</v>
      </c>
      <c r="U379" s="208">
        <v>0</v>
      </c>
      <c r="V379" s="208">
        <v>0</v>
      </c>
      <c r="W379" s="208">
        <v>0</v>
      </c>
      <c r="X379" s="208">
        <v>1449702</v>
      </c>
      <c r="Y379" s="208">
        <v>30722</v>
      </c>
      <c r="Z379" s="208">
        <v>1480424</v>
      </c>
      <c r="AA379" s="208">
        <v>47807</v>
      </c>
      <c r="AB379" s="208">
        <v>0</v>
      </c>
      <c r="AC379" s="208">
        <v>1528231</v>
      </c>
      <c r="AD379" s="209">
        <v>25.592079042116723</v>
      </c>
    </row>
    <row r="380" spans="1:30" ht="13.5" thickBot="1" x14ac:dyDescent="0.25">
      <c r="A380" s="48" t="s">
        <v>684</v>
      </c>
      <c r="B380" s="47" t="s">
        <v>683</v>
      </c>
      <c r="C380" s="48" t="s">
        <v>54</v>
      </c>
      <c r="D380" s="48" t="s">
        <v>2010</v>
      </c>
      <c r="E380" s="129" t="s">
        <v>15</v>
      </c>
      <c r="F380" s="129" t="s">
        <v>16</v>
      </c>
      <c r="G380" s="108">
        <v>73804</v>
      </c>
      <c r="H380" s="87" t="s">
        <v>1649</v>
      </c>
      <c r="I380" s="205">
        <v>0</v>
      </c>
      <c r="J380" s="207">
        <v>73804</v>
      </c>
      <c r="K380" s="208">
        <v>76556</v>
      </c>
      <c r="L380" s="208">
        <v>0</v>
      </c>
      <c r="M380" s="208">
        <v>1122371</v>
      </c>
      <c r="N380" s="203">
        <v>0</v>
      </c>
      <c r="O380" s="208">
        <v>1198927</v>
      </c>
      <c r="P380" s="208">
        <v>25742</v>
      </c>
      <c r="Q380" s="210">
        <v>0</v>
      </c>
      <c r="R380" s="203">
        <v>0</v>
      </c>
      <c r="S380" s="203">
        <v>0</v>
      </c>
      <c r="T380" s="203">
        <v>0</v>
      </c>
      <c r="U380" s="203">
        <v>0</v>
      </c>
      <c r="V380" s="203">
        <v>0</v>
      </c>
      <c r="W380" s="203">
        <v>0</v>
      </c>
      <c r="X380" s="208">
        <v>1198927</v>
      </c>
      <c r="Y380" s="208">
        <v>25742</v>
      </c>
      <c r="Z380" s="208">
        <v>1224669</v>
      </c>
      <c r="AA380" s="208">
        <v>59155</v>
      </c>
      <c r="AB380" s="208">
        <v>0</v>
      </c>
      <c r="AC380" s="208">
        <v>1283824</v>
      </c>
      <c r="AD380" s="209">
        <v>17.395046338951818</v>
      </c>
    </row>
    <row r="381" spans="1:30" ht="13.5" thickBot="1" x14ac:dyDescent="0.25">
      <c r="A381" s="48" t="s">
        <v>696</v>
      </c>
      <c r="B381" s="47" t="s">
        <v>695</v>
      </c>
      <c r="C381" s="48" t="s">
        <v>54</v>
      </c>
      <c r="D381" s="48" t="s">
        <v>1940</v>
      </c>
      <c r="E381" s="129" t="s">
        <v>20</v>
      </c>
      <c r="F381" s="129" t="s">
        <v>21</v>
      </c>
      <c r="G381" s="108">
        <v>75814</v>
      </c>
      <c r="H381" s="87" t="s">
        <v>1649</v>
      </c>
      <c r="I381" s="205">
        <v>0</v>
      </c>
      <c r="J381" s="207">
        <v>71739</v>
      </c>
      <c r="K381" s="208">
        <v>132081</v>
      </c>
      <c r="L381" s="208">
        <v>7145558</v>
      </c>
      <c r="M381" s="203">
        <v>0</v>
      </c>
      <c r="N381" s="208">
        <v>0</v>
      </c>
      <c r="O381" s="208">
        <v>7277639</v>
      </c>
      <c r="P381" s="208">
        <v>457550</v>
      </c>
      <c r="Q381" s="207">
        <v>4075</v>
      </c>
      <c r="R381" s="203">
        <v>0</v>
      </c>
      <c r="S381" s="208">
        <v>119900</v>
      </c>
      <c r="T381" s="203">
        <v>0</v>
      </c>
      <c r="U381" s="203">
        <v>0</v>
      </c>
      <c r="V381" s="208">
        <v>119900</v>
      </c>
      <c r="W381" s="203">
        <v>0</v>
      </c>
      <c r="X381" s="208">
        <v>7397539</v>
      </c>
      <c r="Y381" s="208">
        <v>457550</v>
      </c>
      <c r="Z381" s="208">
        <v>7855089</v>
      </c>
      <c r="AA381" s="208">
        <v>62552</v>
      </c>
      <c r="AB381" s="208">
        <v>0</v>
      </c>
      <c r="AC381" s="208">
        <v>7917641</v>
      </c>
      <c r="AD381" s="209">
        <v>104.43507795393991</v>
      </c>
    </row>
    <row r="382" spans="1:30" ht="13.5" thickBot="1" x14ac:dyDescent="0.25">
      <c r="A382" s="48" t="s">
        <v>710</v>
      </c>
      <c r="B382" s="47" t="s">
        <v>709</v>
      </c>
      <c r="C382" s="48" t="s">
        <v>54</v>
      </c>
      <c r="D382" s="48" t="s">
        <v>2010</v>
      </c>
      <c r="E382" s="129" t="s">
        <v>20</v>
      </c>
      <c r="F382" s="129" t="s">
        <v>21</v>
      </c>
      <c r="G382" s="108">
        <v>129699</v>
      </c>
      <c r="H382" s="87" t="s">
        <v>1649</v>
      </c>
      <c r="I382" s="205">
        <v>0</v>
      </c>
      <c r="J382" s="207">
        <v>129699</v>
      </c>
      <c r="K382" s="208">
        <v>122707</v>
      </c>
      <c r="L382" s="208">
        <v>0</v>
      </c>
      <c r="M382" s="208">
        <v>2482341</v>
      </c>
      <c r="N382" s="208">
        <v>0</v>
      </c>
      <c r="O382" s="208">
        <v>2605048</v>
      </c>
      <c r="P382" s="208">
        <v>100675</v>
      </c>
      <c r="Q382" s="210">
        <v>0</v>
      </c>
      <c r="R382" s="208">
        <v>0</v>
      </c>
      <c r="S382" s="208">
        <v>0</v>
      </c>
      <c r="T382" s="208">
        <v>0</v>
      </c>
      <c r="U382" s="208">
        <v>0</v>
      </c>
      <c r="V382" s="208">
        <v>0</v>
      </c>
      <c r="W382" s="208">
        <v>0</v>
      </c>
      <c r="X382" s="208">
        <v>2605048</v>
      </c>
      <c r="Y382" s="208">
        <v>100675</v>
      </c>
      <c r="Z382" s="208">
        <v>2705723</v>
      </c>
      <c r="AA382" s="208">
        <v>103957</v>
      </c>
      <c r="AB382" s="208">
        <v>6875</v>
      </c>
      <c r="AC382" s="208">
        <v>2816555</v>
      </c>
      <c r="AD382" s="209">
        <v>21.716088790198846</v>
      </c>
    </row>
    <row r="383" spans="1:30" ht="13.5" thickBot="1" x14ac:dyDescent="0.25">
      <c r="A383" s="48" t="s">
        <v>726</v>
      </c>
      <c r="B383" s="47" t="s">
        <v>725</v>
      </c>
      <c r="C383" s="48" t="s">
        <v>54</v>
      </c>
      <c r="D383" s="48" t="s">
        <v>1979</v>
      </c>
      <c r="E383" s="129" t="s">
        <v>20</v>
      </c>
      <c r="F383" s="129" t="s">
        <v>21</v>
      </c>
      <c r="G383" s="108">
        <v>63131</v>
      </c>
      <c r="H383" s="87" t="s">
        <v>1649</v>
      </c>
      <c r="I383" s="205">
        <v>0</v>
      </c>
      <c r="J383" s="207">
        <v>63131</v>
      </c>
      <c r="K383" s="208">
        <v>0</v>
      </c>
      <c r="L383" s="203">
        <v>0</v>
      </c>
      <c r="M383" s="208">
        <v>960618</v>
      </c>
      <c r="N383" s="208">
        <v>12984</v>
      </c>
      <c r="O383" s="208">
        <v>973602</v>
      </c>
      <c r="P383" s="208">
        <v>18912</v>
      </c>
      <c r="Q383" s="210">
        <v>0</v>
      </c>
      <c r="R383" s="203">
        <v>0</v>
      </c>
      <c r="S383" s="203">
        <v>0</v>
      </c>
      <c r="T383" s="203">
        <v>0</v>
      </c>
      <c r="U383" s="203">
        <v>0</v>
      </c>
      <c r="V383" s="203">
        <v>0</v>
      </c>
      <c r="W383" s="203">
        <v>0</v>
      </c>
      <c r="X383" s="208">
        <v>973602</v>
      </c>
      <c r="Y383" s="208">
        <v>18912</v>
      </c>
      <c r="Z383" s="208">
        <v>992514</v>
      </c>
      <c r="AA383" s="208">
        <v>114206</v>
      </c>
      <c r="AB383" s="208">
        <v>4469</v>
      </c>
      <c r="AC383" s="208">
        <v>1111189</v>
      </c>
      <c r="AD383" s="209">
        <v>17.601321062552469</v>
      </c>
    </row>
    <row r="384" spans="1:30" ht="13.5" thickBot="1" x14ac:dyDescent="0.25">
      <c r="A384" s="48" t="s">
        <v>752</v>
      </c>
      <c r="B384" s="47" t="s">
        <v>751</v>
      </c>
      <c r="C384" s="48" t="s">
        <v>54</v>
      </c>
      <c r="D384" s="48" t="s">
        <v>2334</v>
      </c>
      <c r="E384" s="129" t="s">
        <v>15</v>
      </c>
      <c r="F384" s="129" t="s">
        <v>16</v>
      </c>
      <c r="G384" s="108">
        <v>97396</v>
      </c>
      <c r="H384" s="87" t="s">
        <v>1648</v>
      </c>
      <c r="I384" s="205">
        <v>85000</v>
      </c>
      <c r="J384" s="207">
        <v>87178</v>
      </c>
      <c r="K384" s="208">
        <v>198917</v>
      </c>
      <c r="L384" s="208">
        <v>4774201</v>
      </c>
      <c r="M384" s="208">
        <v>2713</v>
      </c>
      <c r="N384" s="203">
        <v>0</v>
      </c>
      <c r="O384" s="208">
        <v>4975831</v>
      </c>
      <c r="P384" s="208">
        <v>382497</v>
      </c>
      <c r="Q384" s="207">
        <v>10218</v>
      </c>
      <c r="R384" s="208">
        <v>31149</v>
      </c>
      <c r="S384" s="203">
        <v>0</v>
      </c>
      <c r="T384" s="203">
        <v>0</v>
      </c>
      <c r="U384" s="203">
        <v>0</v>
      </c>
      <c r="V384" s="208">
        <v>31149</v>
      </c>
      <c r="W384" s="203">
        <v>0</v>
      </c>
      <c r="X384" s="208">
        <v>5006980</v>
      </c>
      <c r="Y384" s="208">
        <v>382497</v>
      </c>
      <c r="Z384" s="208">
        <v>5389477</v>
      </c>
      <c r="AA384" s="208">
        <v>119138</v>
      </c>
      <c r="AB384" s="208">
        <v>0</v>
      </c>
      <c r="AC384" s="208">
        <v>5508615</v>
      </c>
      <c r="AD384" s="209">
        <v>56.558944925869646</v>
      </c>
    </row>
    <row r="385" spans="1:30" ht="13.5" thickBot="1" x14ac:dyDescent="0.25">
      <c r="A385" s="48" t="s">
        <v>754</v>
      </c>
      <c r="B385" s="47" t="s">
        <v>1614</v>
      </c>
      <c r="C385" s="48" t="s">
        <v>54</v>
      </c>
      <c r="D385" s="48" t="s">
        <v>1979</v>
      </c>
      <c r="E385" s="129" t="s">
        <v>20</v>
      </c>
      <c r="F385" s="129" t="s">
        <v>21</v>
      </c>
      <c r="G385" s="108">
        <v>72726</v>
      </c>
      <c r="H385" s="87" t="s">
        <v>1649</v>
      </c>
      <c r="I385" s="205">
        <v>0</v>
      </c>
      <c r="J385" s="207">
        <v>18853</v>
      </c>
      <c r="K385" s="208">
        <v>33910</v>
      </c>
      <c r="L385" s="203">
        <v>0</v>
      </c>
      <c r="M385" s="208">
        <v>303132</v>
      </c>
      <c r="N385" s="208">
        <v>21958</v>
      </c>
      <c r="O385" s="208">
        <v>359000</v>
      </c>
      <c r="P385" s="208">
        <v>58474</v>
      </c>
      <c r="Q385" s="207">
        <v>53873</v>
      </c>
      <c r="R385" s="208">
        <v>96899</v>
      </c>
      <c r="S385" s="208">
        <v>123285</v>
      </c>
      <c r="T385" s="208">
        <v>227311</v>
      </c>
      <c r="U385" s="208">
        <v>306</v>
      </c>
      <c r="V385" s="208">
        <v>447801</v>
      </c>
      <c r="W385" s="208">
        <v>0</v>
      </c>
      <c r="X385" s="208">
        <v>806801</v>
      </c>
      <c r="Y385" s="208">
        <v>58474</v>
      </c>
      <c r="Z385" s="208">
        <v>865275</v>
      </c>
      <c r="AA385" s="208">
        <v>58223</v>
      </c>
      <c r="AB385" s="208">
        <v>0</v>
      </c>
      <c r="AC385" s="208">
        <v>923498</v>
      </c>
      <c r="AD385" s="209">
        <v>12.69831972059511</v>
      </c>
    </row>
    <row r="386" spans="1:30" ht="13.5" thickBot="1" x14ac:dyDescent="0.25">
      <c r="A386" s="48" t="s">
        <v>756</v>
      </c>
      <c r="B386" s="47" t="s">
        <v>755</v>
      </c>
      <c r="C386" s="48" t="s">
        <v>54</v>
      </c>
      <c r="D386" s="48" t="s">
        <v>1940</v>
      </c>
      <c r="E386" s="129" t="s">
        <v>20</v>
      </c>
      <c r="F386" s="129" t="s">
        <v>21</v>
      </c>
      <c r="G386" s="108">
        <v>80980</v>
      </c>
      <c r="H386" s="87" t="s">
        <v>1649</v>
      </c>
      <c r="I386" s="205">
        <v>0</v>
      </c>
      <c r="J386" s="207">
        <v>80980</v>
      </c>
      <c r="K386" s="208">
        <v>172967</v>
      </c>
      <c r="L386" s="208">
        <v>3397872</v>
      </c>
      <c r="M386" s="208">
        <v>0</v>
      </c>
      <c r="N386" s="208">
        <v>31536</v>
      </c>
      <c r="O386" s="208">
        <v>3602375</v>
      </c>
      <c r="P386" s="208">
        <v>80258</v>
      </c>
      <c r="Q386" s="210">
        <v>0</v>
      </c>
      <c r="R386" s="203">
        <v>0</v>
      </c>
      <c r="S386" s="203">
        <v>0</v>
      </c>
      <c r="T386" s="203">
        <v>0</v>
      </c>
      <c r="U386" s="203">
        <v>0</v>
      </c>
      <c r="V386" s="203">
        <v>0</v>
      </c>
      <c r="W386" s="203">
        <v>0</v>
      </c>
      <c r="X386" s="208">
        <v>3602375</v>
      </c>
      <c r="Y386" s="208">
        <v>80258</v>
      </c>
      <c r="Z386" s="208">
        <v>3682633</v>
      </c>
      <c r="AA386" s="208">
        <v>64831</v>
      </c>
      <c r="AB386" s="208">
        <v>0</v>
      </c>
      <c r="AC386" s="208">
        <v>3747464</v>
      </c>
      <c r="AD386" s="209">
        <v>46.276413929365276</v>
      </c>
    </row>
    <row r="387" spans="1:30" ht="13.5" thickBot="1" x14ac:dyDescent="0.25">
      <c r="A387" s="48" t="s">
        <v>778</v>
      </c>
      <c r="B387" s="47" t="s">
        <v>777</v>
      </c>
      <c r="C387" s="48" t="s">
        <v>54</v>
      </c>
      <c r="D387" s="48" t="s">
        <v>2010</v>
      </c>
      <c r="E387" s="129" t="s">
        <v>20</v>
      </c>
      <c r="F387" s="129" t="s">
        <v>21</v>
      </c>
      <c r="G387" s="108">
        <v>134056</v>
      </c>
      <c r="H387" s="87" t="s">
        <v>1649</v>
      </c>
      <c r="I387" s="205">
        <v>0</v>
      </c>
      <c r="J387" s="207">
        <v>134056</v>
      </c>
      <c r="K387" s="208">
        <v>126829</v>
      </c>
      <c r="L387" s="208">
        <v>4871103</v>
      </c>
      <c r="M387" s="203">
        <v>0</v>
      </c>
      <c r="N387" s="208">
        <v>19556</v>
      </c>
      <c r="O387" s="208">
        <v>5017488</v>
      </c>
      <c r="P387" s="208">
        <v>174853</v>
      </c>
      <c r="Q387" s="210">
        <v>0</v>
      </c>
      <c r="R387" s="203">
        <v>0</v>
      </c>
      <c r="S387" s="203">
        <v>0</v>
      </c>
      <c r="T387" s="203">
        <v>0</v>
      </c>
      <c r="U387" s="203">
        <v>0</v>
      </c>
      <c r="V387" s="203">
        <v>0</v>
      </c>
      <c r="W387" s="203">
        <v>0</v>
      </c>
      <c r="X387" s="208">
        <v>5017488</v>
      </c>
      <c r="Y387" s="208">
        <v>174853</v>
      </c>
      <c r="Z387" s="208">
        <v>5192341</v>
      </c>
      <c r="AA387" s="208">
        <v>262966</v>
      </c>
      <c r="AB387" s="208">
        <v>2329</v>
      </c>
      <c r="AC387" s="208">
        <v>5457636</v>
      </c>
      <c r="AD387" s="209">
        <v>40.711613057229812</v>
      </c>
    </row>
    <row r="388" spans="1:30" ht="13.5" thickBot="1" x14ac:dyDescent="0.25">
      <c r="A388" s="48" t="s">
        <v>780</v>
      </c>
      <c r="B388" s="47" t="s">
        <v>779</v>
      </c>
      <c r="C388" s="48" t="s">
        <v>54</v>
      </c>
      <c r="D388" s="48" t="s">
        <v>1940</v>
      </c>
      <c r="E388" s="129" t="s">
        <v>15</v>
      </c>
      <c r="F388" s="129" t="s">
        <v>16</v>
      </c>
      <c r="G388" s="108">
        <v>71997</v>
      </c>
      <c r="H388" s="87" t="s">
        <v>1648</v>
      </c>
      <c r="I388" s="205">
        <v>45000</v>
      </c>
      <c r="J388" s="207">
        <v>71707</v>
      </c>
      <c r="K388" s="208">
        <v>153780</v>
      </c>
      <c r="L388" s="208">
        <v>1884378</v>
      </c>
      <c r="M388" s="203">
        <v>0</v>
      </c>
      <c r="N388" s="208">
        <v>37994</v>
      </c>
      <c r="O388" s="208">
        <v>2076152</v>
      </c>
      <c r="P388" s="208">
        <v>59368</v>
      </c>
      <c r="Q388" s="207">
        <v>290</v>
      </c>
      <c r="R388" s="208">
        <v>0</v>
      </c>
      <c r="S388" s="208">
        <v>0</v>
      </c>
      <c r="T388" s="208">
        <v>0</v>
      </c>
      <c r="U388" s="208">
        <v>0</v>
      </c>
      <c r="V388" s="208">
        <v>0</v>
      </c>
      <c r="W388" s="208">
        <v>0</v>
      </c>
      <c r="X388" s="208">
        <v>2076152</v>
      </c>
      <c r="Y388" s="208">
        <v>59368</v>
      </c>
      <c r="Z388" s="208">
        <v>2135520</v>
      </c>
      <c r="AA388" s="208">
        <v>57707</v>
      </c>
      <c r="AB388" s="208">
        <v>0</v>
      </c>
      <c r="AC388" s="208">
        <v>2193227</v>
      </c>
      <c r="AD388" s="209">
        <v>30.462755392585802</v>
      </c>
    </row>
    <row r="389" spans="1:30" ht="13.5" thickBot="1" x14ac:dyDescent="0.25">
      <c r="A389" s="48" t="s">
        <v>788</v>
      </c>
      <c r="B389" s="47" t="s">
        <v>787</v>
      </c>
      <c r="C389" s="48" t="s">
        <v>54</v>
      </c>
      <c r="D389" s="48" t="s">
        <v>1940</v>
      </c>
      <c r="E389" s="129" t="s">
        <v>61</v>
      </c>
      <c r="F389" s="129" t="s">
        <v>62</v>
      </c>
      <c r="G389" s="108">
        <v>71755</v>
      </c>
      <c r="H389" s="87" t="s">
        <v>1649</v>
      </c>
      <c r="I389" s="205">
        <v>0</v>
      </c>
      <c r="J389" s="207">
        <v>64690</v>
      </c>
      <c r="K389" s="208">
        <v>138173</v>
      </c>
      <c r="L389" s="208">
        <v>5070972</v>
      </c>
      <c r="M389" s="208">
        <v>0</v>
      </c>
      <c r="N389" s="208">
        <v>14357</v>
      </c>
      <c r="O389" s="208">
        <v>5223502</v>
      </c>
      <c r="P389" s="208">
        <v>320994</v>
      </c>
      <c r="Q389" s="207">
        <v>7065</v>
      </c>
      <c r="R389" s="208">
        <v>15091</v>
      </c>
      <c r="S389" s="208">
        <v>0</v>
      </c>
      <c r="T389" s="208">
        <v>0</v>
      </c>
      <c r="U389" s="208">
        <v>149837</v>
      </c>
      <c r="V389" s="208">
        <v>164928</v>
      </c>
      <c r="W389" s="208">
        <v>0</v>
      </c>
      <c r="X389" s="208">
        <v>5388430</v>
      </c>
      <c r="Y389" s="208">
        <v>320994</v>
      </c>
      <c r="Z389" s="208">
        <v>5709424</v>
      </c>
      <c r="AA389" s="208">
        <v>57513</v>
      </c>
      <c r="AB389" s="208">
        <v>0</v>
      </c>
      <c r="AC389" s="208">
        <v>5766937</v>
      </c>
      <c r="AD389" s="209">
        <v>80.369827886558426</v>
      </c>
    </row>
    <row r="390" spans="1:30" ht="13.5" thickBot="1" x14ac:dyDescent="0.25">
      <c r="A390" s="48" t="s">
        <v>808</v>
      </c>
      <c r="B390" s="47" t="s">
        <v>807</v>
      </c>
      <c r="C390" s="48" t="s">
        <v>54</v>
      </c>
      <c r="D390" s="48" t="s">
        <v>1960</v>
      </c>
      <c r="E390" s="129" t="s">
        <v>20</v>
      </c>
      <c r="F390" s="129" t="s">
        <v>21</v>
      </c>
      <c r="G390" s="108">
        <v>89779</v>
      </c>
      <c r="H390" s="87" t="s">
        <v>1648</v>
      </c>
      <c r="I390" s="205">
        <v>59951</v>
      </c>
      <c r="J390" s="207">
        <v>89779</v>
      </c>
      <c r="K390" s="208">
        <v>137317</v>
      </c>
      <c r="L390" s="208">
        <v>4469481</v>
      </c>
      <c r="M390" s="208">
        <v>0</v>
      </c>
      <c r="N390" s="208">
        <v>175488</v>
      </c>
      <c r="O390" s="208">
        <v>4782286</v>
      </c>
      <c r="P390" s="208">
        <v>670244</v>
      </c>
      <c r="Q390" s="210">
        <v>0</v>
      </c>
      <c r="R390" s="203">
        <v>0</v>
      </c>
      <c r="S390" s="203">
        <v>0</v>
      </c>
      <c r="T390" s="203">
        <v>0</v>
      </c>
      <c r="U390" s="203">
        <v>0</v>
      </c>
      <c r="V390" s="203">
        <v>0</v>
      </c>
      <c r="W390" s="203">
        <v>0</v>
      </c>
      <c r="X390" s="208">
        <v>4782286</v>
      </c>
      <c r="Y390" s="208">
        <v>670244</v>
      </c>
      <c r="Z390" s="208">
        <v>5452530</v>
      </c>
      <c r="AA390" s="208">
        <v>140222</v>
      </c>
      <c r="AB390" s="208">
        <v>0</v>
      </c>
      <c r="AC390" s="208">
        <v>5592752</v>
      </c>
      <c r="AD390" s="209">
        <v>62.294656879671194</v>
      </c>
    </row>
    <row r="391" spans="1:30" ht="13.5" thickBot="1" x14ac:dyDescent="0.25">
      <c r="A391" s="48" t="s">
        <v>810</v>
      </c>
      <c r="B391" s="47" t="s">
        <v>809</v>
      </c>
      <c r="C391" s="48" t="s">
        <v>54</v>
      </c>
      <c r="D391" s="48" t="s">
        <v>1979</v>
      </c>
      <c r="E391" s="129" t="s">
        <v>20</v>
      </c>
      <c r="F391" s="129" t="s">
        <v>21</v>
      </c>
      <c r="G391" s="108">
        <v>84094</v>
      </c>
      <c r="H391" s="87" t="s">
        <v>1649</v>
      </c>
      <c r="I391" s="205">
        <v>0</v>
      </c>
      <c r="J391" s="207">
        <v>84094</v>
      </c>
      <c r="K391" s="208">
        <v>0</v>
      </c>
      <c r="L391" s="208">
        <v>1516987</v>
      </c>
      <c r="M391" s="208">
        <v>1516988</v>
      </c>
      <c r="N391" s="208">
        <v>289206</v>
      </c>
      <c r="O391" s="208">
        <v>3323181</v>
      </c>
      <c r="P391" s="208">
        <v>46671</v>
      </c>
      <c r="Q391" s="210">
        <v>0</v>
      </c>
      <c r="R391" s="203">
        <v>0</v>
      </c>
      <c r="S391" s="203">
        <v>0</v>
      </c>
      <c r="T391" s="203">
        <v>0</v>
      </c>
      <c r="U391" s="203">
        <v>0</v>
      </c>
      <c r="V391" s="203">
        <v>0</v>
      </c>
      <c r="W391" s="203">
        <v>0</v>
      </c>
      <c r="X391" s="208">
        <v>3323181</v>
      </c>
      <c r="Y391" s="208">
        <v>46671</v>
      </c>
      <c r="Z391" s="208">
        <v>3369852</v>
      </c>
      <c r="AA391" s="208">
        <v>67325</v>
      </c>
      <c r="AB391" s="208">
        <v>0</v>
      </c>
      <c r="AC391" s="208">
        <v>3437177</v>
      </c>
      <c r="AD391" s="209">
        <v>40.873034937094204</v>
      </c>
    </row>
    <row r="392" spans="1:30" ht="13.5" thickBot="1" x14ac:dyDescent="0.25">
      <c r="A392" s="48" t="s">
        <v>816</v>
      </c>
      <c r="B392" s="47" t="s">
        <v>815</v>
      </c>
      <c r="C392" s="48" t="s">
        <v>54</v>
      </c>
      <c r="D392" s="48" t="s">
        <v>2006</v>
      </c>
      <c r="E392" s="129" t="s">
        <v>46</v>
      </c>
      <c r="F392" s="129" t="s">
        <v>47</v>
      </c>
      <c r="G392" s="108">
        <v>82974</v>
      </c>
      <c r="H392" s="87" t="s">
        <v>1649</v>
      </c>
      <c r="I392" s="205">
        <v>0</v>
      </c>
      <c r="J392" s="207">
        <v>82974</v>
      </c>
      <c r="K392" s="208">
        <v>97500</v>
      </c>
      <c r="L392" s="208">
        <v>5401154</v>
      </c>
      <c r="M392" s="203">
        <v>0</v>
      </c>
      <c r="N392" s="203">
        <v>0</v>
      </c>
      <c r="O392" s="208">
        <v>5498654</v>
      </c>
      <c r="P392" s="208">
        <v>343179</v>
      </c>
      <c r="Q392" s="210">
        <v>0</v>
      </c>
      <c r="R392" s="203">
        <v>0</v>
      </c>
      <c r="S392" s="203">
        <v>0</v>
      </c>
      <c r="T392" s="203">
        <v>0</v>
      </c>
      <c r="U392" s="203">
        <v>0</v>
      </c>
      <c r="V392" s="203">
        <v>0</v>
      </c>
      <c r="W392" s="203">
        <v>0</v>
      </c>
      <c r="X392" s="208">
        <v>5498654</v>
      </c>
      <c r="Y392" s="208">
        <v>343179</v>
      </c>
      <c r="Z392" s="208">
        <v>5841833</v>
      </c>
      <c r="AA392" s="208">
        <v>67473</v>
      </c>
      <c r="AB392" s="208">
        <v>0</v>
      </c>
      <c r="AC392" s="208">
        <v>5909306</v>
      </c>
      <c r="AD392" s="209">
        <v>71.218767324704118</v>
      </c>
    </row>
    <row r="393" spans="1:30" ht="13.5" thickBot="1" x14ac:dyDescent="0.25">
      <c r="A393" s="60"/>
      <c r="D393" s="60"/>
      <c r="E393" s="213"/>
      <c r="F393" s="213"/>
      <c r="H393" s="214"/>
      <c r="I393" s="215"/>
      <c r="J393" s="216"/>
      <c r="K393" s="211"/>
      <c r="L393" s="211"/>
      <c r="M393" s="211"/>
      <c r="N393" s="211"/>
      <c r="O393" s="211"/>
      <c r="P393" s="211"/>
      <c r="Q393" s="217"/>
      <c r="R393" s="218"/>
      <c r="S393" s="218"/>
      <c r="T393" s="218"/>
      <c r="U393" s="218"/>
      <c r="V393" s="218"/>
      <c r="W393" s="218"/>
      <c r="X393" s="211"/>
      <c r="Y393" s="211"/>
      <c r="Z393" s="211"/>
      <c r="AA393" s="211"/>
      <c r="AB393" s="211"/>
      <c r="AC393" s="211"/>
      <c r="AD393" s="212"/>
    </row>
    <row r="394" spans="1:30" ht="18.75" thickBot="1" x14ac:dyDescent="0.3">
      <c r="B394" s="59" t="s">
        <v>1599</v>
      </c>
      <c r="C394" s="219">
        <f>SUBTOTAL(103,Table7[Library Class])</f>
        <v>389</v>
      </c>
      <c r="F394" s="104" t="s">
        <v>1620</v>
      </c>
      <c r="G394" s="220">
        <f>SUBTOTAL(109,Table7[Total Population Served])</f>
        <v>9842571</v>
      </c>
      <c r="H394" s="220"/>
      <c r="I394" s="222"/>
      <c r="J394" s="220">
        <f>SUBTOTAL(109,Table7[Subtotal Legal Service Area Population Served])</f>
        <v>9079989</v>
      </c>
      <c r="K394" s="222">
        <f>SUBTOTAL(109,Table7[Subtotal Local Penal Fine Revenues])</f>
        <v>20797995.969999999</v>
      </c>
      <c r="L394" s="222">
        <f>SUBTOTAL(109,Table7[Subtotal Income From Voted Millage])</f>
        <v>375214589.66567999</v>
      </c>
      <c r="M394" s="222">
        <f>SUBTOTAL(109,Table7[Subtotal Appropriated Tax Income])</f>
        <v>22422114</v>
      </c>
      <c r="N394" s="222">
        <f>SUBTOTAL(109,Table7[Subtotal Other Local Government Income])</f>
        <v>11391556</v>
      </c>
      <c r="O394" s="222">
        <f>SUBTOTAL(109,Table7[Subtotal Total Local Government Income])</f>
        <v>429826255.63568002</v>
      </c>
      <c r="P394" s="222">
        <f>SUBTOTAL(109,Table7[Subtotal Other Local Operating Income])</f>
        <v>31273531.427079998</v>
      </c>
      <c r="Q394" s="220">
        <f>SUBTOTAL(109,Table7[Contracted Municipality Population Served])</f>
        <v>762582</v>
      </c>
      <c r="R394" s="222">
        <f>SUBTOTAL(109,Table7[CM Penal Fine Revenues])</f>
        <v>2568273.11191</v>
      </c>
      <c r="S394" s="222">
        <f>SUBTOTAL(109,Table7[CM Income From Voted Millage])</f>
        <v>3997104.9443399999</v>
      </c>
      <c r="T394" s="222">
        <f>SUBTOTAL(109,Table7[CM Appropriated Tax Income])</f>
        <v>1100462</v>
      </c>
      <c r="U394" s="222">
        <f>SUBTOTAL(109,Table7[Contract Fee Income])</f>
        <v>3262354</v>
      </c>
      <c r="V394" s="222">
        <f>SUBTOTAL(109,Table7[CM Total Local Government Income])</f>
        <v>10928194.05625</v>
      </c>
      <c r="W394" s="222">
        <f>SUBTOTAL(109,Table7[CM Other Local Operating Income])</f>
        <v>124968.73291999999</v>
      </c>
      <c r="X394" s="222">
        <f>SUBTOTAL(109,Table7[Total Local Government Income])</f>
        <v>440754449.69193</v>
      </c>
      <c r="Y394" s="222">
        <f>SUBTOTAL(109,Table7[Total Other Local Operating Income])</f>
        <v>31398500.16</v>
      </c>
      <c r="Z394" s="222">
        <f>SUBTOTAL(109,Table7[Total Local Operating Income])</f>
        <v>472152949.85193002</v>
      </c>
      <c r="AA394" s="222">
        <f>SUBTOTAL(109,Table7[State Government Operating Income])</f>
        <v>11834413.780000001</v>
      </c>
      <c r="AB394" s="222">
        <f>SUBTOTAL(109,Table7[Federal Government Operating Income])</f>
        <v>449827</v>
      </c>
      <c r="AC394" s="222">
        <f>SUBTOTAL(109,Table7[Total Operating Income])</f>
        <v>484437190.63192999</v>
      </c>
      <c r="AD394" s="221">
        <f>SUBTOTAL(109,Table7[Total Operating Income Per Capita])</f>
        <v>17096.807564971765</v>
      </c>
    </row>
    <row r="395" spans="1:30" ht="18.75" thickBot="1" x14ac:dyDescent="0.3">
      <c r="F395" s="104" t="s">
        <v>1621</v>
      </c>
      <c r="G395" s="220">
        <f>SUBTOTAL(101,Table7[Total Population Served])</f>
        <v>25302.239074550129</v>
      </c>
      <c r="H395" s="220"/>
      <c r="I395" s="222"/>
      <c r="J395" s="220">
        <f>SUBTOTAL(101,Table7[Subtotal Legal Service Area Population Served])</f>
        <v>23341.874035989717</v>
      </c>
      <c r="K395" s="222">
        <f>SUBTOTAL(101,Table7[Subtotal Local Penal Fine Revenues])</f>
        <v>53465.285269922875</v>
      </c>
      <c r="L395" s="222">
        <f>SUBTOTAL(101,Table7[Subtotal Income From Voted Millage])</f>
        <v>964561.92716113105</v>
      </c>
      <c r="M395" s="222">
        <f>SUBTOTAL(101,Table7[Subtotal Appropriated Tax Income])</f>
        <v>57640.395886889462</v>
      </c>
      <c r="N395" s="222">
        <f>SUBTOTAL(101,Table7[Subtotal Other Local Government Income])</f>
        <v>29284.205655526992</v>
      </c>
      <c r="O395" s="222">
        <f>SUBTOTAL(101,Table7[Subtotal Total Local Government Income])</f>
        <v>1104951.8139734706</v>
      </c>
      <c r="P395" s="222">
        <f>SUBTOTAL(101,Table7[Subtotal Other Local Operating Income])</f>
        <v>80394.682331825185</v>
      </c>
      <c r="Q395" s="220">
        <f>SUBTOTAL(101,Table7[Contracted Municipality Population Served])</f>
        <v>1960.3650385604112</v>
      </c>
      <c r="R395" s="222">
        <f>SUBTOTAL(101,Table7[CM Penal Fine Revenues])</f>
        <v>6602.2445036246791</v>
      </c>
      <c r="S395" s="222">
        <f>SUBTOTAL(101,Table7[CM Income From Voted Millage])</f>
        <v>10275.334047146529</v>
      </c>
      <c r="T395" s="222">
        <f>SUBTOTAL(101,Table7[CM Appropriated Tax Income])</f>
        <v>2828.9511568123394</v>
      </c>
      <c r="U395" s="222">
        <f>SUBTOTAL(101,Table7[Contract Fee Income])</f>
        <v>8386.5141388174816</v>
      </c>
      <c r="V395" s="222">
        <f>SUBTOTAL(101,Table7[CM Total Local Government Income])</f>
        <v>28093.043846401029</v>
      </c>
      <c r="W395" s="222">
        <f>SUBTOTAL(101,Table7[CM Other Local Operating Income])</f>
        <v>321.2563828277635</v>
      </c>
      <c r="X395" s="222">
        <f>SUBTOTAL(101,Table7[Total Local Government Income])</f>
        <v>1133044.8578198715</v>
      </c>
      <c r="Y395" s="222">
        <f>SUBTOTAL(101,Table7[Total Other Local Operating Income])</f>
        <v>80715.938714652963</v>
      </c>
      <c r="Z395" s="222">
        <f>SUBTOTAL(101,Table7[Total Local Operating Income])</f>
        <v>1213760.7965345245</v>
      </c>
      <c r="AA395" s="222">
        <f>SUBTOTAL(101,Table7[State Government Operating Income])</f>
        <v>30422.657532133679</v>
      </c>
      <c r="AB395" s="222">
        <f>SUBTOTAL(101,Table7[Federal Government Operating Income])</f>
        <v>1156.3676092544988</v>
      </c>
      <c r="AC395" s="222">
        <f>SUBTOTAL(101,Table7[Total Operating Income])</f>
        <v>1245339.8216759125</v>
      </c>
      <c r="AD395" s="221">
        <f>SUBTOTAL(101,Table7[Total Operating Income Per Capita])</f>
        <v>43.950662120750039</v>
      </c>
    </row>
    <row r="396" spans="1:30" ht="102" x14ac:dyDescent="0.2">
      <c r="H396" s="223" t="s">
        <v>3026</v>
      </c>
    </row>
    <row r="397" spans="1:30" ht="15" x14ac:dyDescent="0.25">
      <c r="A397" s="369" t="s">
        <v>3736</v>
      </c>
    </row>
  </sheetData>
  <sortState xmlns:xlrd2="http://schemas.microsoft.com/office/spreadsheetml/2017/richdata2" ref="A4:AD392">
    <sortCondition ref="C4:C392"/>
    <sortCondition ref="B4:B392"/>
  </sortState>
  <hyperlinks>
    <hyperlink ref="F1" location="'Table of Contents'!A1" display="Return to Table of Contents" xr:uid="{9A089978-DF8B-401D-A975-5A0469EE872C}"/>
  </hyperlinks>
  <pageMargins left="0.7" right="0.7" top="0.75" bottom="0.75" header="0.3" footer="0.3"/>
  <pageSetup orientation="portrait" horizontalDpi="1200" verticalDpi="1200"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F6607-7E27-4D9F-901E-6F02B16EBF5E}">
  <sheetPr>
    <tabColor rgb="FF8CC6D4"/>
  </sheetPr>
  <dimension ref="A1:N398"/>
  <sheetViews>
    <sheetView workbookViewId="0">
      <pane ySplit="3" topLeftCell="A4" activePane="bottomLeft" state="frozen"/>
      <selection pane="bottomLeft" activeCell="C1" sqref="C1"/>
    </sheetView>
  </sheetViews>
  <sheetFormatPr defaultRowHeight="12.75" x14ac:dyDescent="0.2"/>
  <cols>
    <col min="2" max="2" width="53.28515625" customWidth="1"/>
    <col min="3" max="3" width="25.85546875" bestFit="1" customWidth="1"/>
    <col min="4" max="4" width="15.5703125" customWidth="1"/>
    <col min="5" max="5" width="17.140625" customWidth="1"/>
    <col min="6" max="6" width="15.5703125" customWidth="1"/>
    <col min="7" max="8" width="17.140625" customWidth="1"/>
    <col min="9" max="9" width="19.140625" customWidth="1"/>
    <col min="10" max="10" width="17.140625" customWidth="1"/>
    <col min="11" max="11" width="19" customWidth="1"/>
    <col min="12" max="12" width="18.7109375" customWidth="1"/>
    <col min="13" max="13" width="19.42578125" customWidth="1"/>
    <col min="14" max="14" width="15.5703125" customWidth="1"/>
  </cols>
  <sheetData>
    <row r="1" spans="1:14" ht="18.75" x14ac:dyDescent="0.3">
      <c r="A1" s="362" t="s">
        <v>3729</v>
      </c>
      <c r="B1" s="365"/>
      <c r="D1" s="364" t="s">
        <v>3732</v>
      </c>
      <c r="F1" s="368" t="s">
        <v>3727</v>
      </c>
    </row>
    <row r="3" spans="1:14" s="230" customFormat="1" ht="74.25" customHeight="1" thickBot="1" x14ac:dyDescent="0.3">
      <c r="A3" s="228" t="s">
        <v>1</v>
      </c>
      <c r="B3" s="228" t="s">
        <v>0</v>
      </c>
      <c r="C3" s="228" t="s">
        <v>4</v>
      </c>
      <c r="D3" s="228" t="s">
        <v>1602</v>
      </c>
      <c r="E3" s="228" t="s">
        <v>3027</v>
      </c>
      <c r="F3" s="228" t="s">
        <v>3028</v>
      </c>
      <c r="G3" s="228" t="s">
        <v>3029</v>
      </c>
      <c r="H3" s="228" t="s">
        <v>3030</v>
      </c>
      <c r="I3" s="228" t="s">
        <v>3031</v>
      </c>
      <c r="J3" s="228" t="s">
        <v>3032</v>
      </c>
      <c r="K3" s="228" t="s">
        <v>3033</v>
      </c>
      <c r="L3" s="228" t="s">
        <v>3034</v>
      </c>
      <c r="M3" s="228" t="s">
        <v>3035</v>
      </c>
      <c r="N3" s="229" t="s">
        <v>3036</v>
      </c>
    </row>
    <row r="4" spans="1:14" ht="13.5" thickBot="1" x14ac:dyDescent="0.25">
      <c r="A4" s="48" t="s">
        <v>33</v>
      </c>
      <c r="B4" s="224" t="s">
        <v>32</v>
      </c>
      <c r="C4" s="48" t="s">
        <v>34</v>
      </c>
      <c r="D4" s="226">
        <v>1285</v>
      </c>
      <c r="E4" s="225">
        <v>9379</v>
      </c>
      <c r="F4" s="225">
        <v>2204</v>
      </c>
      <c r="G4" s="225">
        <v>2338</v>
      </c>
      <c r="H4" s="225">
        <v>13921</v>
      </c>
      <c r="I4" s="225">
        <v>65494</v>
      </c>
      <c r="J4" s="225">
        <v>5010</v>
      </c>
      <c r="K4" s="225">
        <v>70504</v>
      </c>
      <c r="L4" s="225">
        <v>37773</v>
      </c>
      <c r="M4" s="225">
        <v>122198</v>
      </c>
      <c r="N4" s="227">
        <f t="shared" ref="N4:N67" si="0">M4/D4</f>
        <v>95.095719844357973</v>
      </c>
    </row>
    <row r="5" spans="1:14" ht="13.5" thickBot="1" x14ac:dyDescent="0.25">
      <c r="A5" s="48" t="s">
        <v>58</v>
      </c>
      <c r="B5" s="224" t="s">
        <v>57</v>
      </c>
      <c r="C5" s="48" t="s">
        <v>34</v>
      </c>
      <c r="D5" s="226">
        <v>3248</v>
      </c>
      <c r="E5" s="225">
        <v>6364</v>
      </c>
      <c r="F5" s="225">
        <v>0</v>
      </c>
      <c r="G5" s="225">
        <v>1970</v>
      </c>
      <c r="H5" s="225">
        <v>8334</v>
      </c>
      <c r="I5" s="225">
        <v>2100</v>
      </c>
      <c r="J5" s="225">
        <v>0</v>
      </c>
      <c r="K5" s="225">
        <v>2100</v>
      </c>
      <c r="L5" s="225">
        <v>0</v>
      </c>
      <c r="M5" s="225">
        <v>10434</v>
      </c>
      <c r="N5" s="227">
        <f t="shared" si="0"/>
        <v>3.2124384236453203</v>
      </c>
    </row>
    <row r="6" spans="1:14" ht="13.5" thickBot="1" x14ac:dyDescent="0.25">
      <c r="A6" s="48" t="s">
        <v>80</v>
      </c>
      <c r="B6" s="224" t="s">
        <v>79</v>
      </c>
      <c r="C6" s="48" t="s">
        <v>34</v>
      </c>
      <c r="D6" s="226">
        <v>657</v>
      </c>
      <c r="E6" s="225">
        <v>7125</v>
      </c>
      <c r="F6" s="225">
        <v>2375</v>
      </c>
      <c r="G6" s="225">
        <v>2000</v>
      </c>
      <c r="H6" s="225">
        <v>11500</v>
      </c>
      <c r="I6" s="225">
        <v>68385</v>
      </c>
      <c r="J6" s="225">
        <v>6780</v>
      </c>
      <c r="K6" s="225">
        <v>75165</v>
      </c>
      <c r="L6" s="225">
        <v>55904</v>
      </c>
      <c r="M6" s="225">
        <v>142569</v>
      </c>
      <c r="N6" s="227">
        <f t="shared" si="0"/>
        <v>217</v>
      </c>
    </row>
    <row r="7" spans="1:14" ht="13.5" thickBot="1" x14ac:dyDescent="0.25">
      <c r="A7" s="48" t="s">
        <v>82</v>
      </c>
      <c r="B7" s="224" t="s">
        <v>81</v>
      </c>
      <c r="C7" s="48" t="s">
        <v>34</v>
      </c>
      <c r="D7" s="226">
        <v>3769</v>
      </c>
      <c r="E7" s="225">
        <v>17463</v>
      </c>
      <c r="F7" s="225">
        <v>11931</v>
      </c>
      <c r="G7" s="225">
        <v>2000</v>
      </c>
      <c r="H7" s="225">
        <v>31394</v>
      </c>
      <c r="I7" s="225">
        <v>72636</v>
      </c>
      <c r="J7" s="225">
        <v>5798</v>
      </c>
      <c r="K7" s="225">
        <v>78434</v>
      </c>
      <c r="L7" s="225">
        <v>36888</v>
      </c>
      <c r="M7" s="225">
        <v>146716</v>
      </c>
      <c r="N7" s="227">
        <f t="shared" si="0"/>
        <v>38.927036349164233</v>
      </c>
    </row>
    <row r="8" spans="1:14" ht="13.5" thickBot="1" x14ac:dyDescent="0.25">
      <c r="A8" s="48" t="s">
        <v>86</v>
      </c>
      <c r="B8" s="224" t="s">
        <v>85</v>
      </c>
      <c r="C8" s="48" t="s">
        <v>34</v>
      </c>
      <c r="D8" s="226">
        <v>3150</v>
      </c>
      <c r="E8" s="225">
        <v>1700</v>
      </c>
      <c r="F8" s="225">
        <v>0</v>
      </c>
      <c r="G8" s="225">
        <v>250</v>
      </c>
      <c r="H8" s="225">
        <v>1950</v>
      </c>
      <c r="I8" s="225">
        <v>19561</v>
      </c>
      <c r="J8" s="225">
        <v>3774</v>
      </c>
      <c r="K8" s="225">
        <v>23335</v>
      </c>
      <c r="L8" s="225">
        <v>12127</v>
      </c>
      <c r="M8" s="225">
        <v>37412</v>
      </c>
      <c r="N8" s="227">
        <f t="shared" si="0"/>
        <v>11.876825396825398</v>
      </c>
    </row>
    <row r="9" spans="1:14" ht="13.5" thickBot="1" x14ac:dyDescent="0.25">
      <c r="A9" s="48" t="s">
        <v>90</v>
      </c>
      <c r="B9" s="224" t="s">
        <v>89</v>
      </c>
      <c r="C9" s="48" t="s">
        <v>34</v>
      </c>
      <c r="D9" s="226">
        <v>3811</v>
      </c>
      <c r="E9" s="225">
        <v>21346</v>
      </c>
      <c r="F9" s="225">
        <v>6134</v>
      </c>
      <c r="G9" s="225">
        <v>6524</v>
      </c>
      <c r="H9" s="225">
        <v>34004</v>
      </c>
      <c r="I9" s="225">
        <v>126100</v>
      </c>
      <c r="J9" s="225">
        <v>29060</v>
      </c>
      <c r="K9" s="225">
        <v>155160</v>
      </c>
      <c r="L9" s="225">
        <v>130464</v>
      </c>
      <c r="M9" s="225">
        <v>319628</v>
      </c>
      <c r="N9" s="227">
        <f t="shared" si="0"/>
        <v>83.869850432957236</v>
      </c>
    </row>
    <row r="10" spans="1:14" ht="13.5" thickBot="1" x14ac:dyDescent="0.25">
      <c r="A10" s="48" t="s">
        <v>92</v>
      </c>
      <c r="B10" s="224" t="s">
        <v>91</v>
      </c>
      <c r="C10" s="48" t="s">
        <v>34</v>
      </c>
      <c r="D10" s="226">
        <v>3623</v>
      </c>
      <c r="E10" s="225">
        <v>8440</v>
      </c>
      <c r="F10" s="225">
        <v>2935</v>
      </c>
      <c r="G10" s="225">
        <v>1459</v>
      </c>
      <c r="H10" s="225">
        <v>12834</v>
      </c>
      <c r="I10" s="225">
        <v>55757</v>
      </c>
      <c r="J10" s="225">
        <v>4490</v>
      </c>
      <c r="K10" s="225">
        <v>60247</v>
      </c>
      <c r="L10" s="225">
        <v>49052</v>
      </c>
      <c r="M10" s="225">
        <v>122133</v>
      </c>
      <c r="N10" s="227">
        <f t="shared" si="0"/>
        <v>33.710460943969089</v>
      </c>
    </row>
    <row r="11" spans="1:14" ht="13.5" thickBot="1" x14ac:dyDescent="0.25">
      <c r="A11" s="48" t="s">
        <v>100</v>
      </c>
      <c r="B11" s="224" t="s">
        <v>99</v>
      </c>
      <c r="C11" s="48" t="s">
        <v>34</v>
      </c>
      <c r="D11" s="226">
        <v>2937</v>
      </c>
      <c r="E11" s="225">
        <v>4178</v>
      </c>
      <c r="F11" s="225">
        <v>408</v>
      </c>
      <c r="G11" s="225">
        <v>1345</v>
      </c>
      <c r="H11" s="225">
        <v>5931</v>
      </c>
      <c r="I11" s="225">
        <v>43017</v>
      </c>
      <c r="J11" s="225">
        <v>3291</v>
      </c>
      <c r="K11" s="225">
        <v>46308</v>
      </c>
      <c r="L11" s="225">
        <v>15243</v>
      </c>
      <c r="M11" s="225">
        <v>67482</v>
      </c>
      <c r="N11" s="227">
        <f t="shared" si="0"/>
        <v>22.976506639427988</v>
      </c>
    </row>
    <row r="12" spans="1:14" ht="13.5" thickBot="1" x14ac:dyDescent="0.25">
      <c r="A12" s="48" t="s">
        <v>132</v>
      </c>
      <c r="B12" s="224" t="s">
        <v>131</v>
      </c>
      <c r="C12" s="48" t="s">
        <v>34</v>
      </c>
      <c r="D12" s="226">
        <v>2611</v>
      </c>
      <c r="E12" s="225">
        <v>400</v>
      </c>
      <c r="F12" s="225">
        <v>370</v>
      </c>
      <c r="G12" s="225">
        <v>0</v>
      </c>
      <c r="H12" s="225">
        <v>770</v>
      </c>
      <c r="I12" s="225">
        <v>20300</v>
      </c>
      <c r="J12" s="225">
        <v>1500</v>
      </c>
      <c r="K12" s="225">
        <v>21800</v>
      </c>
      <c r="L12" s="225">
        <v>200</v>
      </c>
      <c r="M12" s="225">
        <v>22770</v>
      </c>
      <c r="N12" s="227">
        <f t="shared" si="0"/>
        <v>8.7207966296438144</v>
      </c>
    </row>
    <row r="13" spans="1:14" ht="13.5" thickBot="1" x14ac:dyDescent="0.25">
      <c r="A13" s="48" t="s">
        <v>146</v>
      </c>
      <c r="B13" s="224" t="s">
        <v>145</v>
      </c>
      <c r="C13" s="48" t="s">
        <v>34</v>
      </c>
      <c r="D13" s="226">
        <v>722</v>
      </c>
      <c r="E13" s="225">
        <v>1622</v>
      </c>
      <c r="F13" s="225">
        <v>436</v>
      </c>
      <c r="G13" s="225">
        <v>250</v>
      </c>
      <c r="H13" s="225">
        <v>2308</v>
      </c>
      <c r="I13" s="225">
        <v>13928</v>
      </c>
      <c r="J13" s="225">
        <v>1065</v>
      </c>
      <c r="K13" s="225">
        <v>14993</v>
      </c>
      <c r="L13" s="225">
        <v>9223</v>
      </c>
      <c r="M13" s="225">
        <v>26524</v>
      </c>
      <c r="N13" s="227">
        <f t="shared" si="0"/>
        <v>36.736842105263158</v>
      </c>
    </row>
    <row r="14" spans="1:14" ht="13.5" thickBot="1" x14ac:dyDescent="0.25">
      <c r="A14" s="48" t="s">
        <v>156</v>
      </c>
      <c r="B14" s="224" t="s">
        <v>155</v>
      </c>
      <c r="C14" s="48" t="s">
        <v>34</v>
      </c>
      <c r="D14" s="226">
        <v>3995</v>
      </c>
      <c r="E14" s="225">
        <v>8026</v>
      </c>
      <c r="F14" s="225">
        <v>0</v>
      </c>
      <c r="G14" s="225">
        <v>3945</v>
      </c>
      <c r="H14" s="225">
        <v>11971</v>
      </c>
      <c r="I14" s="225">
        <v>77277</v>
      </c>
      <c r="J14" s="225">
        <v>5912</v>
      </c>
      <c r="K14" s="225">
        <v>83189</v>
      </c>
      <c r="L14" s="225">
        <v>53920</v>
      </c>
      <c r="M14" s="225">
        <v>149080</v>
      </c>
      <c r="N14" s="227">
        <f t="shared" si="0"/>
        <v>37.316645807259071</v>
      </c>
    </row>
    <row r="15" spans="1:14" ht="13.5" thickBot="1" x14ac:dyDescent="0.25">
      <c r="A15" s="48" t="s">
        <v>164</v>
      </c>
      <c r="B15" s="224" t="s">
        <v>163</v>
      </c>
      <c r="C15" s="48" t="s">
        <v>34</v>
      </c>
      <c r="D15" s="226">
        <v>1854</v>
      </c>
      <c r="E15" s="225">
        <v>319</v>
      </c>
      <c r="F15" s="225">
        <v>2733</v>
      </c>
      <c r="G15" s="225">
        <v>0</v>
      </c>
      <c r="H15" s="225">
        <v>3052</v>
      </c>
      <c r="I15" s="225">
        <v>11911</v>
      </c>
      <c r="J15" s="225">
        <v>4756</v>
      </c>
      <c r="K15" s="225">
        <v>16667</v>
      </c>
      <c r="L15" s="225">
        <v>8449</v>
      </c>
      <c r="M15" s="225">
        <v>28168</v>
      </c>
      <c r="N15" s="227">
        <f t="shared" si="0"/>
        <v>15.19309600862999</v>
      </c>
    </row>
    <row r="16" spans="1:14" ht="13.5" thickBot="1" x14ac:dyDescent="0.25">
      <c r="A16" s="48" t="s">
        <v>176</v>
      </c>
      <c r="B16" s="224" t="s">
        <v>175</v>
      </c>
      <c r="C16" s="48" t="s">
        <v>34</v>
      </c>
      <c r="D16" s="226">
        <v>3604</v>
      </c>
      <c r="E16" s="225">
        <v>11431</v>
      </c>
      <c r="F16" s="225">
        <v>3657</v>
      </c>
      <c r="G16" s="225">
        <v>72</v>
      </c>
      <c r="H16" s="225">
        <v>15160</v>
      </c>
      <c r="I16" s="225">
        <v>93718</v>
      </c>
      <c r="J16" s="225">
        <v>7168</v>
      </c>
      <c r="K16" s="225">
        <v>100886</v>
      </c>
      <c r="L16" s="225">
        <v>41881</v>
      </c>
      <c r="M16" s="225">
        <v>157927</v>
      </c>
      <c r="N16" s="227">
        <f t="shared" si="0"/>
        <v>43.819922308546062</v>
      </c>
    </row>
    <row r="17" spans="1:14" ht="13.5" thickBot="1" x14ac:dyDescent="0.25">
      <c r="A17" s="48" t="s">
        <v>184</v>
      </c>
      <c r="B17" s="224" t="s">
        <v>183</v>
      </c>
      <c r="C17" s="48" t="s">
        <v>34</v>
      </c>
      <c r="D17" s="226">
        <v>3803</v>
      </c>
      <c r="E17" s="225">
        <v>10256</v>
      </c>
      <c r="F17" s="225">
        <v>1799</v>
      </c>
      <c r="G17" s="225">
        <v>2746</v>
      </c>
      <c r="H17" s="225">
        <v>14801</v>
      </c>
      <c r="I17" s="225">
        <v>71121</v>
      </c>
      <c r="J17" s="225">
        <v>0</v>
      </c>
      <c r="K17" s="225">
        <v>71121</v>
      </c>
      <c r="L17" s="225">
        <v>46734</v>
      </c>
      <c r="M17" s="225">
        <v>132656</v>
      </c>
      <c r="N17" s="227">
        <f t="shared" si="0"/>
        <v>34.881935314225615</v>
      </c>
    </row>
    <row r="18" spans="1:14" ht="13.5" thickBot="1" x14ac:dyDescent="0.25">
      <c r="A18" s="48" t="s">
        <v>186</v>
      </c>
      <c r="B18" s="224" t="s">
        <v>185</v>
      </c>
      <c r="C18" s="48" t="s">
        <v>34</v>
      </c>
      <c r="D18" s="226">
        <v>2373</v>
      </c>
      <c r="E18" s="225">
        <v>7371</v>
      </c>
      <c r="F18" s="225">
        <v>2527</v>
      </c>
      <c r="G18" s="225">
        <v>982</v>
      </c>
      <c r="H18" s="225">
        <v>10880</v>
      </c>
      <c r="I18" s="225">
        <v>43255</v>
      </c>
      <c r="J18" s="225">
        <v>3581</v>
      </c>
      <c r="K18" s="225">
        <v>46836</v>
      </c>
      <c r="L18" s="225">
        <v>19715</v>
      </c>
      <c r="M18" s="225">
        <v>77431</v>
      </c>
      <c r="N18" s="227">
        <f t="shared" si="0"/>
        <v>32.630004214075008</v>
      </c>
    </row>
    <row r="19" spans="1:14" ht="13.5" thickBot="1" x14ac:dyDescent="0.25">
      <c r="A19" s="48" t="s">
        <v>202</v>
      </c>
      <c r="B19" s="224" t="s">
        <v>201</v>
      </c>
      <c r="C19" s="48" t="s">
        <v>34</v>
      </c>
      <c r="D19" s="226">
        <v>3953</v>
      </c>
      <c r="E19" s="225">
        <v>12132</v>
      </c>
      <c r="F19" s="225">
        <v>209</v>
      </c>
      <c r="G19" s="225">
        <v>3487</v>
      </c>
      <c r="H19" s="225">
        <v>15828</v>
      </c>
      <c r="I19" s="225">
        <v>67345</v>
      </c>
      <c r="J19" s="225">
        <v>5152</v>
      </c>
      <c r="K19" s="225">
        <v>72497</v>
      </c>
      <c r="L19" s="225">
        <v>41512</v>
      </c>
      <c r="M19" s="225">
        <v>129837</v>
      </c>
      <c r="N19" s="227">
        <f t="shared" si="0"/>
        <v>32.845180875284591</v>
      </c>
    </row>
    <row r="20" spans="1:14" ht="13.5" thickBot="1" x14ac:dyDescent="0.25">
      <c r="A20" s="48" t="s">
        <v>204</v>
      </c>
      <c r="B20" s="224" t="s">
        <v>203</v>
      </c>
      <c r="C20" s="48" t="s">
        <v>34</v>
      </c>
      <c r="D20" s="226">
        <v>3228</v>
      </c>
      <c r="E20" s="225">
        <v>14243</v>
      </c>
      <c r="F20" s="225">
        <v>7081</v>
      </c>
      <c r="G20" s="225">
        <v>729</v>
      </c>
      <c r="H20" s="225">
        <v>22053</v>
      </c>
      <c r="I20" s="225">
        <v>42600</v>
      </c>
      <c r="J20" s="225">
        <v>3600</v>
      </c>
      <c r="K20" s="225">
        <v>46200</v>
      </c>
      <c r="L20" s="225">
        <v>600</v>
      </c>
      <c r="M20" s="225">
        <v>68853</v>
      </c>
      <c r="N20" s="227">
        <f t="shared" si="0"/>
        <v>21.32992565055762</v>
      </c>
    </row>
    <row r="21" spans="1:14" ht="13.5" thickBot="1" x14ac:dyDescent="0.25">
      <c r="A21" s="48" t="s">
        <v>206</v>
      </c>
      <c r="B21" s="224" t="s">
        <v>205</v>
      </c>
      <c r="C21" s="48" t="s">
        <v>34</v>
      </c>
      <c r="D21" s="226">
        <v>3453</v>
      </c>
      <c r="E21" s="225">
        <v>14525</v>
      </c>
      <c r="F21" s="225">
        <v>3627</v>
      </c>
      <c r="G21" s="225">
        <v>11482</v>
      </c>
      <c r="H21" s="225">
        <v>29634</v>
      </c>
      <c r="I21" s="225">
        <v>102701</v>
      </c>
      <c r="J21" s="225">
        <v>7327</v>
      </c>
      <c r="K21" s="225">
        <v>110028</v>
      </c>
      <c r="L21" s="225">
        <v>40786</v>
      </c>
      <c r="M21" s="225">
        <v>180448</v>
      </c>
      <c r="N21" s="227">
        <f t="shared" si="0"/>
        <v>52.258326093252244</v>
      </c>
    </row>
    <row r="22" spans="1:14" ht="13.5" thickBot="1" x14ac:dyDescent="0.25">
      <c r="A22" s="48" t="s">
        <v>208</v>
      </c>
      <c r="B22" s="224" t="s">
        <v>207</v>
      </c>
      <c r="C22" s="48" t="s">
        <v>34</v>
      </c>
      <c r="D22" s="226">
        <v>1236</v>
      </c>
      <c r="E22" s="225">
        <v>2657</v>
      </c>
      <c r="F22" s="225">
        <v>76</v>
      </c>
      <c r="G22" s="225">
        <v>767</v>
      </c>
      <c r="H22" s="225">
        <v>3500</v>
      </c>
      <c r="I22" s="225">
        <v>29572</v>
      </c>
      <c r="J22" s="225">
        <v>800</v>
      </c>
      <c r="K22" s="225">
        <v>30372</v>
      </c>
      <c r="L22" s="225">
        <v>9403</v>
      </c>
      <c r="M22" s="225">
        <v>43275</v>
      </c>
      <c r="N22" s="227">
        <f t="shared" si="0"/>
        <v>35.012135922330096</v>
      </c>
    </row>
    <row r="23" spans="1:14" ht="13.5" thickBot="1" x14ac:dyDescent="0.25">
      <c r="A23" s="48" t="s">
        <v>210</v>
      </c>
      <c r="B23" s="224" t="s">
        <v>209</v>
      </c>
      <c r="C23" s="48" t="s">
        <v>34</v>
      </c>
      <c r="D23" s="226">
        <v>3179</v>
      </c>
      <c r="E23" s="225">
        <v>12469</v>
      </c>
      <c r="F23" s="225">
        <v>4676</v>
      </c>
      <c r="G23" s="225">
        <v>914</v>
      </c>
      <c r="H23" s="225">
        <v>18059</v>
      </c>
      <c r="I23" s="225">
        <v>47961</v>
      </c>
      <c r="J23" s="225">
        <v>0</v>
      </c>
      <c r="K23" s="225">
        <v>47961</v>
      </c>
      <c r="L23" s="225">
        <v>24897</v>
      </c>
      <c r="M23" s="225">
        <v>90917</v>
      </c>
      <c r="N23" s="227">
        <f t="shared" si="0"/>
        <v>28.599245045611827</v>
      </c>
    </row>
    <row r="24" spans="1:14" ht="13.5" thickBot="1" x14ac:dyDescent="0.25">
      <c r="A24" s="48" t="s">
        <v>256</v>
      </c>
      <c r="B24" s="224" t="s">
        <v>255</v>
      </c>
      <c r="C24" s="48" t="s">
        <v>34</v>
      </c>
      <c r="D24" s="226">
        <v>2769</v>
      </c>
      <c r="E24" s="225">
        <v>6879</v>
      </c>
      <c r="F24" s="225">
        <v>0</v>
      </c>
      <c r="G24" s="225">
        <v>63</v>
      </c>
      <c r="H24" s="225">
        <v>6942</v>
      </c>
      <c r="I24" s="225">
        <v>26299</v>
      </c>
      <c r="J24" s="225">
        <v>2071</v>
      </c>
      <c r="K24" s="225">
        <v>28370</v>
      </c>
      <c r="L24" s="225">
        <v>7408</v>
      </c>
      <c r="M24" s="225">
        <v>42720</v>
      </c>
      <c r="N24" s="227">
        <f t="shared" si="0"/>
        <v>15.42795232936078</v>
      </c>
    </row>
    <row r="25" spans="1:14" ht="13.5" thickBot="1" x14ac:dyDescent="0.25">
      <c r="A25" s="48" t="s">
        <v>258</v>
      </c>
      <c r="B25" s="224" t="s">
        <v>257</v>
      </c>
      <c r="C25" s="48" t="s">
        <v>34</v>
      </c>
      <c r="D25" s="226">
        <v>3738</v>
      </c>
      <c r="E25" s="225">
        <v>9037</v>
      </c>
      <c r="F25" s="225">
        <v>1148</v>
      </c>
      <c r="G25" s="225">
        <v>1430</v>
      </c>
      <c r="H25" s="225">
        <v>11615</v>
      </c>
      <c r="I25" s="225">
        <v>45933</v>
      </c>
      <c r="J25" s="225">
        <v>3514</v>
      </c>
      <c r="K25" s="225">
        <v>49447</v>
      </c>
      <c r="L25" s="225">
        <v>16807</v>
      </c>
      <c r="M25" s="225">
        <v>77869</v>
      </c>
      <c r="N25" s="227">
        <f t="shared" si="0"/>
        <v>20.831728196896737</v>
      </c>
    </row>
    <row r="26" spans="1:14" ht="13.5" thickBot="1" x14ac:dyDescent="0.25">
      <c r="A26" s="48" t="s">
        <v>264</v>
      </c>
      <c r="B26" s="224" t="s">
        <v>263</v>
      </c>
      <c r="C26" s="48" t="s">
        <v>34</v>
      </c>
      <c r="D26" s="226">
        <v>3112</v>
      </c>
      <c r="E26" s="225">
        <v>13359</v>
      </c>
      <c r="F26" s="225">
        <v>3063</v>
      </c>
      <c r="G26" s="225">
        <v>0</v>
      </c>
      <c r="H26" s="225">
        <v>16422</v>
      </c>
      <c r="I26" s="225">
        <v>115857</v>
      </c>
      <c r="J26" s="225">
        <v>28708</v>
      </c>
      <c r="K26" s="225">
        <v>144565</v>
      </c>
      <c r="L26" s="225">
        <v>19648</v>
      </c>
      <c r="M26" s="225">
        <v>180635</v>
      </c>
      <c r="N26" s="227">
        <f t="shared" si="0"/>
        <v>58.044665809768638</v>
      </c>
    </row>
    <row r="27" spans="1:14" ht="13.5" thickBot="1" x14ac:dyDescent="0.25">
      <c r="A27" s="48" t="s">
        <v>272</v>
      </c>
      <c r="B27" s="224" t="s">
        <v>271</v>
      </c>
      <c r="C27" s="48" t="s">
        <v>34</v>
      </c>
      <c r="D27" s="226">
        <v>2791</v>
      </c>
      <c r="E27" s="225">
        <v>16094</v>
      </c>
      <c r="F27" s="225">
        <v>2446</v>
      </c>
      <c r="G27" s="225">
        <v>0</v>
      </c>
      <c r="H27" s="225">
        <v>18540</v>
      </c>
      <c r="I27" s="225">
        <v>88835</v>
      </c>
      <c r="J27" s="225">
        <v>6796</v>
      </c>
      <c r="K27" s="225">
        <v>95631</v>
      </c>
      <c r="L27" s="225">
        <v>46780</v>
      </c>
      <c r="M27" s="225">
        <v>160951</v>
      </c>
      <c r="N27" s="227">
        <f t="shared" si="0"/>
        <v>57.667860981726982</v>
      </c>
    </row>
    <row r="28" spans="1:14" ht="13.5" thickBot="1" x14ac:dyDescent="0.25">
      <c r="A28" s="48" t="s">
        <v>286</v>
      </c>
      <c r="B28" s="224" t="s">
        <v>285</v>
      </c>
      <c r="C28" s="48" t="s">
        <v>34</v>
      </c>
      <c r="D28" s="226">
        <v>3150</v>
      </c>
      <c r="E28" s="225">
        <v>10342</v>
      </c>
      <c r="F28" s="225">
        <v>4640</v>
      </c>
      <c r="G28" s="225">
        <v>5349</v>
      </c>
      <c r="H28" s="225">
        <v>20331</v>
      </c>
      <c r="I28" s="225">
        <v>60015</v>
      </c>
      <c r="J28" s="225">
        <v>26754</v>
      </c>
      <c r="K28" s="225">
        <v>86769</v>
      </c>
      <c r="L28" s="225">
        <v>119191</v>
      </c>
      <c r="M28" s="225">
        <v>226291</v>
      </c>
      <c r="N28" s="227">
        <f t="shared" si="0"/>
        <v>71.838412698412696</v>
      </c>
    </row>
    <row r="29" spans="1:14" ht="13.5" thickBot="1" x14ac:dyDescent="0.25">
      <c r="A29" s="48" t="s">
        <v>298</v>
      </c>
      <c r="B29" s="224" t="s">
        <v>297</v>
      </c>
      <c r="C29" s="48" t="s">
        <v>34</v>
      </c>
      <c r="D29" s="226">
        <v>3043</v>
      </c>
      <c r="E29" s="225">
        <v>5477</v>
      </c>
      <c r="F29" s="225">
        <v>1797</v>
      </c>
      <c r="G29" s="225">
        <v>2000</v>
      </c>
      <c r="H29" s="225">
        <v>9274</v>
      </c>
      <c r="I29" s="225">
        <v>42776</v>
      </c>
      <c r="J29" s="225">
        <v>2800</v>
      </c>
      <c r="K29" s="225">
        <v>45576</v>
      </c>
      <c r="L29" s="225">
        <v>43326</v>
      </c>
      <c r="M29" s="225">
        <v>98176</v>
      </c>
      <c r="N29" s="227">
        <f t="shared" si="0"/>
        <v>32.262898455471571</v>
      </c>
    </row>
    <row r="30" spans="1:14" ht="13.5" thickBot="1" x14ac:dyDescent="0.25">
      <c r="A30" s="48" t="s">
        <v>306</v>
      </c>
      <c r="B30" s="224" t="s">
        <v>305</v>
      </c>
      <c r="C30" s="48" t="s">
        <v>34</v>
      </c>
      <c r="D30" s="226">
        <v>2047</v>
      </c>
      <c r="E30" s="225">
        <v>5060</v>
      </c>
      <c r="F30" s="225">
        <v>1134</v>
      </c>
      <c r="G30" s="225">
        <v>712</v>
      </c>
      <c r="H30" s="225">
        <v>6906</v>
      </c>
      <c r="I30" s="225">
        <v>20166</v>
      </c>
      <c r="J30" s="225">
        <v>1565</v>
      </c>
      <c r="K30" s="225">
        <v>21731</v>
      </c>
      <c r="L30" s="225">
        <v>7852</v>
      </c>
      <c r="M30" s="225">
        <v>36489</v>
      </c>
      <c r="N30" s="227">
        <f t="shared" si="0"/>
        <v>17.825598436736687</v>
      </c>
    </row>
    <row r="31" spans="1:14" ht="13.5" thickBot="1" x14ac:dyDescent="0.25">
      <c r="A31" s="48" t="s">
        <v>314</v>
      </c>
      <c r="B31" s="224" t="s">
        <v>313</v>
      </c>
      <c r="C31" s="48" t="s">
        <v>34</v>
      </c>
      <c r="D31" s="226">
        <v>3650</v>
      </c>
      <c r="E31" s="225">
        <v>14330</v>
      </c>
      <c r="F31" s="225">
        <v>6052</v>
      </c>
      <c r="G31" s="225">
        <v>5341</v>
      </c>
      <c r="H31" s="225">
        <v>25723</v>
      </c>
      <c r="I31" s="225">
        <v>105326</v>
      </c>
      <c r="J31" s="225">
        <v>16857</v>
      </c>
      <c r="K31" s="225">
        <v>122183</v>
      </c>
      <c r="L31" s="225">
        <v>73562</v>
      </c>
      <c r="M31" s="225">
        <v>221468</v>
      </c>
      <c r="N31" s="227">
        <f t="shared" si="0"/>
        <v>60.676164383561641</v>
      </c>
    </row>
    <row r="32" spans="1:14" ht="13.5" thickBot="1" x14ac:dyDescent="0.25">
      <c r="A32" s="48" t="s">
        <v>316</v>
      </c>
      <c r="B32" s="224" t="s">
        <v>315</v>
      </c>
      <c r="C32" s="48" t="s">
        <v>34</v>
      </c>
      <c r="D32" s="226">
        <v>1828</v>
      </c>
      <c r="E32" s="225">
        <v>2483</v>
      </c>
      <c r="F32" s="225">
        <v>1600</v>
      </c>
      <c r="G32" s="225">
        <v>0</v>
      </c>
      <c r="H32" s="225">
        <v>4083</v>
      </c>
      <c r="I32" s="225">
        <v>17133</v>
      </c>
      <c r="J32" s="225">
        <v>0</v>
      </c>
      <c r="K32" s="225">
        <v>17133</v>
      </c>
      <c r="L32" s="225">
        <v>22170</v>
      </c>
      <c r="M32" s="225">
        <v>43386</v>
      </c>
      <c r="N32" s="227">
        <f t="shared" si="0"/>
        <v>23.73413566739606</v>
      </c>
    </row>
    <row r="33" spans="1:14" ht="13.5" thickBot="1" x14ac:dyDescent="0.25">
      <c r="A33" s="48" t="s">
        <v>364</v>
      </c>
      <c r="B33" s="224" t="s">
        <v>363</v>
      </c>
      <c r="C33" s="48" t="s">
        <v>34</v>
      </c>
      <c r="D33" s="226">
        <v>3926</v>
      </c>
      <c r="E33" s="225">
        <v>26138</v>
      </c>
      <c r="F33" s="225">
        <v>2904</v>
      </c>
      <c r="G33" s="225">
        <v>0</v>
      </c>
      <c r="H33" s="225">
        <v>29042</v>
      </c>
      <c r="I33" s="225">
        <v>102844</v>
      </c>
      <c r="J33" s="225">
        <v>23440</v>
      </c>
      <c r="K33" s="225">
        <v>126284</v>
      </c>
      <c r="L33" s="225">
        <v>45134</v>
      </c>
      <c r="M33" s="225">
        <v>200460</v>
      </c>
      <c r="N33" s="227">
        <f t="shared" si="0"/>
        <v>51.059602649006621</v>
      </c>
    </row>
    <row r="34" spans="1:14" ht="13.5" thickBot="1" x14ac:dyDescent="0.25">
      <c r="A34" s="48" t="s">
        <v>380</v>
      </c>
      <c r="B34" s="224" t="s">
        <v>379</v>
      </c>
      <c r="C34" s="48" t="s">
        <v>34</v>
      </c>
      <c r="D34" s="226">
        <v>3038</v>
      </c>
      <c r="E34" s="225">
        <v>8701</v>
      </c>
      <c r="F34" s="225">
        <v>0</v>
      </c>
      <c r="G34" s="225">
        <v>1474</v>
      </c>
      <c r="H34" s="225">
        <v>10175</v>
      </c>
      <c r="I34" s="225">
        <v>59332</v>
      </c>
      <c r="J34" s="225">
        <v>0</v>
      </c>
      <c r="K34" s="225">
        <v>59332</v>
      </c>
      <c r="L34" s="225">
        <v>39768</v>
      </c>
      <c r="M34" s="225">
        <v>109275</v>
      </c>
      <c r="N34" s="227">
        <f t="shared" si="0"/>
        <v>35.969387755102041</v>
      </c>
    </row>
    <row r="35" spans="1:14" ht="13.5" thickBot="1" x14ac:dyDescent="0.25">
      <c r="A35" s="48" t="s">
        <v>412</v>
      </c>
      <c r="B35" s="224" t="s">
        <v>411</v>
      </c>
      <c r="C35" s="48" t="s">
        <v>34</v>
      </c>
      <c r="D35" s="226">
        <v>3730</v>
      </c>
      <c r="E35" s="225">
        <v>3488</v>
      </c>
      <c r="F35" s="225">
        <v>454</v>
      </c>
      <c r="G35" s="225">
        <v>5472</v>
      </c>
      <c r="H35" s="225">
        <v>9414</v>
      </c>
      <c r="I35" s="225">
        <v>23875</v>
      </c>
      <c r="J35" s="225">
        <v>8327</v>
      </c>
      <c r="K35" s="225">
        <v>32202</v>
      </c>
      <c r="L35" s="225">
        <v>2343</v>
      </c>
      <c r="M35" s="225">
        <v>43959</v>
      </c>
      <c r="N35" s="227">
        <f t="shared" si="0"/>
        <v>11.785254691689008</v>
      </c>
    </row>
    <row r="36" spans="1:14" ht="13.5" thickBot="1" x14ac:dyDescent="0.25">
      <c r="A36" s="48" t="s">
        <v>419</v>
      </c>
      <c r="B36" s="224" t="s">
        <v>418</v>
      </c>
      <c r="C36" s="48" t="s">
        <v>34</v>
      </c>
      <c r="D36" s="226">
        <v>2735</v>
      </c>
      <c r="E36" s="225">
        <v>1745</v>
      </c>
      <c r="F36" s="225">
        <v>884</v>
      </c>
      <c r="G36" s="225">
        <v>0</v>
      </c>
      <c r="H36" s="225">
        <v>2629</v>
      </c>
      <c r="I36" s="225">
        <v>1255</v>
      </c>
      <c r="J36" s="225">
        <v>0</v>
      </c>
      <c r="K36" s="225">
        <v>1255</v>
      </c>
      <c r="L36" s="225">
        <v>13800</v>
      </c>
      <c r="M36" s="225">
        <v>17684</v>
      </c>
      <c r="N36" s="227">
        <f t="shared" si="0"/>
        <v>6.4658135283363807</v>
      </c>
    </row>
    <row r="37" spans="1:14" ht="13.5" thickBot="1" x14ac:dyDescent="0.25">
      <c r="A37" s="48" t="s">
        <v>421</v>
      </c>
      <c r="B37" s="224" t="s">
        <v>420</v>
      </c>
      <c r="C37" s="48" t="s">
        <v>34</v>
      </c>
      <c r="D37" s="226">
        <v>1900</v>
      </c>
      <c r="E37" s="225">
        <v>19558</v>
      </c>
      <c r="F37" s="225">
        <v>3305</v>
      </c>
      <c r="G37" s="225">
        <v>3487</v>
      </c>
      <c r="H37" s="225">
        <v>26350</v>
      </c>
      <c r="I37" s="225">
        <v>74090</v>
      </c>
      <c r="J37" s="225">
        <v>18633</v>
      </c>
      <c r="K37" s="225">
        <v>92723</v>
      </c>
      <c r="L37" s="225">
        <v>20373</v>
      </c>
      <c r="M37" s="225">
        <v>139446</v>
      </c>
      <c r="N37" s="227">
        <f t="shared" si="0"/>
        <v>73.392631578947373</v>
      </c>
    </row>
    <row r="38" spans="1:14" ht="13.5" thickBot="1" x14ac:dyDescent="0.25">
      <c r="A38" s="48" t="s">
        <v>425</v>
      </c>
      <c r="B38" s="224" t="s">
        <v>424</v>
      </c>
      <c r="C38" s="48" t="s">
        <v>34</v>
      </c>
      <c r="D38" s="226">
        <v>2027</v>
      </c>
      <c r="E38" s="225">
        <v>13493</v>
      </c>
      <c r="F38" s="225">
        <v>3356</v>
      </c>
      <c r="G38" s="225">
        <v>1003</v>
      </c>
      <c r="H38" s="225">
        <v>17852</v>
      </c>
      <c r="I38" s="225">
        <v>61610</v>
      </c>
      <c r="J38" s="225">
        <v>34897</v>
      </c>
      <c r="K38" s="225">
        <v>96507</v>
      </c>
      <c r="L38" s="225">
        <v>20110</v>
      </c>
      <c r="M38" s="225">
        <v>134469</v>
      </c>
      <c r="N38" s="227">
        <f t="shared" si="0"/>
        <v>66.338924518993593</v>
      </c>
    </row>
    <row r="39" spans="1:14" ht="13.5" thickBot="1" x14ac:dyDescent="0.25">
      <c r="A39" s="48" t="s">
        <v>435</v>
      </c>
      <c r="B39" s="224" t="s">
        <v>434</v>
      </c>
      <c r="C39" s="48" t="s">
        <v>34</v>
      </c>
      <c r="D39" s="226">
        <v>2835</v>
      </c>
      <c r="E39" s="225">
        <v>2563</v>
      </c>
      <c r="F39" s="225">
        <v>154</v>
      </c>
      <c r="G39" s="225">
        <v>0</v>
      </c>
      <c r="H39" s="225">
        <v>2717</v>
      </c>
      <c r="I39" s="225">
        <v>11247</v>
      </c>
      <c r="J39" s="225">
        <v>0</v>
      </c>
      <c r="K39" s="225">
        <v>11247</v>
      </c>
      <c r="L39" s="225">
        <v>11035</v>
      </c>
      <c r="M39" s="225">
        <v>24999</v>
      </c>
      <c r="N39" s="227">
        <f t="shared" si="0"/>
        <v>8.817989417989418</v>
      </c>
    </row>
    <row r="40" spans="1:14" ht="13.5" thickBot="1" x14ac:dyDescent="0.25">
      <c r="A40" s="48" t="s">
        <v>441</v>
      </c>
      <c r="B40" s="224" t="s">
        <v>440</v>
      </c>
      <c r="C40" s="48" t="s">
        <v>34</v>
      </c>
      <c r="D40" s="226">
        <v>2372</v>
      </c>
      <c r="E40" s="225">
        <v>1995</v>
      </c>
      <c r="F40" s="225">
        <v>180</v>
      </c>
      <c r="G40" s="225">
        <v>0</v>
      </c>
      <c r="H40" s="225">
        <v>2175</v>
      </c>
      <c r="I40" s="225">
        <v>28933</v>
      </c>
      <c r="J40" s="225">
        <v>2259</v>
      </c>
      <c r="K40" s="225">
        <v>31192</v>
      </c>
      <c r="L40" s="225">
        <v>53220</v>
      </c>
      <c r="M40" s="225">
        <v>86587</v>
      </c>
      <c r="N40" s="227">
        <f t="shared" si="0"/>
        <v>36.503794266441822</v>
      </c>
    </row>
    <row r="41" spans="1:14" ht="13.5" thickBot="1" x14ac:dyDescent="0.25">
      <c r="A41" s="48" t="s">
        <v>454</v>
      </c>
      <c r="B41" s="224" t="s">
        <v>453</v>
      </c>
      <c r="C41" s="48" t="s">
        <v>34</v>
      </c>
      <c r="D41" s="226">
        <v>3667</v>
      </c>
      <c r="E41" s="225">
        <v>4460</v>
      </c>
      <c r="F41" s="225">
        <v>1445</v>
      </c>
      <c r="G41" s="225">
        <v>367</v>
      </c>
      <c r="H41" s="225">
        <v>6272</v>
      </c>
      <c r="I41" s="225">
        <v>68853</v>
      </c>
      <c r="J41" s="225">
        <v>0</v>
      </c>
      <c r="K41" s="225">
        <v>68853</v>
      </c>
      <c r="L41" s="225">
        <v>62171</v>
      </c>
      <c r="M41" s="225">
        <v>137296</v>
      </c>
      <c r="N41" s="227">
        <f t="shared" si="0"/>
        <v>37.440959912735202</v>
      </c>
    </row>
    <row r="42" spans="1:14" ht="13.5" thickBot="1" x14ac:dyDescent="0.25">
      <c r="A42" s="48" t="s">
        <v>460</v>
      </c>
      <c r="B42" s="224" t="s">
        <v>459</v>
      </c>
      <c r="C42" s="48" t="s">
        <v>34</v>
      </c>
      <c r="D42" s="226">
        <v>492</v>
      </c>
      <c r="E42" s="225">
        <v>7510</v>
      </c>
      <c r="F42" s="225">
        <v>2798</v>
      </c>
      <c r="G42" s="225">
        <v>300</v>
      </c>
      <c r="H42" s="225">
        <v>10608</v>
      </c>
      <c r="I42" s="225">
        <v>40698</v>
      </c>
      <c r="J42" s="225">
        <v>3650</v>
      </c>
      <c r="K42" s="225">
        <v>44348</v>
      </c>
      <c r="L42" s="225">
        <v>16441</v>
      </c>
      <c r="M42" s="225">
        <v>71397</v>
      </c>
      <c r="N42" s="227">
        <f t="shared" si="0"/>
        <v>145.11585365853659</v>
      </c>
    </row>
    <row r="43" spans="1:14" ht="13.5" thickBot="1" x14ac:dyDescent="0.25">
      <c r="A43" s="48" t="s">
        <v>476</v>
      </c>
      <c r="B43" s="224" t="s">
        <v>475</v>
      </c>
      <c r="C43" s="48" t="s">
        <v>34</v>
      </c>
      <c r="D43" s="226">
        <v>3115</v>
      </c>
      <c r="E43" s="225">
        <v>3365</v>
      </c>
      <c r="F43" s="225">
        <v>1863</v>
      </c>
      <c r="G43" s="225">
        <v>0</v>
      </c>
      <c r="H43" s="225">
        <v>5228</v>
      </c>
      <c r="I43" s="225">
        <v>18647</v>
      </c>
      <c r="J43" s="225">
        <v>125</v>
      </c>
      <c r="K43" s="225">
        <v>18772</v>
      </c>
      <c r="L43" s="225">
        <v>12110</v>
      </c>
      <c r="M43" s="225">
        <v>36110</v>
      </c>
      <c r="N43" s="227">
        <f t="shared" si="0"/>
        <v>11.592295345104334</v>
      </c>
    </row>
    <row r="44" spans="1:14" ht="13.5" thickBot="1" x14ac:dyDescent="0.25">
      <c r="A44" s="48" t="s">
        <v>498</v>
      </c>
      <c r="B44" s="224" t="s">
        <v>497</v>
      </c>
      <c r="C44" s="48" t="s">
        <v>34</v>
      </c>
      <c r="D44" s="226">
        <v>3433</v>
      </c>
      <c r="E44" s="225">
        <v>4520</v>
      </c>
      <c r="F44" s="225">
        <v>264</v>
      </c>
      <c r="G44" s="225">
        <v>0</v>
      </c>
      <c r="H44" s="225">
        <v>4784</v>
      </c>
      <c r="I44" s="225">
        <v>41459</v>
      </c>
      <c r="J44" s="225">
        <v>5349</v>
      </c>
      <c r="K44" s="225">
        <v>46808</v>
      </c>
      <c r="L44" s="225">
        <v>32431</v>
      </c>
      <c r="M44" s="225">
        <v>84023</v>
      </c>
      <c r="N44" s="227">
        <f t="shared" si="0"/>
        <v>24.475094669385378</v>
      </c>
    </row>
    <row r="45" spans="1:14" ht="13.5" thickBot="1" x14ac:dyDescent="0.25">
      <c r="A45" s="48" t="s">
        <v>518</v>
      </c>
      <c r="B45" s="224" t="s">
        <v>517</v>
      </c>
      <c r="C45" s="48" t="s">
        <v>34</v>
      </c>
      <c r="D45" s="226">
        <v>1848</v>
      </c>
      <c r="E45" s="225">
        <v>6968</v>
      </c>
      <c r="F45" s="225">
        <v>3751</v>
      </c>
      <c r="G45" s="225">
        <v>0</v>
      </c>
      <c r="H45" s="225">
        <v>10719</v>
      </c>
      <c r="I45" s="225">
        <v>32329</v>
      </c>
      <c r="J45" s="225">
        <v>2705</v>
      </c>
      <c r="K45" s="225">
        <v>35034</v>
      </c>
      <c r="L45" s="225">
        <v>26292</v>
      </c>
      <c r="M45" s="225">
        <v>72045</v>
      </c>
      <c r="N45" s="227">
        <f t="shared" si="0"/>
        <v>38.98538961038961</v>
      </c>
    </row>
    <row r="46" spans="1:14" ht="13.5" thickBot="1" x14ac:dyDescent="0.25">
      <c r="A46" s="48" t="s">
        <v>534</v>
      </c>
      <c r="B46" s="224" t="s">
        <v>533</v>
      </c>
      <c r="C46" s="48" t="s">
        <v>34</v>
      </c>
      <c r="D46" s="226">
        <v>3645</v>
      </c>
      <c r="E46" s="225">
        <v>11577</v>
      </c>
      <c r="F46" s="225">
        <v>2513</v>
      </c>
      <c r="G46" s="225">
        <v>2000</v>
      </c>
      <c r="H46" s="225">
        <v>16090</v>
      </c>
      <c r="I46" s="225">
        <v>108270</v>
      </c>
      <c r="J46" s="225">
        <v>8276</v>
      </c>
      <c r="K46" s="225">
        <v>116546</v>
      </c>
      <c r="L46" s="225">
        <v>63251</v>
      </c>
      <c r="M46" s="225">
        <v>195887</v>
      </c>
      <c r="N46" s="227">
        <f t="shared" si="0"/>
        <v>53.741289437585735</v>
      </c>
    </row>
    <row r="47" spans="1:14" ht="13.5" thickBot="1" x14ac:dyDescent="0.25">
      <c r="A47" s="48" t="s">
        <v>548</v>
      </c>
      <c r="B47" s="224" t="s">
        <v>547</v>
      </c>
      <c r="C47" s="48" t="s">
        <v>34</v>
      </c>
      <c r="D47" s="226">
        <v>3679</v>
      </c>
      <c r="E47" s="225">
        <v>4205</v>
      </c>
      <c r="F47" s="225">
        <v>300</v>
      </c>
      <c r="G47" s="225">
        <v>300</v>
      </c>
      <c r="H47" s="225">
        <v>4805</v>
      </c>
      <c r="I47" s="225">
        <v>37823</v>
      </c>
      <c r="J47" s="225">
        <v>3047</v>
      </c>
      <c r="K47" s="225">
        <v>40870</v>
      </c>
      <c r="L47" s="225">
        <v>9263</v>
      </c>
      <c r="M47" s="225">
        <v>54938</v>
      </c>
      <c r="N47" s="227">
        <f t="shared" si="0"/>
        <v>14.93286219081272</v>
      </c>
    </row>
    <row r="48" spans="1:14" ht="13.5" thickBot="1" x14ac:dyDescent="0.25">
      <c r="A48" s="48" t="s">
        <v>552</v>
      </c>
      <c r="B48" s="224" t="s">
        <v>551</v>
      </c>
      <c r="C48" s="48" t="s">
        <v>34</v>
      </c>
      <c r="D48" s="226">
        <v>1830</v>
      </c>
      <c r="E48" s="225">
        <v>1455</v>
      </c>
      <c r="F48" s="225">
        <v>852</v>
      </c>
      <c r="G48" s="225">
        <v>0</v>
      </c>
      <c r="H48" s="225">
        <v>2307</v>
      </c>
      <c r="I48" s="225">
        <v>12814</v>
      </c>
      <c r="J48" s="225">
        <v>12736</v>
      </c>
      <c r="K48" s="225">
        <v>25550</v>
      </c>
      <c r="L48" s="225">
        <v>733</v>
      </c>
      <c r="M48" s="225">
        <v>28590</v>
      </c>
      <c r="N48" s="227">
        <f t="shared" si="0"/>
        <v>15.622950819672131</v>
      </c>
    </row>
    <row r="49" spans="1:14" ht="13.5" thickBot="1" x14ac:dyDescent="0.25">
      <c r="A49" s="48" t="s">
        <v>574</v>
      </c>
      <c r="B49" s="224" t="s">
        <v>573</v>
      </c>
      <c r="C49" s="48" t="s">
        <v>34</v>
      </c>
      <c r="D49" s="226">
        <v>1939</v>
      </c>
      <c r="E49" s="225">
        <v>12991</v>
      </c>
      <c r="F49" s="225">
        <v>8692</v>
      </c>
      <c r="G49" s="225">
        <v>2862</v>
      </c>
      <c r="H49" s="225">
        <v>24545</v>
      </c>
      <c r="I49" s="225">
        <v>97915</v>
      </c>
      <c r="J49" s="225">
        <v>4368</v>
      </c>
      <c r="K49" s="225">
        <v>102283</v>
      </c>
      <c r="L49" s="225">
        <v>9041</v>
      </c>
      <c r="M49" s="225">
        <v>135869</v>
      </c>
      <c r="N49" s="227">
        <f t="shared" si="0"/>
        <v>70.071686436307374</v>
      </c>
    </row>
    <row r="50" spans="1:14" ht="13.5" thickBot="1" x14ac:dyDescent="0.25">
      <c r="A50" s="48" t="s">
        <v>612</v>
      </c>
      <c r="B50" s="224" t="s">
        <v>611</v>
      </c>
      <c r="C50" s="48" t="s">
        <v>34</v>
      </c>
      <c r="D50" s="226">
        <v>3739</v>
      </c>
      <c r="E50" s="225">
        <v>3134</v>
      </c>
      <c r="F50" s="225">
        <v>1982</v>
      </c>
      <c r="G50" s="225">
        <v>2097</v>
      </c>
      <c r="H50" s="225">
        <v>7213</v>
      </c>
      <c r="I50" s="225">
        <v>33988</v>
      </c>
      <c r="J50" s="225">
        <v>2655</v>
      </c>
      <c r="K50" s="225">
        <v>36643</v>
      </c>
      <c r="L50" s="225">
        <v>19843</v>
      </c>
      <c r="M50" s="225">
        <v>63699</v>
      </c>
      <c r="N50" s="227">
        <f t="shared" si="0"/>
        <v>17.036373361861461</v>
      </c>
    </row>
    <row r="51" spans="1:14" ht="13.5" thickBot="1" x14ac:dyDescent="0.25">
      <c r="A51" s="48" t="s">
        <v>622</v>
      </c>
      <c r="B51" s="224" t="s">
        <v>621</v>
      </c>
      <c r="C51" s="48" t="s">
        <v>34</v>
      </c>
      <c r="D51" s="226">
        <v>1508</v>
      </c>
      <c r="E51" s="225">
        <v>3010</v>
      </c>
      <c r="F51" s="225">
        <v>0</v>
      </c>
      <c r="G51" s="225">
        <v>0</v>
      </c>
      <c r="H51" s="225">
        <v>3010</v>
      </c>
      <c r="I51" s="225">
        <v>15175</v>
      </c>
      <c r="J51" s="225">
        <v>6871</v>
      </c>
      <c r="K51" s="225">
        <v>22046</v>
      </c>
      <c r="L51" s="225">
        <v>10317</v>
      </c>
      <c r="M51" s="225">
        <v>35373</v>
      </c>
      <c r="N51" s="227">
        <f t="shared" si="0"/>
        <v>23.456896551724139</v>
      </c>
    </row>
    <row r="52" spans="1:14" ht="13.5" thickBot="1" x14ac:dyDescent="0.25">
      <c r="A52" s="48" t="s">
        <v>624</v>
      </c>
      <c r="B52" s="224" t="s">
        <v>623</v>
      </c>
      <c r="C52" s="48" t="s">
        <v>34</v>
      </c>
      <c r="D52" s="226">
        <v>3731</v>
      </c>
      <c r="E52" s="225">
        <v>3261</v>
      </c>
      <c r="F52" s="225">
        <v>2655</v>
      </c>
      <c r="G52" s="225">
        <v>222</v>
      </c>
      <c r="H52" s="225">
        <v>6138</v>
      </c>
      <c r="I52" s="225">
        <v>32782</v>
      </c>
      <c r="J52" s="225">
        <v>2519</v>
      </c>
      <c r="K52" s="225">
        <v>35301</v>
      </c>
      <c r="L52" s="225">
        <v>13802</v>
      </c>
      <c r="M52" s="225">
        <v>55241</v>
      </c>
      <c r="N52" s="227">
        <f t="shared" si="0"/>
        <v>14.805950147413562</v>
      </c>
    </row>
    <row r="53" spans="1:14" ht="13.5" thickBot="1" x14ac:dyDescent="0.25">
      <c r="A53" s="48" t="s">
        <v>628</v>
      </c>
      <c r="B53" s="224" t="s">
        <v>627</v>
      </c>
      <c r="C53" s="48" t="s">
        <v>34</v>
      </c>
      <c r="D53" s="226">
        <v>3674</v>
      </c>
      <c r="E53" s="225">
        <v>11054</v>
      </c>
      <c r="F53" s="225">
        <v>4783</v>
      </c>
      <c r="G53" s="225">
        <v>0</v>
      </c>
      <c r="H53" s="225">
        <v>15837</v>
      </c>
      <c r="I53" s="225">
        <v>48243</v>
      </c>
      <c r="J53" s="225">
        <v>4050</v>
      </c>
      <c r="K53" s="225">
        <v>52293</v>
      </c>
      <c r="L53" s="225">
        <v>15461</v>
      </c>
      <c r="M53" s="225">
        <v>83591</v>
      </c>
      <c r="N53" s="227">
        <f t="shared" si="0"/>
        <v>22.752041371801852</v>
      </c>
    </row>
    <row r="54" spans="1:14" ht="13.5" thickBot="1" x14ac:dyDescent="0.25">
      <c r="A54" s="48" t="s">
        <v>630</v>
      </c>
      <c r="B54" s="224" t="s">
        <v>629</v>
      </c>
      <c r="C54" s="48" t="s">
        <v>34</v>
      </c>
      <c r="D54" s="226">
        <v>882</v>
      </c>
      <c r="E54" s="225">
        <v>5697</v>
      </c>
      <c r="F54" s="225">
        <v>0</v>
      </c>
      <c r="G54" s="225">
        <v>350</v>
      </c>
      <c r="H54" s="225">
        <v>6047</v>
      </c>
      <c r="I54" s="225">
        <v>18956</v>
      </c>
      <c r="J54" s="225">
        <v>17</v>
      </c>
      <c r="K54" s="225">
        <v>18973</v>
      </c>
      <c r="L54" s="225">
        <v>7639</v>
      </c>
      <c r="M54" s="225">
        <v>32659</v>
      </c>
      <c r="N54" s="227">
        <f t="shared" si="0"/>
        <v>37.028344671201815</v>
      </c>
    </row>
    <row r="55" spans="1:14" ht="13.5" thickBot="1" x14ac:dyDescent="0.25">
      <c r="A55" s="48" t="s">
        <v>674</v>
      </c>
      <c r="B55" s="224" t="s">
        <v>673</v>
      </c>
      <c r="C55" s="48" t="s">
        <v>34</v>
      </c>
      <c r="D55" s="226">
        <v>3775</v>
      </c>
      <c r="E55" s="225">
        <v>8805</v>
      </c>
      <c r="F55" s="225">
        <v>1186</v>
      </c>
      <c r="G55" s="225">
        <v>712</v>
      </c>
      <c r="H55" s="225">
        <v>10703</v>
      </c>
      <c r="I55" s="225">
        <v>132098</v>
      </c>
      <c r="J55" s="225">
        <v>3114</v>
      </c>
      <c r="K55" s="225">
        <v>135212</v>
      </c>
      <c r="L55" s="225">
        <v>52738</v>
      </c>
      <c r="M55" s="225">
        <v>198653</v>
      </c>
      <c r="N55" s="227">
        <f t="shared" si="0"/>
        <v>52.623311258278143</v>
      </c>
    </row>
    <row r="56" spans="1:14" ht="13.5" thickBot="1" x14ac:dyDescent="0.25">
      <c r="A56" s="48" t="s">
        <v>680</v>
      </c>
      <c r="B56" s="224" t="s">
        <v>679</v>
      </c>
      <c r="C56" s="48" t="s">
        <v>34</v>
      </c>
      <c r="D56" s="226">
        <v>3138</v>
      </c>
      <c r="E56" s="225">
        <v>7327</v>
      </c>
      <c r="F56" s="225">
        <v>676</v>
      </c>
      <c r="G56" s="225">
        <v>360</v>
      </c>
      <c r="H56" s="225">
        <v>8363</v>
      </c>
      <c r="I56" s="225">
        <v>40793</v>
      </c>
      <c r="J56" s="225">
        <v>0</v>
      </c>
      <c r="K56" s="225">
        <v>40793</v>
      </c>
      <c r="L56" s="225">
        <v>11233</v>
      </c>
      <c r="M56" s="225">
        <v>60389</v>
      </c>
      <c r="N56" s="227">
        <f t="shared" si="0"/>
        <v>19.244423199490122</v>
      </c>
    </row>
    <row r="57" spans="1:14" ht="13.5" thickBot="1" x14ac:dyDescent="0.25">
      <c r="A57" s="48" t="s">
        <v>690</v>
      </c>
      <c r="B57" s="224" t="s">
        <v>689</v>
      </c>
      <c r="C57" s="48" t="s">
        <v>34</v>
      </c>
      <c r="D57" s="226">
        <v>3428</v>
      </c>
      <c r="E57" s="225">
        <v>5148</v>
      </c>
      <c r="F57" s="225">
        <v>1249</v>
      </c>
      <c r="G57" s="225">
        <v>1364</v>
      </c>
      <c r="H57" s="225">
        <v>7761</v>
      </c>
      <c r="I57" s="225">
        <v>41083</v>
      </c>
      <c r="J57" s="225">
        <v>3155</v>
      </c>
      <c r="K57" s="225">
        <v>44238</v>
      </c>
      <c r="L57" s="225">
        <v>34310</v>
      </c>
      <c r="M57" s="225">
        <v>86309</v>
      </c>
      <c r="N57" s="227">
        <f t="shared" si="0"/>
        <v>25.177654609101516</v>
      </c>
    </row>
    <row r="58" spans="1:14" ht="13.5" thickBot="1" x14ac:dyDescent="0.25">
      <c r="A58" s="48" t="s">
        <v>692</v>
      </c>
      <c r="B58" s="224" t="s">
        <v>691</v>
      </c>
      <c r="C58" s="48" t="s">
        <v>34</v>
      </c>
      <c r="D58" s="226">
        <v>1932</v>
      </c>
      <c r="E58" s="225">
        <v>3700</v>
      </c>
      <c r="F58" s="225">
        <v>700</v>
      </c>
      <c r="G58" s="225">
        <v>400</v>
      </c>
      <c r="H58" s="225">
        <v>4800</v>
      </c>
      <c r="I58" s="225">
        <v>22000</v>
      </c>
      <c r="J58" s="225">
        <v>4500</v>
      </c>
      <c r="K58" s="225">
        <v>26500</v>
      </c>
      <c r="L58" s="225">
        <v>20946</v>
      </c>
      <c r="M58" s="225">
        <v>52246</v>
      </c>
      <c r="N58" s="227">
        <f t="shared" si="0"/>
        <v>27.042443064182194</v>
      </c>
    </row>
    <row r="59" spans="1:14" ht="13.5" thickBot="1" x14ac:dyDescent="0.25">
      <c r="A59" s="48" t="s">
        <v>714</v>
      </c>
      <c r="B59" s="224" t="s">
        <v>713</v>
      </c>
      <c r="C59" s="48" t="s">
        <v>34</v>
      </c>
      <c r="D59" s="226">
        <v>2387</v>
      </c>
      <c r="E59" s="225">
        <v>5464</v>
      </c>
      <c r="F59" s="225">
        <v>4961</v>
      </c>
      <c r="G59" s="225">
        <v>0</v>
      </c>
      <c r="H59" s="225">
        <v>10425</v>
      </c>
      <c r="I59" s="225">
        <v>40746</v>
      </c>
      <c r="J59" s="225">
        <v>3117</v>
      </c>
      <c r="K59" s="225">
        <v>43863</v>
      </c>
      <c r="L59" s="225">
        <v>20442</v>
      </c>
      <c r="M59" s="225">
        <v>74730</v>
      </c>
      <c r="N59" s="227">
        <f t="shared" si="0"/>
        <v>31.307080016757435</v>
      </c>
    </row>
    <row r="60" spans="1:14" ht="13.5" thickBot="1" x14ac:dyDescent="0.25">
      <c r="A60" s="48" t="s">
        <v>732</v>
      </c>
      <c r="B60" s="224" t="s">
        <v>731</v>
      </c>
      <c r="C60" s="48" t="s">
        <v>34</v>
      </c>
      <c r="D60" s="226">
        <v>1873</v>
      </c>
      <c r="E60" s="225">
        <v>5639</v>
      </c>
      <c r="F60" s="225">
        <v>669</v>
      </c>
      <c r="G60" s="225">
        <v>408</v>
      </c>
      <c r="H60" s="225">
        <v>6716</v>
      </c>
      <c r="I60" s="225">
        <v>19772</v>
      </c>
      <c r="J60" s="225">
        <v>1513</v>
      </c>
      <c r="K60" s="225">
        <v>21285</v>
      </c>
      <c r="L60" s="225">
        <v>12694</v>
      </c>
      <c r="M60" s="225">
        <v>40695</v>
      </c>
      <c r="N60" s="227">
        <f t="shared" si="0"/>
        <v>21.727175654030965</v>
      </c>
    </row>
    <row r="61" spans="1:14" ht="13.5" thickBot="1" x14ac:dyDescent="0.25">
      <c r="A61" s="48" t="s">
        <v>750</v>
      </c>
      <c r="B61" s="224" t="s">
        <v>749</v>
      </c>
      <c r="C61" s="48" t="s">
        <v>34</v>
      </c>
      <c r="D61" s="226">
        <v>2294</v>
      </c>
      <c r="E61" s="225">
        <v>3978</v>
      </c>
      <c r="F61" s="225">
        <v>100</v>
      </c>
      <c r="G61" s="225">
        <v>640</v>
      </c>
      <c r="H61" s="225">
        <v>4718</v>
      </c>
      <c r="I61" s="225">
        <v>23178</v>
      </c>
      <c r="J61" s="225">
        <v>1769</v>
      </c>
      <c r="K61" s="225">
        <v>24947</v>
      </c>
      <c r="L61" s="225">
        <v>13304</v>
      </c>
      <c r="M61" s="225">
        <v>42969</v>
      </c>
      <c r="N61" s="227">
        <f t="shared" si="0"/>
        <v>18.731037489102004</v>
      </c>
    </row>
    <row r="62" spans="1:14" ht="13.5" thickBot="1" x14ac:dyDescent="0.25">
      <c r="A62" s="48" t="s">
        <v>762</v>
      </c>
      <c r="B62" s="224" t="s">
        <v>761</v>
      </c>
      <c r="C62" s="48" t="s">
        <v>34</v>
      </c>
      <c r="D62" s="226">
        <v>3895</v>
      </c>
      <c r="E62" s="225">
        <v>8021</v>
      </c>
      <c r="F62" s="225">
        <v>3350</v>
      </c>
      <c r="G62" s="225">
        <v>325</v>
      </c>
      <c r="H62" s="225">
        <v>11696</v>
      </c>
      <c r="I62" s="225">
        <v>47800</v>
      </c>
      <c r="J62" s="225">
        <v>3600</v>
      </c>
      <c r="K62" s="225">
        <v>51400</v>
      </c>
      <c r="L62" s="225">
        <v>20071</v>
      </c>
      <c r="M62" s="225">
        <v>83167</v>
      </c>
      <c r="N62" s="227">
        <f t="shared" si="0"/>
        <v>21.352246469833119</v>
      </c>
    </row>
    <row r="63" spans="1:14" ht="13.5" thickBot="1" x14ac:dyDescent="0.25">
      <c r="A63" s="48" t="s">
        <v>768</v>
      </c>
      <c r="B63" s="224" t="s">
        <v>767</v>
      </c>
      <c r="C63" s="48" t="s">
        <v>34</v>
      </c>
      <c r="D63" s="226">
        <v>2156</v>
      </c>
      <c r="E63" s="225">
        <v>6458</v>
      </c>
      <c r="F63" s="225">
        <v>834</v>
      </c>
      <c r="G63" s="225">
        <v>1519</v>
      </c>
      <c r="H63" s="225">
        <v>8811</v>
      </c>
      <c r="I63" s="225">
        <v>28719</v>
      </c>
      <c r="J63" s="225">
        <v>26775</v>
      </c>
      <c r="K63" s="225">
        <v>55494</v>
      </c>
      <c r="L63" s="225">
        <v>14532</v>
      </c>
      <c r="M63" s="225">
        <v>78837</v>
      </c>
      <c r="N63" s="227">
        <f t="shared" si="0"/>
        <v>36.566326530612244</v>
      </c>
    </row>
    <row r="64" spans="1:14" ht="13.5" thickBot="1" x14ac:dyDescent="0.25">
      <c r="A64" s="48" t="s">
        <v>770</v>
      </c>
      <c r="B64" s="224" t="s">
        <v>769</v>
      </c>
      <c r="C64" s="48" t="s">
        <v>34</v>
      </c>
      <c r="D64" s="226">
        <v>2475</v>
      </c>
      <c r="E64" s="225">
        <v>2807</v>
      </c>
      <c r="F64" s="225">
        <v>0</v>
      </c>
      <c r="G64" s="225">
        <v>192</v>
      </c>
      <c r="H64" s="225">
        <v>2999</v>
      </c>
      <c r="I64" s="225">
        <v>36517</v>
      </c>
      <c r="J64" s="225">
        <v>2794</v>
      </c>
      <c r="K64" s="225">
        <v>39311</v>
      </c>
      <c r="L64" s="225">
        <v>22571</v>
      </c>
      <c r="M64" s="225">
        <v>64881</v>
      </c>
      <c r="N64" s="227">
        <f t="shared" si="0"/>
        <v>26.214545454545455</v>
      </c>
    </row>
    <row r="65" spans="1:14" ht="13.5" thickBot="1" x14ac:dyDescent="0.25">
      <c r="A65" s="48" t="s">
        <v>772</v>
      </c>
      <c r="B65" s="224" t="s">
        <v>771</v>
      </c>
      <c r="C65" s="48" t="s">
        <v>34</v>
      </c>
      <c r="D65" s="226">
        <v>1968</v>
      </c>
      <c r="E65" s="225">
        <v>700</v>
      </c>
      <c r="F65" s="225">
        <v>0</v>
      </c>
      <c r="G65" s="225">
        <v>0</v>
      </c>
      <c r="H65" s="225">
        <v>700</v>
      </c>
      <c r="I65" s="225">
        <v>9280</v>
      </c>
      <c r="J65" s="225">
        <v>7961</v>
      </c>
      <c r="K65" s="225">
        <v>17241</v>
      </c>
      <c r="L65" s="225">
        <v>6270</v>
      </c>
      <c r="M65" s="225">
        <v>24211</v>
      </c>
      <c r="N65" s="227">
        <f t="shared" si="0"/>
        <v>12.302337398373984</v>
      </c>
    </row>
    <row r="66" spans="1:14" ht="13.5" thickBot="1" x14ac:dyDescent="0.25">
      <c r="A66" s="48" t="s">
        <v>782</v>
      </c>
      <c r="B66" s="224" t="s">
        <v>781</v>
      </c>
      <c r="C66" s="48" t="s">
        <v>34</v>
      </c>
      <c r="D66" s="226">
        <v>2202</v>
      </c>
      <c r="E66" s="225">
        <v>2200</v>
      </c>
      <c r="F66" s="225">
        <v>0</v>
      </c>
      <c r="G66" s="225">
        <v>0</v>
      </c>
      <c r="H66" s="225">
        <v>2200</v>
      </c>
      <c r="I66" s="225">
        <v>13250</v>
      </c>
      <c r="J66" s="225">
        <v>0</v>
      </c>
      <c r="K66" s="225">
        <v>13250</v>
      </c>
      <c r="L66" s="225">
        <v>1527</v>
      </c>
      <c r="M66" s="225">
        <v>16977</v>
      </c>
      <c r="N66" s="227">
        <f t="shared" si="0"/>
        <v>7.7098092643051768</v>
      </c>
    </row>
    <row r="67" spans="1:14" ht="13.5" thickBot="1" x14ac:dyDescent="0.25">
      <c r="A67" s="48" t="s">
        <v>794</v>
      </c>
      <c r="B67" s="224" t="s">
        <v>793</v>
      </c>
      <c r="C67" s="48" t="s">
        <v>34</v>
      </c>
      <c r="D67" s="226">
        <v>2913</v>
      </c>
      <c r="E67" s="225">
        <v>10166</v>
      </c>
      <c r="F67" s="225">
        <v>0</v>
      </c>
      <c r="G67" s="225">
        <v>0</v>
      </c>
      <c r="H67" s="225">
        <v>10166</v>
      </c>
      <c r="I67" s="225">
        <v>47556</v>
      </c>
      <c r="J67" s="225">
        <v>5582</v>
      </c>
      <c r="K67" s="225">
        <v>53138</v>
      </c>
      <c r="L67" s="225">
        <v>14704</v>
      </c>
      <c r="M67" s="225">
        <v>78008</v>
      </c>
      <c r="N67" s="227">
        <f t="shared" si="0"/>
        <v>26.779265362169586</v>
      </c>
    </row>
    <row r="68" spans="1:14" ht="13.5" thickBot="1" x14ac:dyDescent="0.25">
      <c r="A68" s="48" t="s">
        <v>806</v>
      </c>
      <c r="B68" s="224" t="s">
        <v>805</v>
      </c>
      <c r="C68" s="48" t="s">
        <v>34</v>
      </c>
      <c r="D68" s="226">
        <v>575</v>
      </c>
      <c r="E68" s="225">
        <v>4353</v>
      </c>
      <c r="F68" s="225">
        <v>2662</v>
      </c>
      <c r="G68" s="225">
        <v>260</v>
      </c>
      <c r="H68" s="225">
        <v>7275</v>
      </c>
      <c r="I68" s="225">
        <v>18284</v>
      </c>
      <c r="J68" s="225">
        <v>0</v>
      </c>
      <c r="K68" s="225">
        <v>18284</v>
      </c>
      <c r="L68" s="225">
        <v>9811</v>
      </c>
      <c r="M68" s="225">
        <v>35370</v>
      </c>
      <c r="N68" s="227">
        <f t="shared" ref="N68:N131" si="1">M68/D68</f>
        <v>61.513043478260869</v>
      </c>
    </row>
    <row r="69" spans="1:14" ht="13.5" thickBot="1" x14ac:dyDescent="0.25">
      <c r="A69" s="48" t="s">
        <v>814</v>
      </c>
      <c r="B69" s="224" t="s">
        <v>813</v>
      </c>
      <c r="C69" s="48" t="s">
        <v>34</v>
      </c>
      <c r="D69" s="226">
        <v>2738</v>
      </c>
      <c r="E69" s="225">
        <v>13326</v>
      </c>
      <c r="F69" s="225">
        <v>2948</v>
      </c>
      <c r="G69" s="225">
        <v>848</v>
      </c>
      <c r="H69" s="225">
        <v>17122</v>
      </c>
      <c r="I69" s="225">
        <v>39169</v>
      </c>
      <c r="J69" s="225">
        <v>7972</v>
      </c>
      <c r="K69" s="225">
        <v>47141</v>
      </c>
      <c r="L69" s="225">
        <v>16850</v>
      </c>
      <c r="M69" s="225">
        <v>81113</v>
      </c>
      <c r="N69" s="227">
        <f t="shared" si="1"/>
        <v>29.624908692476261</v>
      </c>
    </row>
    <row r="70" spans="1:14" ht="13.5" thickBot="1" x14ac:dyDescent="0.25">
      <c r="A70" s="48" t="s">
        <v>14</v>
      </c>
      <c r="B70" s="224" t="s">
        <v>13</v>
      </c>
      <c r="C70" s="48" t="s">
        <v>17</v>
      </c>
      <c r="D70" s="226">
        <v>6351</v>
      </c>
      <c r="E70" s="225">
        <v>12329</v>
      </c>
      <c r="F70" s="225">
        <v>4718</v>
      </c>
      <c r="G70" s="225">
        <v>4053</v>
      </c>
      <c r="H70" s="225">
        <v>21100</v>
      </c>
      <c r="I70" s="225">
        <v>109094</v>
      </c>
      <c r="J70" s="225">
        <v>8344</v>
      </c>
      <c r="K70" s="225">
        <v>117438</v>
      </c>
      <c r="L70" s="225">
        <v>102413</v>
      </c>
      <c r="M70" s="225">
        <v>240951</v>
      </c>
      <c r="N70" s="227">
        <f t="shared" si="1"/>
        <v>37.939064714218233</v>
      </c>
    </row>
    <row r="71" spans="1:14" ht="13.5" thickBot="1" x14ac:dyDescent="0.25">
      <c r="A71" s="48" t="s">
        <v>45</v>
      </c>
      <c r="B71" s="224" t="s">
        <v>44</v>
      </c>
      <c r="C71" s="48" t="s">
        <v>17</v>
      </c>
      <c r="D71" s="226">
        <v>6583</v>
      </c>
      <c r="E71" s="225">
        <v>24089</v>
      </c>
      <c r="F71" s="225">
        <v>6543</v>
      </c>
      <c r="G71" s="225">
        <v>1500</v>
      </c>
      <c r="H71" s="225">
        <v>32132</v>
      </c>
      <c r="I71" s="225">
        <v>173358</v>
      </c>
      <c r="J71" s="225">
        <v>61943</v>
      </c>
      <c r="K71" s="225">
        <v>235301</v>
      </c>
      <c r="L71" s="225">
        <v>74733</v>
      </c>
      <c r="M71" s="225">
        <v>342166</v>
      </c>
      <c r="N71" s="227">
        <f t="shared" si="1"/>
        <v>51.977214036153732</v>
      </c>
    </row>
    <row r="72" spans="1:14" ht="13.5" thickBot="1" x14ac:dyDescent="0.25">
      <c r="A72" s="48" t="s">
        <v>56</v>
      </c>
      <c r="B72" s="224" t="s">
        <v>55</v>
      </c>
      <c r="C72" s="48" t="s">
        <v>17</v>
      </c>
      <c r="D72" s="226">
        <v>5379</v>
      </c>
      <c r="E72" s="225">
        <v>23034</v>
      </c>
      <c r="F72" s="225">
        <v>3053</v>
      </c>
      <c r="G72" s="225">
        <v>4255</v>
      </c>
      <c r="H72" s="225">
        <v>30342</v>
      </c>
      <c r="I72" s="225">
        <v>136866</v>
      </c>
      <c r="J72" s="225">
        <v>10470</v>
      </c>
      <c r="K72" s="225">
        <v>147336</v>
      </c>
      <c r="L72" s="225">
        <v>91775</v>
      </c>
      <c r="M72" s="225">
        <v>269453</v>
      </c>
      <c r="N72" s="227">
        <f t="shared" si="1"/>
        <v>50.093511805168248</v>
      </c>
    </row>
    <row r="73" spans="1:14" ht="13.5" thickBot="1" x14ac:dyDescent="0.25">
      <c r="A73" s="48" t="s">
        <v>60</v>
      </c>
      <c r="B73" s="224" t="s">
        <v>59</v>
      </c>
      <c r="C73" s="48" t="s">
        <v>17</v>
      </c>
      <c r="D73" s="226">
        <v>4265</v>
      </c>
      <c r="E73" s="225">
        <v>2420</v>
      </c>
      <c r="F73" s="225">
        <v>394</v>
      </c>
      <c r="G73" s="225">
        <v>340</v>
      </c>
      <c r="H73" s="225">
        <v>3154</v>
      </c>
      <c r="I73" s="225">
        <v>30039</v>
      </c>
      <c r="J73" s="225">
        <v>4657</v>
      </c>
      <c r="K73" s="225">
        <v>34696</v>
      </c>
      <c r="L73" s="225">
        <v>11024</v>
      </c>
      <c r="M73" s="225">
        <v>48874</v>
      </c>
      <c r="N73" s="227">
        <f t="shared" si="1"/>
        <v>11.459320046893318</v>
      </c>
    </row>
    <row r="74" spans="1:14" ht="13.5" thickBot="1" x14ac:dyDescent="0.25">
      <c r="A74" s="48" t="s">
        <v>70</v>
      </c>
      <c r="B74" s="224" t="s">
        <v>69</v>
      </c>
      <c r="C74" s="48" t="s">
        <v>17</v>
      </c>
      <c r="D74" s="226">
        <v>6621</v>
      </c>
      <c r="E74" s="225">
        <v>14142</v>
      </c>
      <c r="F74" s="225">
        <v>1538</v>
      </c>
      <c r="G74" s="225">
        <v>7592</v>
      </c>
      <c r="H74" s="225">
        <v>23272</v>
      </c>
      <c r="I74" s="225">
        <v>135336</v>
      </c>
      <c r="J74" s="225">
        <v>15298</v>
      </c>
      <c r="K74" s="225">
        <v>150634</v>
      </c>
      <c r="L74" s="225">
        <v>46362</v>
      </c>
      <c r="M74" s="225">
        <v>220268</v>
      </c>
      <c r="N74" s="227">
        <f t="shared" si="1"/>
        <v>33.268086391783719</v>
      </c>
    </row>
    <row r="75" spans="1:14" ht="13.5" thickBot="1" x14ac:dyDescent="0.25">
      <c r="A75" s="48" t="s">
        <v>74</v>
      </c>
      <c r="B75" s="224" t="s">
        <v>73</v>
      </c>
      <c r="C75" s="48" t="s">
        <v>17</v>
      </c>
      <c r="D75" s="226">
        <v>4075</v>
      </c>
      <c r="E75" s="225">
        <v>11099</v>
      </c>
      <c r="F75" s="225">
        <v>2140</v>
      </c>
      <c r="G75" s="225">
        <v>1013</v>
      </c>
      <c r="H75" s="225">
        <v>14252</v>
      </c>
      <c r="I75" s="225">
        <v>100390</v>
      </c>
      <c r="J75" s="225">
        <v>7580</v>
      </c>
      <c r="K75" s="225">
        <v>107970</v>
      </c>
      <c r="L75" s="225">
        <v>27510</v>
      </c>
      <c r="M75" s="225">
        <v>149732</v>
      </c>
      <c r="N75" s="227">
        <f t="shared" si="1"/>
        <v>36.744049079754603</v>
      </c>
    </row>
    <row r="76" spans="1:14" ht="13.5" thickBot="1" x14ac:dyDescent="0.25">
      <c r="A76" s="48" t="s">
        <v>98</v>
      </c>
      <c r="B76" s="224" t="s">
        <v>97</v>
      </c>
      <c r="C76" s="48" t="s">
        <v>17</v>
      </c>
      <c r="D76" s="226">
        <v>5414</v>
      </c>
      <c r="E76" s="225">
        <v>14300</v>
      </c>
      <c r="F76" s="225">
        <v>665</v>
      </c>
      <c r="G76" s="225">
        <v>350</v>
      </c>
      <c r="H76" s="225">
        <v>15315</v>
      </c>
      <c r="I76" s="225">
        <v>50443</v>
      </c>
      <c r="J76" s="225">
        <v>20127</v>
      </c>
      <c r="K76" s="225">
        <v>70570</v>
      </c>
      <c r="L76" s="225">
        <v>13745</v>
      </c>
      <c r="M76" s="225">
        <v>99630</v>
      </c>
      <c r="N76" s="227">
        <f t="shared" si="1"/>
        <v>18.402290358330255</v>
      </c>
    </row>
    <row r="77" spans="1:14" ht="13.5" thickBot="1" x14ac:dyDescent="0.25">
      <c r="A77" s="48" t="s">
        <v>120</v>
      </c>
      <c r="B77" s="224" t="s">
        <v>119</v>
      </c>
      <c r="C77" s="48" t="s">
        <v>17</v>
      </c>
      <c r="D77" s="226">
        <v>6296</v>
      </c>
      <c r="E77" s="225">
        <v>13810</v>
      </c>
      <c r="F77" s="225">
        <v>4127</v>
      </c>
      <c r="G77" s="225">
        <v>6127</v>
      </c>
      <c r="H77" s="225">
        <v>24064</v>
      </c>
      <c r="I77" s="225">
        <v>225400</v>
      </c>
      <c r="J77" s="225">
        <v>1029</v>
      </c>
      <c r="K77" s="225">
        <v>226429</v>
      </c>
      <c r="L77" s="225">
        <v>150470</v>
      </c>
      <c r="M77" s="225">
        <v>400963</v>
      </c>
      <c r="N77" s="227">
        <f t="shared" si="1"/>
        <v>63.685355781448536</v>
      </c>
    </row>
    <row r="78" spans="1:14" ht="13.5" thickBot="1" x14ac:dyDescent="0.25">
      <c r="A78" s="48" t="s">
        <v>126</v>
      </c>
      <c r="B78" s="224" t="s">
        <v>125</v>
      </c>
      <c r="C78" s="48" t="s">
        <v>17</v>
      </c>
      <c r="D78" s="226">
        <v>4005</v>
      </c>
      <c r="E78" s="225">
        <v>2739</v>
      </c>
      <c r="F78" s="225">
        <v>147</v>
      </c>
      <c r="G78" s="225">
        <v>0</v>
      </c>
      <c r="H78" s="225">
        <v>2886</v>
      </c>
      <c r="I78" s="225">
        <v>31967</v>
      </c>
      <c r="J78" s="225">
        <v>1076</v>
      </c>
      <c r="K78" s="225">
        <v>33043</v>
      </c>
      <c r="L78" s="225">
        <v>24762</v>
      </c>
      <c r="M78" s="225">
        <v>60691</v>
      </c>
      <c r="N78" s="227">
        <f t="shared" si="1"/>
        <v>15.153807740324595</v>
      </c>
    </row>
    <row r="79" spans="1:14" ht="13.5" thickBot="1" x14ac:dyDescent="0.25">
      <c r="A79" s="48" t="s">
        <v>138</v>
      </c>
      <c r="B79" s="224" t="s">
        <v>137</v>
      </c>
      <c r="C79" s="48" t="s">
        <v>17</v>
      </c>
      <c r="D79" s="226">
        <v>4191</v>
      </c>
      <c r="E79" s="225">
        <v>1300</v>
      </c>
      <c r="F79" s="225">
        <v>1000</v>
      </c>
      <c r="G79" s="225">
        <v>1102</v>
      </c>
      <c r="H79" s="225">
        <v>3402</v>
      </c>
      <c r="I79" s="225">
        <v>32737</v>
      </c>
      <c r="J79" s="225">
        <v>0</v>
      </c>
      <c r="K79" s="225">
        <v>32737</v>
      </c>
      <c r="L79" s="225">
        <v>13721</v>
      </c>
      <c r="M79" s="225">
        <v>49860</v>
      </c>
      <c r="N79" s="227">
        <f t="shared" si="1"/>
        <v>11.896921975662133</v>
      </c>
    </row>
    <row r="80" spans="1:14" ht="13.5" thickBot="1" x14ac:dyDescent="0.25">
      <c r="A80" s="48" t="s">
        <v>180</v>
      </c>
      <c r="B80" s="224" t="s">
        <v>179</v>
      </c>
      <c r="C80" s="48" t="s">
        <v>17</v>
      </c>
      <c r="D80" s="226">
        <v>4622</v>
      </c>
      <c r="E80" s="225">
        <v>7318</v>
      </c>
      <c r="F80" s="225">
        <v>1955</v>
      </c>
      <c r="G80" s="225">
        <v>2392</v>
      </c>
      <c r="H80" s="225">
        <v>11665</v>
      </c>
      <c r="I80" s="225">
        <v>99312</v>
      </c>
      <c r="J80" s="225">
        <v>2611</v>
      </c>
      <c r="K80" s="225">
        <v>101923</v>
      </c>
      <c r="L80" s="225">
        <v>40244</v>
      </c>
      <c r="M80" s="225">
        <v>153832</v>
      </c>
      <c r="N80" s="227">
        <f t="shared" si="1"/>
        <v>33.282561661618345</v>
      </c>
    </row>
    <row r="81" spans="1:14" ht="13.5" thickBot="1" x14ac:dyDescent="0.25">
      <c r="A81" s="48" t="s">
        <v>194</v>
      </c>
      <c r="B81" s="224" t="s">
        <v>193</v>
      </c>
      <c r="C81" s="48" t="s">
        <v>17</v>
      </c>
      <c r="D81" s="226">
        <v>4986</v>
      </c>
      <c r="E81" s="225">
        <v>15711</v>
      </c>
      <c r="F81" s="225">
        <v>1985</v>
      </c>
      <c r="G81" s="225">
        <v>960</v>
      </c>
      <c r="H81" s="225">
        <v>18656</v>
      </c>
      <c r="I81" s="225">
        <v>98807</v>
      </c>
      <c r="J81" s="225">
        <v>0</v>
      </c>
      <c r="K81" s="225">
        <v>98807</v>
      </c>
      <c r="L81" s="225">
        <v>45894</v>
      </c>
      <c r="M81" s="225">
        <v>163357</v>
      </c>
      <c r="N81" s="227">
        <f t="shared" si="1"/>
        <v>32.763136782992376</v>
      </c>
    </row>
    <row r="82" spans="1:14" ht="13.5" thickBot="1" x14ac:dyDescent="0.25">
      <c r="A82" s="48" t="s">
        <v>216</v>
      </c>
      <c r="B82" s="224" t="s">
        <v>215</v>
      </c>
      <c r="C82" s="48" t="s">
        <v>17</v>
      </c>
      <c r="D82" s="226">
        <v>4514</v>
      </c>
      <c r="E82" s="225">
        <v>11949</v>
      </c>
      <c r="F82" s="225">
        <v>564</v>
      </c>
      <c r="G82" s="225">
        <v>2423</v>
      </c>
      <c r="H82" s="225">
        <v>14936</v>
      </c>
      <c r="I82" s="225">
        <v>44293</v>
      </c>
      <c r="J82" s="225">
        <v>0</v>
      </c>
      <c r="K82" s="225">
        <v>44293</v>
      </c>
      <c r="L82" s="225">
        <v>19698.37</v>
      </c>
      <c r="M82" s="225">
        <v>78927.37</v>
      </c>
      <c r="N82" s="227">
        <f t="shared" si="1"/>
        <v>17.485017722640674</v>
      </c>
    </row>
    <row r="83" spans="1:14" ht="13.5" thickBot="1" x14ac:dyDescent="0.25">
      <c r="A83" s="48" t="s">
        <v>230</v>
      </c>
      <c r="B83" s="224" t="s">
        <v>229</v>
      </c>
      <c r="C83" s="48" t="s">
        <v>17</v>
      </c>
      <c r="D83" s="226">
        <v>6838</v>
      </c>
      <c r="E83" s="225">
        <v>18515</v>
      </c>
      <c r="F83" s="225">
        <v>1123</v>
      </c>
      <c r="G83" s="225">
        <v>446</v>
      </c>
      <c r="H83" s="225">
        <v>20084</v>
      </c>
      <c r="I83" s="225">
        <v>81683</v>
      </c>
      <c r="J83" s="225">
        <v>5385</v>
      </c>
      <c r="K83" s="225">
        <v>87068</v>
      </c>
      <c r="L83" s="225">
        <v>37467</v>
      </c>
      <c r="M83" s="225">
        <v>144619</v>
      </c>
      <c r="N83" s="227">
        <f t="shared" si="1"/>
        <v>21.149312664521791</v>
      </c>
    </row>
    <row r="84" spans="1:14" ht="13.5" thickBot="1" x14ac:dyDescent="0.25">
      <c r="A84" s="48" t="s">
        <v>236</v>
      </c>
      <c r="B84" s="224" t="s">
        <v>235</v>
      </c>
      <c r="C84" s="48" t="s">
        <v>17</v>
      </c>
      <c r="D84" s="226">
        <v>4869</v>
      </c>
      <c r="E84" s="225">
        <v>4323</v>
      </c>
      <c r="F84" s="225">
        <v>1000</v>
      </c>
      <c r="G84" s="225">
        <v>0</v>
      </c>
      <c r="H84" s="225">
        <v>5323</v>
      </c>
      <c r="I84" s="225">
        <v>39668</v>
      </c>
      <c r="J84" s="225">
        <v>0</v>
      </c>
      <c r="K84" s="225">
        <v>39668</v>
      </c>
      <c r="L84" s="225">
        <v>19941</v>
      </c>
      <c r="M84" s="225">
        <v>64932</v>
      </c>
      <c r="N84" s="227">
        <f t="shared" si="1"/>
        <v>13.335797905113987</v>
      </c>
    </row>
    <row r="85" spans="1:14" ht="13.5" thickBot="1" x14ac:dyDescent="0.25">
      <c r="A85" s="48" t="s">
        <v>238</v>
      </c>
      <c r="B85" s="224" t="s">
        <v>237</v>
      </c>
      <c r="C85" s="48" t="s">
        <v>17</v>
      </c>
      <c r="D85" s="226">
        <v>4768</v>
      </c>
      <c r="E85" s="225">
        <v>15559</v>
      </c>
      <c r="F85" s="225">
        <v>4203</v>
      </c>
      <c r="G85" s="225">
        <v>2200</v>
      </c>
      <c r="H85" s="225">
        <v>21962</v>
      </c>
      <c r="I85" s="225">
        <v>56718</v>
      </c>
      <c r="J85" s="225">
        <v>3517</v>
      </c>
      <c r="K85" s="225">
        <v>60235</v>
      </c>
      <c r="L85" s="225">
        <v>38711</v>
      </c>
      <c r="M85" s="225">
        <v>120908</v>
      </c>
      <c r="N85" s="227">
        <f t="shared" si="1"/>
        <v>25.358221476510067</v>
      </c>
    </row>
    <row r="86" spans="1:14" ht="13.5" thickBot="1" x14ac:dyDescent="0.25">
      <c r="A86" s="48" t="s">
        <v>252</v>
      </c>
      <c r="B86" s="224" t="s">
        <v>251</v>
      </c>
      <c r="C86" s="48" t="s">
        <v>17</v>
      </c>
      <c r="D86" s="226">
        <v>5432</v>
      </c>
      <c r="E86" s="225">
        <v>18759</v>
      </c>
      <c r="F86" s="225">
        <v>1638</v>
      </c>
      <c r="G86" s="225">
        <v>3472</v>
      </c>
      <c r="H86" s="225">
        <v>23869</v>
      </c>
      <c r="I86" s="225">
        <v>181062</v>
      </c>
      <c r="J86" s="225">
        <v>20661</v>
      </c>
      <c r="K86" s="225">
        <v>201723</v>
      </c>
      <c r="L86" s="225">
        <v>64608</v>
      </c>
      <c r="M86" s="225">
        <v>290200</v>
      </c>
      <c r="N86" s="227">
        <f t="shared" si="1"/>
        <v>53.424153166421206</v>
      </c>
    </row>
    <row r="87" spans="1:14" ht="13.5" thickBot="1" x14ac:dyDescent="0.25">
      <c r="A87" s="48" t="s">
        <v>280</v>
      </c>
      <c r="B87" s="224" t="s">
        <v>279</v>
      </c>
      <c r="C87" s="48" t="s">
        <v>17</v>
      </c>
      <c r="D87" s="226">
        <v>6164</v>
      </c>
      <c r="E87" s="225">
        <v>14856</v>
      </c>
      <c r="F87" s="225">
        <v>1572</v>
      </c>
      <c r="G87" s="225">
        <v>750</v>
      </c>
      <c r="H87" s="225">
        <v>17178</v>
      </c>
      <c r="I87" s="225">
        <v>95610</v>
      </c>
      <c r="J87" s="225">
        <v>20526</v>
      </c>
      <c r="K87" s="225">
        <v>116136</v>
      </c>
      <c r="L87" s="225">
        <v>59021</v>
      </c>
      <c r="M87" s="225">
        <v>192335</v>
      </c>
      <c r="N87" s="227">
        <f t="shared" si="1"/>
        <v>31.20295262816353</v>
      </c>
    </row>
    <row r="88" spans="1:14" ht="13.5" thickBot="1" x14ac:dyDescent="0.25">
      <c r="A88" s="48" t="s">
        <v>290</v>
      </c>
      <c r="B88" s="224" t="s">
        <v>289</v>
      </c>
      <c r="C88" s="48" t="s">
        <v>17</v>
      </c>
      <c r="D88" s="226">
        <v>5641</v>
      </c>
      <c r="E88" s="225">
        <v>5608</v>
      </c>
      <c r="F88" s="225">
        <v>1747</v>
      </c>
      <c r="G88" s="225">
        <v>2835</v>
      </c>
      <c r="H88" s="225">
        <v>10190</v>
      </c>
      <c r="I88" s="225">
        <v>56875</v>
      </c>
      <c r="J88" s="225">
        <v>4345</v>
      </c>
      <c r="K88" s="225">
        <v>61220</v>
      </c>
      <c r="L88" s="225">
        <v>31711</v>
      </c>
      <c r="M88" s="225">
        <v>103121</v>
      </c>
      <c r="N88" s="227">
        <f t="shared" si="1"/>
        <v>18.280624002836376</v>
      </c>
    </row>
    <row r="89" spans="1:14" ht="13.5" thickBot="1" x14ac:dyDescent="0.25">
      <c r="A89" s="48" t="s">
        <v>334</v>
      </c>
      <c r="B89" s="224" t="s">
        <v>333</v>
      </c>
      <c r="C89" s="48" t="s">
        <v>17</v>
      </c>
      <c r="D89" s="226">
        <v>6119</v>
      </c>
      <c r="E89" s="225">
        <v>12809</v>
      </c>
      <c r="F89" s="225">
        <v>4767</v>
      </c>
      <c r="G89" s="225">
        <v>7469</v>
      </c>
      <c r="H89" s="225">
        <v>25045</v>
      </c>
      <c r="I89" s="225">
        <v>196537</v>
      </c>
      <c r="J89" s="225">
        <v>58461</v>
      </c>
      <c r="K89" s="225">
        <v>254998</v>
      </c>
      <c r="L89" s="225">
        <v>157731</v>
      </c>
      <c r="M89" s="225">
        <v>437774</v>
      </c>
      <c r="N89" s="227">
        <f t="shared" si="1"/>
        <v>71.543389442719402</v>
      </c>
    </row>
    <row r="90" spans="1:14" ht="13.5" thickBot="1" x14ac:dyDescent="0.25">
      <c r="A90" s="48" t="s">
        <v>344</v>
      </c>
      <c r="B90" s="224" t="s">
        <v>343</v>
      </c>
      <c r="C90" s="48" t="s">
        <v>17</v>
      </c>
      <c r="D90" s="226">
        <v>6582</v>
      </c>
      <c r="E90" s="225">
        <v>17112</v>
      </c>
      <c r="F90" s="225">
        <v>2927</v>
      </c>
      <c r="G90" s="225">
        <v>4350</v>
      </c>
      <c r="H90" s="225">
        <v>24389</v>
      </c>
      <c r="I90" s="225">
        <v>115088</v>
      </c>
      <c r="J90" s="225">
        <v>8781</v>
      </c>
      <c r="K90" s="225">
        <v>123869</v>
      </c>
      <c r="L90" s="225">
        <v>96783</v>
      </c>
      <c r="M90" s="225">
        <v>245041</v>
      </c>
      <c r="N90" s="227">
        <f t="shared" si="1"/>
        <v>37.228957763597691</v>
      </c>
    </row>
    <row r="91" spans="1:14" ht="13.5" thickBot="1" x14ac:dyDescent="0.25">
      <c r="A91" s="48" t="s">
        <v>354</v>
      </c>
      <c r="B91" s="224" t="s">
        <v>353</v>
      </c>
      <c r="C91" s="48" t="s">
        <v>17</v>
      </c>
      <c r="D91" s="226">
        <v>5933</v>
      </c>
      <c r="E91" s="225">
        <v>17555</v>
      </c>
      <c r="F91" s="225">
        <v>1498</v>
      </c>
      <c r="G91" s="225">
        <v>3182</v>
      </c>
      <c r="H91" s="225">
        <v>22235</v>
      </c>
      <c r="I91" s="225">
        <v>119110</v>
      </c>
      <c r="J91" s="225">
        <v>950</v>
      </c>
      <c r="K91" s="225">
        <v>120060</v>
      </c>
      <c r="L91" s="225">
        <v>99021</v>
      </c>
      <c r="M91" s="225">
        <v>241316</v>
      </c>
      <c r="N91" s="227">
        <f t="shared" si="1"/>
        <v>40.673520984324959</v>
      </c>
    </row>
    <row r="92" spans="1:14" ht="13.5" thickBot="1" x14ac:dyDescent="0.25">
      <c r="A92" s="48" t="s">
        <v>362</v>
      </c>
      <c r="B92" s="224" t="s">
        <v>361</v>
      </c>
      <c r="C92" s="48" t="s">
        <v>17</v>
      </c>
      <c r="D92" s="226">
        <v>4220</v>
      </c>
      <c r="E92" s="225">
        <v>6158</v>
      </c>
      <c r="F92" s="225">
        <v>1527</v>
      </c>
      <c r="G92" s="225">
        <v>4947</v>
      </c>
      <c r="H92" s="225">
        <v>12632</v>
      </c>
      <c r="I92" s="225">
        <v>51839</v>
      </c>
      <c r="J92" s="225">
        <v>6119</v>
      </c>
      <c r="K92" s="225">
        <v>57958</v>
      </c>
      <c r="L92" s="225">
        <v>25887</v>
      </c>
      <c r="M92" s="225">
        <v>96477</v>
      </c>
      <c r="N92" s="227">
        <f t="shared" si="1"/>
        <v>22.861848341232228</v>
      </c>
    </row>
    <row r="93" spans="1:14" ht="13.5" thickBot="1" x14ac:dyDescent="0.25">
      <c r="A93" s="48" t="s">
        <v>366</v>
      </c>
      <c r="B93" s="224" t="s">
        <v>365</v>
      </c>
      <c r="C93" s="48" t="s">
        <v>17</v>
      </c>
      <c r="D93" s="226">
        <v>4610</v>
      </c>
      <c r="E93" s="225">
        <v>3422</v>
      </c>
      <c r="F93" s="225">
        <v>1548</v>
      </c>
      <c r="G93" s="225">
        <v>2458</v>
      </c>
      <c r="H93" s="225">
        <v>7428</v>
      </c>
      <c r="I93" s="225">
        <v>54494</v>
      </c>
      <c r="J93" s="225">
        <v>0</v>
      </c>
      <c r="K93" s="225">
        <v>54494</v>
      </c>
      <c r="L93" s="225">
        <v>44455</v>
      </c>
      <c r="M93" s="225">
        <v>106377</v>
      </c>
      <c r="N93" s="227">
        <f t="shared" si="1"/>
        <v>23.07527114967462</v>
      </c>
    </row>
    <row r="94" spans="1:14" ht="13.5" thickBot="1" x14ac:dyDescent="0.25">
      <c r="A94" s="48" t="s">
        <v>372</v>
      </c>
      <c r="B94" s="224" t="s">
        <v>371</v>
      </c>
      <c r="C94" s="48" t="s">
        <v>17</v>
      </c>
      <c r="D94" s="226">
        <v>5531</v>
      </c>
      <c r="E94" s="225">
        <v>4553</v>
      </c>
      <c r="F94" s="225">
        <v>165</v>
      </c>
      <c r="G94" s="225">
        <v>664</v>
      </c>
      <c r="H94" s="225">
        <v>5382</v>
      </c>
      <c r="I94" s="225">
        <v>50332</v>
      </c>
      <c r="J94" s="225">
        <v>14173</v>
      </c>
      <c r="K94" s="225">
        <v>64505</v>
      </c>
      <c r="L94" s="225">
        <v>31434</v>
      </c>
      <c r="M94" s="225">
        <v>101321</v>
      </c>
      <c r="N94" s="227">
        <f t="shared" si="1"/>
        <v>18.318748870005425</v>
      </c>
    </row>
    <row r="95" spans="1:14" ht="13.5" thickBot="1" x14ac:dyDescent="0.25">
      <c r="A95" s="48" t="s">
        <v>376</v>
      </c>
      <c r="B95" s="224" t="s">
        <v>375</v>
      </c>
      <c r="C95" s="48" t="s">
        <v>17</v>
      </c>
      <c r="D95" s="226">
        <v>5107</v>
      </c>
      <c r="E95" s="225">
        <v>11437</v>
      </c>
      <c r="F95" s="225">
        <v>500</v>
      </c>
      <c r="G95" s="225">
        <v>2429</v>
      </c>
      <c r="H95" s="225">
        <v>14366</v>
      </c>
      <c r="I95" s="225">
        <v>56158</v>
      </c>
      <c r="J95" s="225">
        <v>7800</v>
      </c>
      <c r="K95" s="225">
        <v>63958</v>
      </c>
      <c r="L95" s="225">
        <v>37913</v>
      </c>
      <c r="M95" s="225">
        <v>116237</v>
      </c>
      <c r="N95" s="227">
        <f t="shared" si="1"/>
        <v>22.760328960250636</v>
      </c>
    </row>
    <row r="96" spans="1:14" ht="13.5" thickBot="1" x14ac:dyDescent="0.25">
      <c r="A96" s="48" t="s">
        <v>382</v>
      </c>
      <c r="B96" s="224" t="s">
        <v>381</v>
      </c>
      <c r="C96" s="48" t="s">
        <v>17</v>
      </c>
      <c r="D96" s="226">
        <v>5784</v>
      </c>
      <c r="E96" s="225">
        <v>9543</v>
      </c>
      <c r="F96" s="225">
        <v>4725</v>
      </c>
      <c r="G96" s="225">
        <v>0</v>
      </c>
      <c r="H96" s="225">
        <v>14268</v>
      </c>
      <c r="I96" s="225">
        <v>143772</v>
      </c>
      <c r="J96" s="225">
        <v>0</v>
      </c>
      <c r="K96" s="225">
        <v>143772</v>
      </c>
      <c r="L96" s="225">
        <v>61819</v>
      </c>
      <c r="M96" s="225">
        <v>219859</v>
      </c>
      <c r="N96" s="227">
        <f t="shared" si="1"/>
        <v>38.0115836791148</v>
      </c>
    </row>
    <row r="97" spans="1:14" ht="13.5" thickBot="1" x14ac:dyDescent="0.25">
      <c r="A97" s="48" t="s">
        <v>388</v>
      </c>
      <c r="B97" s="224" t="s">
        <v>387</v>
      </c>
      <c r="C97" s="48" t="s">
        <v>17</v>
      </c>
      <c r="D97" s="226">
        <v>5713</v>
      </c>
      <c r="E97" s="225">
        <v>13128</v>
      </c>
      <c r="F97" s="225">
        <v>1987</v>
      </c>
      <c r="G97" s="225">
        <v>1150</v>
      </c>
      <c r="H97" s="225">
        <v>16265</v>
      </c>
      <c r="I97" s="225">
        <v>51087</v>
      </c>
      <c r="J97" s="225">
        <v>26140</v>
      </c>
      <c r="K97" s="225">
        <v>77227</v>
      </c>
      <c r="L97" s="225">
        <v>42622</v>
      </c>
      <c r="M97" s="225">
        <v>136114</v>
      </c>
      <c r="N97" s="227">
        <f t="shared" si="1"/>
        <v>23.825310694906353</v>
      </c>
    </row>
    <row r="98" spans="1:14" ht="13.5" thickBot="1" x14ac:dyDescent="0.25">
      <c r="A98" s="48" t="s">
        <v>392</v>
      </c>
      <c r="B98" s="224" t="s">
        <v>391</v>
      </c>
      <c r="C98" s="48" t="s">
        <v>17</v>
      </c>
      <c r="D98" s="226">
        <v>6443</v>
      </c>
      <c r="E98" s="225">
        <v>6250</v>
      </c>
      <c r="F98" s="225">
        <v>2958</v>
      </c>
      <c r="G98" s="225">
        <v>0</v>
      </c>
      <c r="H98" s="225">
        <v>9208</v>
      </c>
      <c r="I98" s="225">
        <v>44108</v>
      </c>
      <c r="J98" s="225">
        <v>4124</v>
      </c>
      <c r="K98" s="225">
        <v>48232</v>
      </c>
      <c r="L98" s="225">
        <v>14611</v>
      </c>
      <c r="M98" s="225">
        <v>72051</v>
      </c>
      <c r="N98" s="227">
        <f t="shared" si="1"/>
        <v>11.182834083501474</v>
      </c>
    </row>
    <row r="99" spans="1:14" ht="13.5" thickBot="1" x14ac:dyDescent="0.25">
      <c r="A99" s="48" t="s">
        <v>396</v>
      </c>
      <c r="B99" s="224" t="s">
        <v>395</v>
      </c>
      <c r="C99" s="48" t="s">
        <v>17</v>
      </c>
      <c r="D99" s="226">
        <v>4080</v>
      </c>
      <c r="E99" s="225">
        <v>1924</v>
      </c>
      <c r="F99" s="225">
        <v>541</v>
      </c>
      <c r="G99" s="225">
        <v>1795</v>
      </c>
      <c r="H99" s="225">
        <v>4260</v>
      </c>
      <c r="I99" s="225">
        <v>25357</v>
      </c>
      <c r="J99" s="225">
        <v>11706</v>
      </c>
      <c r="K99" s="225">
        <v>37063</v>
      </c>
      <c r="L99" s="225">
        <v>6513</v>
      </c>
      <c r="M99" s="225">
        <v>47836</v>
      </c>
      <c r="N99" s="227">
        <f t="shared" si="1"/>
        <v>11.724509803921569</v>
      </c>
    </row>
    <row r="100" spans="1:14" ht="13.5" thickBot="1" x14ac:dyDescent="0.25">
      <c r="A100" s="48" t="s">
        <v>398</v>
      </c>
      <c r="B100" s="224" t="s">
        <v>397</v>
      </c>
      <c r="C100" s="48" t="s">
        <v>17</v>
      </c>
      <c r="D100" s="226">
        <v>5210</v>
      </c>
      <c r="E100" s="225">
        <v>11688</v>
      </c>
      <c r="F100" s="225">
        <v>3895</v>
      </c>
      <c r="G100" s="225">
        <v>3675</v>
      </c>
      <c r="H100" s="225">
        <v>19258</v>
      </c>
      <c r="I100" s="225">
        <v>82750</v>
      </c>
      <c r="J100" s="225">
        <v>7219</v>
      </c>
      <c r="K100" s="225">
        <v>89969</v>
      </c>
      <c r="L100" s="225">
        <v>51595</v>
      </c>
      <c r="M100" s="225">
        <v>160822</v>
      </c>
      <c r="N100" s="227">
        <f t="shared" si="1"/>
        <v>30.867946257197698</v>
      </c>
    </row>
    <row r="101" spans="1:14" ht="13.5" thickBot="1" x14ac:dyDescent="0.25">
      <c r="A101" s="48" t="s">
        <v>400</v>
      </c>
      <c r="B101" s="224" t="s">
        <v>399</v>
      </c>
      <c r="C101" s="48" t="s">
        <v>17</v>
      </c>
      <c r="D101" s="226">
        <v>6997</v>
      </c>
      <c r="E101" s="225">
        <v>28308</v>
      </c>
      <c r="F101" s="225">
        <v>3177</v>
      </c>
      <c r="G101" s="225">
        <v>4054</v>
      </c>
      <c r="H101" s="225">
        <v>35539</v>
      </c>
      <c r="I101" s="225">
        <v>137657</v>
      </c>
      <c r="J101" s="225">
        <v>26593</v>
      </c>
      <c r="K101" s="225">
        <v>164250</v>
      </c>
      <c r="L101" s="225">
        <v>91868</v>
      </c>
      <c r="M101" s="225">
        <v>291657</v>
      </c>
      <c r="N101" s="227">
        <f t="shared" si="1"/>
        <v>41.683149921394886</v>
      </c>
    </row>
    <row r="102" spans="1:14" ht="13.5" thickBot="1" x14ac:dyDescent="0.25">
      <c r="A102" s="48" t="s">
        <v>414</v>
      </c>
      <c r="B102" s="224" t="s">
        <v>413</v>
      </c>
      <c r="C102" s="48" t="s">
        <v>17</v>
      </c>
      <c r="D102" s="226">
        <v>4168</v>
      </c>
      <c r="E102" s="225">
        <v>11612</v>
      </c>
      <c r="F102" s="225">
        <v>9323</v>
      </c>
      <c r="G102" s="225">
        <v>5073</v>
      </c>
      <c r="H102" s="225">
        <v>26008</v>
      </c>
      <c r="I102" s="225">
        <v>117294</v>
      </c>
      <c r="J102" s="225">
        <v>11948</v>
      </c>
      <c r="K102" s="225">
        <v>129242</v>
      </c>
      <c r="L102" s="225">
        <v>110238</v>
      </c>
      <c r="M102" s="225">
        <v>265488</v>
      </c>
      <c r="N102" s="227">
        <f t="shared" si="1"/>
        <v>63.69673704414587</v>
      </c>
    </row>
    <row r="103" spans="1:14" ht="13.5" thickBot="1" x14ac:dyDescent="0.25">
      <c r="A103" s="48" t="s">
        <v>427</v>
      </c>
      <c r="B103" s="224" t="s">
        <v>426</v>
      </c>
      <c r="C103" s="48" t="s">
        <v>17</v>
      </c>
      <c r="D103" s="226">
        <v>4934</v>
      </c>
      <c r="E103" s="225">
        <v>24680</v>
      </c>
      <c r="F103" s="225">
        <v>14223</v>
      </c>
      <c r="G103" s="225">
        <v>1314</v>
      </c>
      <c r="H103" s="225">
        <v>40217</v>
      </c>
      <c r="I103" s="225">
        <v>114992</v>
      </c>
      <c r="J103" s="225">
        <v>7762</v>
      </c>
      <c r="K103" s="225">
        <v>122754</v>
      </c>
      <c r="L103" s="225">
        <v>59136</v>
      </c>
      <c r="M103" s="225">
        <v>222107</v>
      </c>
      <c r="N103" s="227">
        <f t="shared" si="1"/>
        <v>45.015605999189297</v>
      </c>
    </row>
    <row r="104" spans="1:14" ht="13.5" thickBot="1" x14ac:dyDescent="0.25">
      <c r="A104" s="48" t="s">
        <v>429</v>
      </c>
      <c r="B104" s="224" t="s">
        <v>428</v>
      </c>
      <c r="C104" s="48" t="s">
        <v>17</v>
      </c>
      <c r="D104" s="226">
        <v>5857</v>
      </c>
      <c r="E104" s="225">
        <v>14599</v>
      </c>
      <c r="F104" s="225">
        <v>9019</v>
      </c>
      <c r="G104" s="225">
        <v>2843</v>
      </c>
      <c r="H104" s="225">
        <v>26461</v>
      </c>
      <c r="I104" s="225">
        <v>96971</v>
      </c>
      <c r="J104" s="225">
        <v>22880</v>
      </c>
      <c r="K104" s="225">
        <v>119851</v>
      </c>
      <c r="L104" s="225">
        <v>43191</v>
      </c>
      <c r="M104" s="225">
        <v>189503</v>
      </c>
      <c r="N104" s="227">
        <f t="shared" si="1"/>
        <v>32.354959877070172</v>
      </c>
    </row>
    <row r="105" spans="1:14" ht="13.5" thickBot="1" x14ac:dyDescent="0.25">
      <c r="A105" s="48" t="s">
        <v>450</v>
      </c>
      <c r="B105" s="224" t="s">
        <v>449</v>
      </c>
      <c r="C105" s="48" t="s">
        <v>17</v>
      </c>
      <c r="D105" s="226">
        <v>4141</v>
      </c>
      <c r="E105" s="225">
        <v>3331</v>
      </c>
      <c r="F105" s="225">
        <v>605</v>
      </c>
      <c r="G105" s="225">
        <v>896</v>
      </c>
      <c r="H105" s="225">
        <v>4832</v>
      </c>
      <c r="I105" s="225">
        <v>27875</v>
      </c>
      <c r="J105" s="225">
        <v>2571</v>
      </c>
      <c r="K105" s="225">
        <v>30446</v>
      </c>
      <c r="L105" s="225">
        <v>26724</v>
      </c>
      <c r="M105" s="225">
        <v>62002</v>
      </c>
      <c r="N105" s="227">
        <f t="shared" si="1"/>
        <v>14.972711905336876</v>
      </c>
    </row>
    <row r="106" spans="1:14" ht="13.5" thickBot="1" x14ac:dyDescent="0.25">
      <c r="A106" s="48" t="s">
        <v>456</v>
      </c>
      <c r="B106" s="224" t="s">
        <v>455</v>
      </c>
      <c r="C106" s="48" t="s">
        <v>17</v>
      </c>
      <c r="D106" s="226">
        <v>4197</v>
      </c>
      <c r="E106" s="225">
        <v>4450</v>
      </c>
      <c r="F106" s="225">
        <v>0</v>
      </c>
      <c r="G106" s="225">
        <v>226</v>
      </c>
      <c r="H106" s="225">
        <v>4676</v>
      </c>
      <c r="I106" s="225">
        <v>35838</v>
      </c>
      <c r="J106" s="225">
        <v>6592</v>
      </c>
      <c r="K106" s="225">
        <v>42430</v>
      </c>
      <c r="L106" s="225">
        <v>19246</v>
      </c>
      <c r="M106" s="225">
        <v>66352</v>
      </c>
      <c r="N106" s="227">
        <f t="shared" si="1"/>
        <v>15.809387657850845</v>
      </c>
    </row>
    <row r="107" spans="1:14" ht="13.5" thickBot="1" x14ac:dyDescent="0.25">
      <c r="A107" s="48" t="s">
        <v>462</v>
      </c>
      <c r="B107" s="224" t="s">
        <v>461</v>
      </c>
      <c r="C107" s="48" t="s">
        <v>17</v>
      </c>
      <c r="D107" s="226">
        <v>5068</v>
      </c>
      <c r="E107" s="225">
        <v>24405</v>
      </c>
      <c r="F107" s="225">
        <v>2461</v>
      </c>
      <c r="G107" s="225">
        <v>2550</v>
      </c>
      <c r="H107" s="225">
        <v>29416</v>
      </c>
      <c r="I107" s="225">
        <v>109331</v>
      </c>
      <c r="J107" s="225">
        <v>4205</v>
      </c>
      <c r="K107" s="225">
        <v>113536</v>
      </c>
      <c r="L107" s="225">
        <v>36368</v>
      </c>
      <c r="M107" s="225">
        <v>179320</v>
      </c>
      <c r="N107" s="227">
        <f t="shared" si="1"/>
        <v>35.382794001578532</v>
      </c>
    </row>
    <row r="108" spans="1:14" ht="13.5" thickBot="1" x14ac:dyDescent="0.25">
      <c r="A108" s="48" t="s">
        <v>466</v>
      </c>
      <c r="B108" s="224" t="s">
        <v>465</v>
      </c>
      <c r="C108" s="48" t="s">
        <v>17</v>
      </c>
      <c r="D108" s="226">
        <v>4968</v>
      </c>
      <c r="E108" s="225">
        <v>5282</v>
      </c>
      <c r="F108" s="225">
        <v>337</v>
      </c>
      <c r="G108" s="225">
        <v>288</v>
      </c>
      <c r="H108" s="225">
        <v>5907</v>
      </c>
      <c r="I108" s="225">
        <v>34109</v>
      </c>
      <c r="J108" s="225">
        <v>2609</v>
      </c>
      <c r="K108" s="225">
        <v>36718</v>
      </c>
      <c r="L108" s="225">
        <v>36602</v>
      </c>
      <c r="M108" s="225">
        <v>79227</v>
      </c>
      <c r="N108" s="227">
        <f t="shared" si="1"/>
        <v>15.947463768115941</v>
      </c>
    </row>
    <row r="109" spans="1:14" ht="13.5" thickBot="1" x14ac:dyDescent="0.25">
      <c r="A109" s="48" t="s">
        <v>478</v>
      </c>
      <c r="B109" s="224" t="s">
        <v>477</v>
      </c>
      <c r="C109" s="48" t="s">
        <v>17</v>
      </c>
      <c r="D109" s="226">
        <v>4101</v>
      </c>
      <c r="E109" s="225">
        <v>8035</v>
      </c>
      <c r="F109" s="225">
        <v>3630</v>
      </c>
      <c r="G109" s="225">
        <v>2000</v>
      </c>
      <c r="H109" s="225">
        <v>13665</v>
      </c>
      <c r="I109" s="225">
        <v>99370</v>
      </c>
      <c r="J109" s="225">
        <v>12768</v>
      </c>
      <c r="K109" s="225">
        <v>112138</v>
      </c>
      <c r="L109" s="225">
        <v>24221</v>
      </c>
      <c r="M109" s="225">
        <v>150024</v>
      </c>
      <c r="N109" s="227">
        <f t="shared" si="1"/>
        <v>36.582297000731529</v>
      </c>
    </row>
    <row r="110" spans="1:14" ht="13.5" thickBot="1" x14ac:dyDescent="0.25">
      <c r="A110" s="48" t="s">
        <v>480</v>
      </c>
      <c r="B110" s="224" t="s">
        <v>479</v>
      </c>
      <c r="C110" s="48" t="s">
        <v>17</v>
      </c>
      <c r="D110" s="226">
        <v>5241</v>
      </c>
      <c r="E110" s="225">
        <v>10855</v>
      </c>
      <c r="F110" s="225">
        <v>1611</v>
      </c>
      <c r="G110" s="225">
        <v>0</v>
      </c>
      <c r="H110" s="225">
        <v>12466</v>
      </c>
      <c r="I110" s="225">
        <v>52450</v>
      </c>
      <c r="J110" s="225">
        <v>4854</v>
      </c>
      <c r="K110" s="225">
        <v>57304</v>
      </c>
      <c r="L110" s="225">
        <v>33581</v>
      </c>
      <c r="M110" s="225">
        <v>103351</v>
      </c>
      <c r="N110" s="227">
        <f t="shared" si="1"/>
        <v>19.71970997901164</v>
      </c>
    </row>
    <row r="111" spans="1:14" ht="13.5" thickBot="1" x14ac:dyDescent="0.25">
      <c r="A111" s="48" t="s">
        <v>488</v>
      </c>
      <c r="B111" s="224" t="s">
        <v>487</v>
      </c>
      <c r="C111" s="48" t="s">
        <v>17</v>
      </c>
      <c r="D111" s="226">
        <v>5160</v>
      </c>
      <c r="E111" s="225">
        <v>16017</v>
      </c>
      <c r="F111" s="225">
        <v>4500</v>
      </c>
      <c r="G111" s="225">
        <v>1575</v>
      </c>
      <c r="H111" s="225">
        <v>22092</v>
      </c>
      <c r="I111" s="225">
        <v>85499</v>
      </c>
      <c r="J111" s="225">
        <v>6541</v>
      </c>
      <c r="K111" s="225">
        <v>92040</v>
      </c>
      <c r="L111" s="225">
        <v>38084</v>
      </c>
      <c r="M111" s="225">
        <v>152216</v>
      </c>
      <c r="N111" s="227">
        <f t="shared" si="1"/>
        <v>29.49922480620155</v>
      </c>
    </row>
    <row r="112" spans="1:14" ht="13.5" thickBot="1" x14ac:dyDescent="0.25">
      <c r="A112" s="48" t="s">
        <v>490</v>
      </c>
      <c r="B112" s="224" t="s">
        <v>489</v>
      </c>
      <c r="C112" s="48" t="s">
        <v>17</v>
      </c>
      <c r="D112" s="226">
        <v>5841</v>
      </c>
      <c r="E112" s="225">
        <v>11106</v>
      </c>
      <c r="F112" s="225">
        <v>9219</v>
      </c>
      <c r="G112" s="225">
        <v>2540</v>
      </c>
      <c r="H112" s="225">
        <v>22865</v>
      </c>
      <c r="I112" s="225">
        <v>67065</v>
      </c>
      <c r="J112" s="225">
        <v>49474</v>
      </c>
      <c r="K112" s="225">
        <v>116539</v>
      </c>
      <c r="L112" s="225">
        <v>4396</v>
      </c>
      <c r="M112" s="225">
        <v>143800</v>
      </c>
      <c r="N112" s="227">
        <f t="shared" si="1"/>
        <v>24.619072076699194</v>
      </c>
    </row>
    <row r="113" spans="1:14" ht="13.5" thickBot="1" x14ac:dyDescent="0.25">
      <c r="A113" s="48" t="s">
        <v>494</v>
      </c>
      <c r="B113" s="224" t="s">
        <v>493</v>
      </c>
      <c r="C113" s="48" t="s">
        <v>17</v>
      </c>
      <c r="D113" s="226">
        <v>4730</v>
      </c>
      <c r="E113" s="225">
        <v>8523</v>
      </c>
      <c r="F113" s="225">
        <v>3291</v>
      </c>
      <c r="G113" s="225">
        <v>0</v>
      </c>
      <c r="H113" s="225">
        <v>11814</v>
      </c>
      <c r="I113" s="225">
        <v>51293</v>
      </c>
      <c r="J113" s="225">
        <v>3876</v>
      </c>
      <c r="K113" s="225">
        <v>55169</v>
      </c>
      <c r="L113" s="225">
        <v>8000</v>
      </c>
      <c r="M113" s="225">
        <v>74983</v>
      </c>
      <c r="N113" s="227">
        <f t="shared" si="1"/>
        <v>15.852642706131078</v>
      </c>
    </row>
    <row r="114" spans="1:14" ht="13.5" thickBot="1" x14ac:dyDescent="0.25">
      <c r="A114" s="48" t="s">
        <v>512</v>
      </c>
      <c r="B114" s="224" t="s">
        <v>511</v>
      </c>
      <c r="C114" s="48" t="s">
        <v>17</v>
      </c>
      <c r="D114" s="226">
        <v>5072</v>
      </c>
      <c r="E114" s="225">
        <v>15078</v>
      </c>
      <c r="F114" s="225">
        <v>4795</v>
      </c>
      <c r="G114" s="225">
        <v>4321</v>
      </c>
      <c r="H114" s="225">
        <v>24194</v>
      </c>
      <c r="I114" s="225">
        <v>96085</v>
      </c>
      <c r="J114" s="225">
        <v>3538</v>
      </c>
      <c r="K114" s="225">
        <v>99623</v>
      </c>
      <c r="L114" s="225">
        <v>101947</v>
      </c>
      <c r="M114" s="225">
        <v>225764</v>
      </c>
      <c r="N114" s="227">
        <f t="shared" si="1"/>
        <v>44.511829652996845</v>
      </c>
    </row>
    <row r="115" spans="1:14" ht="13.5" thickBot="1" x14ac:dyDescent="0.25">
      <c r="A115" s="48" t="s">
        <v>514</v>
      </c>
      <c r="B115" s="224" t="s">
        <v>513</v>
      </c>
      <c r="C115" s="48" t="s">
        <v>17</v>
      </c>
      <c r="D115" s="226">
        <v>6634</v>
      </c>
      <c r="E115" s="225">
        <v>15754</v>
      </c>
      <c r="F115" s="225">
        <v>3001</v>
      </c>
      <c r="G115" s="225">
        <v>8627</v>
      </c>
      <c r="H115" s="225">
        <v>27382</v>
      </c>
      <c r="I115" s="225">
        <v>144372</v>
      </c>
      <c r="J115" s="225">
        <v>38119</v>
      </c>
      <c r="K115" s="225">
        <v>182491</v>
      </c>
      <c r="L115" s="225">
        <v>93938</v>
      </c>
      <c r="M115" s="225">
        <v>303811</v>
      </c>
      <c r="N115" s="227">
        <f t="shared" si="1"/>
        <v>45.796050648176063</v>
      </c>
    </row>
    <row r="116" spans="1:14" ht="13.5" thickBot="1" x14ac:dyDescent="0.25">
      <c r="A116" s="48" t="s">
        <v>526</v>
      </c>
      <c r="B116" s="224" t="s">
        <v>525</v>
      </c>
      <c r="C116" s="48" t="s">
        <v>17</v>
      </c>
      <c r="D116" s="226">
        <v>5302</v>
      </c>
      <c r="E116" s="225">
        <v>19493</v>
      </c>
      <c r="F116" s="225">
        <v>4320</v>
      </c>
      <c r="G116" s="225">
        <v>3662</v>
      </c>
      <c r="H116" s="225">
        <v>27475</v>
      </c>
      <c r="I116" s="225">
        <v>219249</v>
      </c>
      <c r="J116" s="225">
        <v>12600</v>
      </c>
      <c r="K116" s="225">
        <v>231849</v>
      </c>
      <c r="L116" s="225">
        <v>138754</v>
      </c>
      <c r="M116" s="225">
        <v>398078</v>
      </c>
      <c r="N116" s="227">
        <f t="shared" si="1"/>
        <v>75.080724254998117</v>
      </c>
    </row>
    <row r="117" spans="1:14" ht="13.5" thickBot="1" x14ac:dyDescent="0.25">
      <c r="A117" s="48" t="s">
        <v>528</v>
      </c>
      <c r="B117" s="224" t="s">
        <v>527</v>
      </c>
      <c r="C117" s="48" t="s">
        <v>17</v>
      </c>
      <c r="D117" s="226">
        <v>6834</v>
      </c>
      <c r="E117" s="225">
        <v>21105</v>
      </c>
      <c r="F117" s="225">
        <v>5802</v>
      </c>
      <c r="G117" s="225">
        <v>3160</v>
      </c>
      <c r="H117" s="225">
        <v>30067</v>
      </c>
      <c r="I117" s="225">
        <v>153915</v>
      </c>
      <c r="J117" s="225">
        <v>12646</v>
      </c>
      <c r="K117" s="225">
        <v>166561</v>
      </c>
      <c r="L117" s="225">
        <v>161552</v>
      </c>
      <c r="M117" s="225">
        <v>358180</v>
      </c>
      <c r="N117" s="227">
        <f t="shared" si="1"/>
        <v>52.411472051507168</v>
      </c>
    </row>
    <row r="118" spans="1:14" ht="13.5" thickBot="1" x14ac:dyDescent="0.25">
      <c r="A118" s="48" t="s">
        <v>532</v>
      </c>
      <c r="B118" s="224" t="s">
        <v>531</v>
      </c>
      <c r="C118" s="48" t="s">
        <v>17</v>
      </c>
      <c r="D118" s="226">
        <v>4469</v>
      </c>
      <c r="E118" s="225">
        <v>3340</v>
      </c>
      <c r="F118" s="225">
        <v>625</v>
      </c>
      <c r="G118" s="225">
        <v>2192</v>
      </c>
      <c r="H118" s="225">
        <v>6157</v>
      </c>
      <c r="I118" s="225">
        <v>18724</v>
      </c>
      <c r="J118" s="225">
        <v>0</v>
      </c>
      <c r="K118" s="225">
        <v>18724</v>
      </c>
      <c r="L118" s="225">
        <v>38229</v>
      </c>
      <c r="M118" s="225">
        <v>63110</v>
      </c>
      <c r="N118" s="227">
        <f t="shared" si="1"/>
        <v>14.121727455806669</v>
      </c>
    </row>
    <row r="119" spans="1:14" ht="13.5" thickBot="1" x14ac:dyDescent="0.25">
      <c r="A119" s="48" t="s">
        <v>540</v>
      </c>
      <c r="B119" s="224" t="s">
        <v>539</v>
      </c>
      <c r="C119" s="48" t="s">
        <v>17</v>
      </c>
      <c r="D119" s="226">
        <v>6174</v>
      </c>
      <c r="E119" s="225">
        <v>22629</v>
      </c>
      <c r="F119" s="225">
        <v>9436</v>
      </c>
      <c r="G119" s="225">
        <v>2917</v>
      </c>
      <c r="H119" s="225">
        <v>34982</v>
      </c>
      <c r="I119" s="225">
        <v>116895</v>
      </c>
      <c r="J119" s="225">
        <v>9479</v>
      </c>
      <c r="K119" s="225">
        <v>126374</v>
      </c>
      <c r="L119" s="225">
        <v>23799</v>
      </c>
      <c r="M119" s="225">
        <v>185155</v>
      </c>
      <c r="N119" s="227">
        <f t="shared" si="1"/>
        <v>29.989471979267897</v>
      </c>
    </row>
    <row r="120" spans="1:14" ht="13.5" thickBot="1" x14ac:dyDescent="0.25">
      <c r="A120" s="48" t="s">
        <v>560</v>
      </c>
      <c r="B120" s="224" t="s">
        <v>559</v>
      </c>
      <c r="C120" s="48" t="s">
        <v>17</v>
      </c>
      <c r="D120" s="226">
        <v>5305</v>
      </c>
      <c r="E120" s="225">
        <v>6058</v>
      </c>
      <c r="F120" s="225">
        <v>0</v>
      </c>
      <c r="G120" s="225">
        <v>2201</v>
      </c>
      <c r="H120" s="225">
        <v>8259</v>
      </c>
      <c r="I120" s="225">
        <v>61482</v>
      </c>
      <c r="J120" s="225">
        <v>21574</v>
      </c>
      <c r="K120" s="225">
        <v>83056</v>
      </c>
      <c r="L120" s="225">
        <v>26776</v>
      </c>
      <c r="M120" s="225">
        <v>118091</v>
      </c>
      <c r="N120" s="227">
        <f t="shared" si="1"/>
        <v>22.260320452403391</v>
      </c>
    </row>
    <row r="121" spans="1:14" ht="13.5" thickBot="1" x14ac:dyDescent="0.25">
      <c r="A121" s="48" t="s">
        <v>566</v>
      </c>
      <c r="B121" s="224" t="s">
        <v>565</v>
      </c>
      <c r="C121" s="48" t="s">
        <v>17</v>
      </c>
      <c r="D121" s="226">
        <v>6341</v>
      </c>
      <c r="E121" s="225">
        <v>25100</v>
      </c>
      <c r="F121" s="225">
        <v>6000</v>
      </c>
      <c r="G121" s="225">
        <v>3000</v>
      </c>
      <c r="H121" s="225">
        <v>34100</v>
      </c>
      <c r="I121" s="225">
        <v>70000</v>
      </c>
      <c r="J121" s="225">
        <v>14500</v>
      </c>
      <c r="K121" s="225">
        <v>84500</v>
      </c>
      <c r="L121" s="225">
        <v>97400</v>
      </c>
      <c r="M121" s="225">
        <v>216000</v>
      </c>
      <c r="N121" s="227">
        <f t="shared" si="1"/>
        <v>34.06402775587447</v>
      </c>
    </row>
    <row r="122" spans="1:14" ht="13.5" thickBot="1" x14ac:dyDescent="0.25">
      <c r="A122" s="48" t="s">
        <v>572</v>
      </c>
      <c r="B122" s="224" t="s">
        <v>571</v>
      </c>
      <c r="C122" s="48" t="s">
        <v>17</v>
      </c>
      <c r="D122" s="226">
        <v>5433</v>
      </c>
      <c r="E122" s="225">
        <v>13175</v>
      </c>
      <c r="F122" s="225">
        <v>5390</v>
      </c>
      <c r="G122" s="225">
        <v>0</v>
      </c>
      <c r="H122" s="225">
        <v>18565</v>
      </c>
      <c r="I122" s="225">
        <v>134638</v>
      </c>
      <c r="J122" s="225">
        <v>19128</v>
      </c>
      <c r="K122" s="225">
        <v>153766</v>
      </c>
      <c r="L122" s="225">
        <v>68857</v>
      </c>
      <c r="M122" s="225">
        <v>241188</v>
      </c>
      <c r="N122" s="227">
        <f t="shared" si="1"/>
        <v>44.393152954168968</v>
      </c>
    </row>
    <row r="123" spans="1:14" ht="13.5" thickBot="1" x14ac:dyDescent="0.25">
      <c r="A123" s="48" t="s">
        <v>582</v>
      </c>
      <c r="B123" s="224" t="s">
        <v>581</v>
      </c>
      <c r="C123" s="48" t="s">
        <v>17</v>
      </c>
      <c r="D123" s="226">
        <v>6654</v>
      </c>
      <c r="E123" s="225">
        <v>34320</v>
      </c>
      <c r="F123" s="225">
        <v>6901</v>
      </c>
      <c r="G123" s="225">
        <v>1617</v>
      </c>
      <c r="H123" s="225">
        <v>42838</v>
      </c>
      <c r="I123" s="225">
        <v>155136</v>
      </c>
      <c r="J123" s="225">
        <v>14181</v>
      </c>
      <c r="K123" s="225">
        <v>169317</v>
      </c>
      <c r="L123" s="225">
        <v>56243</v>
      </c>
      <c r="M123" s="225">
        <v>268398</v>
      </c>
      <c r="N123" s="227">
        <f t="shared" si="1"/>
        <v>40.336339044183951</v>
      </c>
    </row>
    <row r="124" spans="1:14" ht="13.5" thickBot="1" x14ac:dyDescent="0.25">
      <c r="A124" s="48" t="s">
        <v>586</v>
      </c>
      <c r="B124" s="224" t="s">
        <v>585</v>
      </c>
      <c r="C124" s="48" t="s">
        <v>17</v>
      </c>
      <c r="D124" s="226">
        <v>4105</v>
      </c>
      <c r="E124" s="225">
        <v>7745</v>
      </c>
      <c r="F124" s="225">
        <v>1227</v>
      </c>
      <c r="G124" s="225">
        <v>0</v>
      </c>
      <c r="H124" s="225">
        <v>8972</v>
      </c>
      <c r="I124" s="225">
        <v>32171</v>
      </c>
      <c r="J124" s="225">
        <v>2439</v>
      </c>
      <c r="K124" s="225">
        <v>34610</v>
      </c>
      <c r="L124" s="225">
        <v>32120</v>
      </c>
      <c r="M124" s="225">
        <v>75702</v>
      </c>
      <c r="N124" s="227">
        <f t="shared" si="1"/>
        <v>18.441412911084043</v>
      </c>
    </row>
    <row r="125" spans="1:14" ht="13.5" thickBot="1" x14ac:dyDescent="0.25">
      <c r="A125" s="48" t="s">
        <v>592</v>
      </c>
      <c r="B125" s="224" t="s">
        <v>591</v>
      </c>
      <c r="C125" s="48" t="s">
        <v>17</v>
      </c>
      <c r="D125" s="226">
        <v>5033</v>
      </c>
      <c r="E125" s="225">
        <v>20000</v>
      </c>
      <c r="F125" s="225">
        <v>8300</v>
      </c>
      <c r="G125" s="225">
        <v>1000</v>
      </c>
      <c r="H125" s="225">
        <v>29300</v>
      </c>
      <c r="I125" s="225">
        <v>44000</v>
      </c>
      <c r="J125" s="225">
        <v>1200</v>
      </c>
      <c r="K125" s="225">
        <v>45200</v>
      </c>
      <c r="L125" s="225">
        <v>14100</v>
      </c>
      <c r="M125" s="225">
        <v>88600</v>
      </c>
      <c r="N125" s="227">
        <f t="shared" si="1"/>
        <v>17.603814822173653</v>
      </c>
    </row>
    <row r="126" spans="1:14" ht="13.5" thickBot="1" x14ac:dyDescent="0.25">
      <c r="A126" s="48" t="s">
        <v>600</v>
      </c>
      <c r="B126" s="224" t="s">
        <v>599</v>
      </c>
      <c r="C126" s="48" t="s">
        <v>17</v>
      </c>
      <c r="D126" s="226">
        <v>5413</v>
      </c>
      <c r="E126" s="225">
        <v>6027</v>
      </c>
      <c r="F126" s="225">
        <v>0</v>
      </c>
      <c r="G126" s="225">
        <v>2250</v>
      </c>
      <c r="H126" s="225">
        <v>8277</v>
      </c>
      <c r="I126" s="225">
        <v>43770</v>
      </c>
      <c r="J126" s="225">
        <v>3906</v>
      </c>
      <c r="K126" s="225">
        <v>47676</v>
      </c>
      <c r="L126" s="225">
        <v>30400</v>
      </c>
      <c r="M126" s="225">
        <v>86353</v>
      </c>
      <c r="N126" s="227">
        <f t="shared" si="1"/>
        <v>15.952891187881027</v>
      </c>
    </row>
    <row r="127" spans="1:14" ht="13.5" thickBot="1" x14ac:dyDescent="0.25">
      <c r="A127" s="48" t="s">
        <v>606</v>
      </c>
      <c r="B127" s="224" t="s">
        <v>605</v>
      </c>
      <c r="C127" s="48" t="s">
        <v>17</v>
      </c>
      <c r="D127" s="226">
        <v>6847</v>
      </c>
      <c r="E127" s="225">
        <v>5325</v>
      </c>
      <c r="F127" s="225">
        <v>956</v>
      </c>
      <c r="G127" s="225">
        <v>548</v>
      </c>
      <c r="H127" s="225">
        <v>6829</v>
      </c>
      <c r="I127" s="225">
        <v>63651</v>
      </c>
      <c r="J127" s="225">
        <v>0</v>
      </c>
      <c r="K127" s="225">
        <v>63651</v>
      </c>
      <c r="L127" s="225">
        <v>62668</v>
      </c>
      <c r="M127" s="225">
        <v>133148</v>
      </c>
      <c r="N127" s="227">
        <f t="shared" si="1"/>
        <v>19.446180809113482</v>
      </c>
    </row>
    <row r="128" spans="1:14" ht="13.5" thickBot="1" x14ac:dyDescent="0.25">
      <c r="A128" s="48" t="s">
        <v>608</v>
      </c>
      <c r="B128" s="224" t="s">
        <v>607</v>
      </c>
      <c r="C128" s="48" t="s">
        <v>17</v>
      </c>
      <c r="D128" s="226">
        <v>6240</v>
      </c>
      <c r="E128" s="225">
        <v>12613</v>
      </c>
      <c r="F128" s="225">
        <v>1160</v>
      </c>
      <c r="G128" s="225">
        <v>1709</v>
      </c>
      <c r="H128" s="225">
        <v>15482</v>
      </c>
      <c r="I128" s="225">
        <v>73932</v>
      </c>
      <c r="J128" s="225">
        <v>17040</v>
      </c>
      <c r="K128" s="225">
        <v>90972</v>
      </c>
      <c r="L128" s="225">
        <v>48318</v>
      </c>
      <c r="M128" s="225">
        <v>154772</v>
      </c>
      <c r="N128" s="227">
        <f t="shared" si="1"/>
        <v>24.803205128205128</v>
      </c>
    </row>
    <row r="129" spans="1:14" ht="13.5" thickBot="1" x14ac:dyDescent="0.25">
      <c r="A129" s="48" t="s">
        <v>614</v>
      </c>
      <c r="B129" s="224" t="s">
        <v>613</v>
      </c>
      <c r="C129" s="48" t="s">
        <v>17</v>
      </c>
      <c r="D129" s="226">
        <v>5376</v>
      </c>
      <c r="E129" s="225">
        <v>4164</v>
      </c>
      <c r="F129" s="225">
        <v>787</v>
      </c>
      <c r="G129" s="225">
        <v>992</v>
      </c>
      <c r="H129" s="225">
        <v>5943</v>
      </c>
      <c r="I129" s="225">
        <v>37684</v>
      </c>
      <c r="J129" s="225">
        <v>2883</v>
      </c>
      <c r="K129" s="225">
        <v>40567</v>
      </c>
      <c r="L129" s="225">
        <v>28392</v>
      </c>
      <c r="M129" s="225">
        <v>74902</v>
      </c>
      <c r="N129" s="227">
        <f t="shared" si="1"/>
        <v>13.93266369047619</v>
      </c>
    </row>
    <row r="130" spans="1:14" ht="13.5" thickBot="1" x14ac:dyDescent="0.25">
      <c r="A130" s="48" t="s">
        <v>620</v>
      </c>
      <c r="B130" s="224" t="s">
        <v>619</v>
      </c>
      <c r="C130" s="48" t="s">
        <v>17</v>
      </c>
      <c r="D130" s="226">
        <v>5523</v>
      </c>
      <c r="E130" s="225">
        <v>23406</v>
      </c>
      <c r="F130" s="225">
        <v>5192</v>
      </c>
      <c r="G130" s="225">
        <v>1035</v>
      </c>
      <c r="H130" s="225">
        <v>29633</v>
      </c>
      <c r="I130" s="225">
        <v>88309</v>
      </c>
      <c r="J130" s="225">
        <v>0</v>
      </c>
      <c r="K130" s="225">
        <v>88309</v>
      </c>
      <c r="L130" s="225">
        <v>106001</v>
      </c>
      <c r="M130" s="225">
        <v>223943</v>
      </c>
      <c r="N130" s="227">
        <f t="shared" si="1"/>
        <v>40.547347456092702</v>
      </c>
    </row>
    <row r="131" spans="1:14" ht="13.5" thickBot="1" x14ac:dyDescent="0.25">
      <c r="A131" s="48" t="s">
        <v>632</v>
      </c>
      <c r="B131" s="224" t="s">
        <v>631</v>
      </c>
      <c r="C131" s="48" t="s">
        <v>17</v>
      </c>
      <c r="D131" s="226">
        <v>4659</v>
      </c>
      <c r="E131" s="225">
        <v>10254</v>
      </c>
      <c r="F131" s="225">
        <v>3697</v>
      </c>
      <c r="G131" s="225">
        <v>3923</v>
      </c>
      <c r="H131" s="225">
        <v>17874</v>
      </c>
      <c r="I131" s="225">
        <v>86787</v>
      </c>
      <c r="J131" s="225">
        <v>0</v>
      </c>
      <c r="K131" s="225">
        <v>86787</v>
      </c>
      <c r="L131" s="225">
        <v>37592</v>
      </c>
      <c r="M131" s="225">
        <v>142253</v>
      </c>
      <c r="N131" s="227">
        <f t="shared" si="1"/>
        <v>30.532946984331403</v>
      </c>
    </row>
    <row r="132" spans="1:14" ht="13.5" thickBot="1" x14ac:dyDescent="0.25">
      <c r="A132" s="48" t="s">
        <v>644</v>
      </c>
      <c r="B132" s="224" t="s">
        <v>643</v>
      </c>
      <c r="C132" s="48" t="s">
        <v>17</v>
      </c>
      <c r="D132" s="226">
        <v>6295</v>
      </c>
      <c r="E132" s="225">
        <v>22688</v>
      </c>
      <c r="F132" s="225">
        <v>7579</v>
      </c>
      <c r="G132" s="225">
        <v>12432</v>
      </c>
      <c r="H132" s="225">
        <v>42699</v>
      </c>
      <c r="I132" s="225">
        <v>140005</v>
      </c>
      <c r="J132" s="225">
        <v>2000</v>
      </c>
      <c r="K132" s="225">
        <v>142005</v>
      </c>
      <c r="L132" s="225">
        <v>102309</v>
      </c>
      <c r="M132" s="225">
        <v>287013</v>
      </c>
      <c r="N132" s="227">
        <f t="shared" ref="N132:N195" si="2">M132/D132</f>
        <v>45.593804606830815</v>
      </c>
    </row>
    <row r="133" spans="1:14" ht="13.5" thickBot="1" x14ac:dyDescent="0.25">
      <c r="A133" s="48" t="s">
        <v>658</v>
      </c>
      <c r="B133" s="224" t="s">
        <v>657</v>
      </c>
      <c r="C133" s="48" t="s">
        <v>17</v>
      </c>
      <c r="D133" s="226">
        <v>4434</v>
      </c>
      <c r="E133" s="225">
        <v>10700</v>
      </c>
      <c r="F133" s="225">
        <v>2000</v>
      </c>
      <c r="G133" s="225">
        <v>2600</v>
      </c>
      <c r="H133" s="225">
        <v>15300</v>
      </c>
      <c r="I133" s="225">
        <v>71000</v>
      </c>
      <c r="J133" s="225">
        <v>3562</v>
      </c>
      <c r="K133" s="225">
        <v>74562</v>
      </c>
      <c r="L133" s="225">
        <v>55912</v>
      </c>
      <c r="M133" s="225">
        <v>145774</v>
      </c>
      <c r="N133" s="227">
        <f t="shared" si="2"/>
        <v>32.876409562471807</v>
      </c>
    </row>
    <row r="134" spans="1:14" ht="13.5" thickBot="1" x14ac:dyDescent="0.25">
      <c r="A134" s="48" t="s">
        <v>668</v>
      </c>
      <c r="B134" s="224" t="s">
        <v>667</v>
      </c>
      <c r="C134" s="48" t="s">
        <v>17</v>
      </c>
      <c r="D134" s="226">
        <v>4375</v>
      </c>
      <c r="E134" s="225">
        <v>20144</v>
      </c>
      <c r="F134" s="225">
        <v>3799</v>
      </c>
      <c r="G134" s="225">
        <v>3317</v>
      </c>
      <c r="H134" s="225">
        <v>27260</v>
      </c>
      <c r="I134" s="225">
        <v>84379</v>
      </c>
      <c r="J134" s="225">
        <v>18480</v>
      </c>
      <c r="K134" s="225">
        <v>102859</v>
      </c>
      <c r="L134" s="225">
        <v>37110</v>
      </c>
      <c r="M134" s="225">
        <v>167229</v>
      </c>
      <c r="N134" s="227">
        <f t="shared" si="2"/>
        <v>38.223771428571432</v>
      </c>
    </row>
    <row r="135" spans="1:14" ht="13.5" thickBot="1" x14ac:dyDescent="0.25">
      <c r="A135" s="48" t="s">
        <v>672</v>
      </c>
      <c r="B135" s="224" t="s">
        <v>671</v>
      </c>
      <c r="C135" s="48" t="s">
        <v>17</v>
      </c>
      <c r="D135" s="226">
        <v>5101</v>
      </c>
      <c r="E135" s="225">
        <v>11901</v>
      </c>
      <c r="F135" s="225">
        <v>3825</v>
      </c>
      <c r="G135" s="225">
        <v>20787</v>
      </c>
      <c r="H135" s="225">
        <v>36513</v>
      </c>
      <c r="I135" s="225">
        <v>150727</v>
      </c>
      <c r="J135" s="225">
        <v>17354</v>
      </c>
      <c r="K135" s="225">
        <v>168081</v>
      </c>
      <c r="L135" s="225">
        <v>37391</v>
      </c>
      <c r="M135" s="225">
        <v>241985</v>
      </c>
      <c r="N135" s="227">
        <f t="shared" si="2"/>
        <v>47.4387375024505</v>
      </c>
    </row>
    <row r="136" spans="1:14" ht="13.5" thickBot="1" x14ac:dyDescent="0.25">
      <c r="A136" s="48" t="s">
        <v>678</v>
      </c>
      <c r="B136" s="224" t="s">
        <v>677</v>
      </c>
      <c r="C136" s="48" t="s">
        <v>17</v>
      </c>
      <c r="D136" s="226">
        <v>4038</v>
      </c>
      <c r="E136" s="225">
        <v>6644</v>
      </c>
      <c r="F136" s="225">
        <v>2609</v>
      </c>
      <c r="G136" s="225">
        <v>857</v>
      </c>
      <c r="H136" s="225">
        <v>10110</v>
      </c>
      <c r="I136" s="225">
        <v>52298</v>
      </c>
      <c r="J136" s="225">
        <v>6865</v>
      </c>
      <c r="K136" s="225">
        <v>59163</v>
      </c>
      <c r="L136" s="225">
        <v>29183</v>
      </c>
      <c r="M136" s="225">
        <v>98456</v>
      </c>
      <c r="N136" s="227">
        <f t="shared" si="2"/>
        <v>24.382367508667656</v>
      </c>
    </row>
    <row r="137" spans="1:14" ht="13.5" thickBot="1" x14ac:dyDescent="0.25">
      <c r="A137" s="48" t="s">
        <v>686</v>
      </c>
      <c r="B137" s="224" t="s">
        <v>685</v>
      </c>
      <c r="C137" s="48" t="s">
        <v>17</v>
      </c>
      <c r="D137" s="226">
        <v>5635</v>
      </c>
      <c r="E137" s="225">
        <v>5693</v>
      </c>
      <c r="F137" s="225">
        <v>0</v>
      </c>
      <c r="G137" s="225">
        <v>1374</v>
      </c>
      <c r="H137" s="225">
        <v>7067</v>
      </c>
      <c r="I137" s="225">
        <v>66451</v>
      </c>
      <c r="J137" s="225">
        <v>5083</v>
      </c>
      <c r="K137" s="225">
        <v>71534</v>
      </c>
      <c r="L137" s="225">
        <v>16616</v>
      </c>
      <c r="M137" s="225">
        <v>95217</v>
      </c>
      <c r="N137" s="227">
        <f t="shared" si="2"/>
        <v>16.897426796805679</v>
      </c>
    </row>
    <row r="138" spans="1:14" ht="13.5" thickBot="1" x14ac:dyDescent="0.25">
      <c r="A138" s="48" t="s">
        <v>708</v>
      </c>
      <c r="B138" s="224" t="s">
        <v>707</v>
      </c>
      <c r="C138" s="48" t="s">
        <v>17</v>
      </c>
      <c r="D138" s="226">
        <v>4046</v>
      </c>
      <c r="E138" s="225">
        <v>9897</v>
      </c>
      <c r="F138" s="225">
        <v>3340</v>
      </c>
      <c r="G138" s="225">
        <v>1460</v>
      </c>
      <c r="H138" s="225">
        <v>14697</v>
      </c>
      <c r="I138" s="225">
        <v>79671</v>
      </c>
      <c r="J138" s="225">
        <v>12500</v>
      </c>
      <c r="K138" s="225">
        <v>92171</v>
      </c>
      <c r="L138" s="225">
        <v>43321</v>
      </c>
      <c r="M138" s="225">
        <v>150189</v>
      </c>
      <c r="N138" s="227">
        <f t="shared" si="2"/>
        <v>37.120365793376173</v>
      </c>
    </row>
    <row r="139" spans="1:14" ht="13.5" thickBot="1" x14ac:dyDescent="0.25">
      <c r="A139" s="48" t="s">
        <v>720</v>
      </c>
      <c r="B139" s="224" t="s">
        <v>719</v>
      </c>
      <c r="C139" s="48" t="s">
        <v>17</v>
      </c>
      <c r="D139" s="226">
        <v>5479</v>
      </c>
      <c r="E139" s="225">
        <v>16576</v>
      </c>
      <c r="F139" s="225">
        <v>1575</v>
      </c>
      <c r="G139" s="225">
        <v>2060</v>
      </c>
      <c r="H139" s="225">
        <v>20211</v>
      </c>
      <c r="I139" s="225">
        <v>99125</v>
      </c>
      <c r="J139" s="225">
        <v>12236</v>
      </c>
      <c r="K139" s="225">
        <v>111361</v>
      </c>
      <c r="L139" s="225">
        <v>37378</v>
      </c>
      <c r="M139" s="225">
        <v>168950</v>
      </c>
      <c r="N139" s="227">
        <f t="shared" si="2"/>
        <v>30.835918963314473</v>
      </c>
    </row>
    <row r="140" spans="1:14" ht="13.5" thickBot="1" x14ac:dyDescent="0.25">
      <c r="A140" s="48" t="s">
        <v>728</v>
      </c>
      <c r="B140" s="224" t="s">
        <v>727</v>
      </c>
      <c r="C140" s="48" t="s">
        <v>17</v>
      </c>
      <c r="D140" s="226">
        <v>6680</v>
      </c>
      <c r="E140" s="225">
        <v>10750</v>
      </c>
      <c r="F140" s="225">
        <v>3900</v>
      </c>
      <c r="G140" s="225">
        <v>536</v>
      </c>
      <c r="H140" s="225">
        <v>15186</v>
      </c>
      <c r="I140" s="225">
        <v>48467</v>
      </c>
      <c r="J140" s="225">
        <v>6350</v>
      </c>
      <c r="K140" s="225">
        <v>54817</v>
      </c>
      <c r="L140" s="225">
        <v>17050</v>
      </c>
      <c r="M140" s="225">
        <v>87053</v>
      </c>
      <c r="N140" s="227">
        <f t="shared" si="2"/>
        <v>13.031886227544911</v>
      </c>
    </row>
    <row r="141" spans="1:14" ht="13.5" thickBot="1" x14ac:dyDescent="0.25">
      <c r="A141" s="48" t="s">
        <v>736</v>
      </c>
      <c r="B141" s="224" t="s">
        <v>735</v>
      </c>
      <c r="C141" s="48" t="s">
        <v>17</v>
      </c>
      <c r="D141" s="226">
        <v>6033</v>
      </c>
      <c r="E141" s="225">
        <v>9337</v>
      </c>
      <c r="F141" s="225">
        <v>360</v>
      </c>
      <c r="G141" s="225">
        <v>3095</v>
      </c>
      <c r="H141" s="225">
        <v>12792</v>
      </c>
      <c r="I141" s="225">
        <v>66531</v>
      </c>
      <c r="J141" s="225">
        <v>4829</v>
      </c>
      <c r="K141" s="225">
        <v>71360</v>
      </c>
      <c r="L141" s="225">
        <v>31570</v>
      </c>
      <c r="M141" s="225">
        <v>115722</v>
      </c>
      <c r="N141" s="227">
        <f t="shared" si="2"/>
        <v>19.181501740427649</v>
      </c>
    </row>
    <row r="142" spans="1:14" ht="13.5" thickBot="1" x14ac:dyDescent="0.25">
      <c r="A142" s="48" t="s">
        <v>744</v>
      </c>
      <c r="B142" s="224" t="s">
        <v>743</v>
      </c>
      <c r="C142" s="48" t="s">
        <v>17</v>
      </c>
      <c r="D142" s="226">
        <v>4576</v>
      </c>
      <c r="E142" s="225">
        <v>10333</v>
      </c>
      <c r="F142" s="225">
        <v>6909</v>
      </c>
      <c r="G142" s="225">
        <v>3000</v>
      </c>
      <c r="H142" s="225">
        <v>20242</v>
      </c>
      <c r="I142" s="225">
        <v>65399</v>
      </c>
      <c r="J142" s="225">
        <v>4990</v>
      </c>
      <c r="K142" s="225">
        <v>70389</v>
      </c>
      <c r="L142" s="225">
        <v>79726</v>
      </c>
      <c r="M142" s="225">
        <v>170357</v>
      </c>
      <c r="N142" s="227">
        <f t="shared" si="2"/>
        <v>37.228365384615387</v>
      </c>
    </row>
    <row r="143" spans="1:14" ht="13.5" thickBot="1" x14ac:dyDescent="0.25">
      <c r="A143" s="48" t="s">
        <v>758</v>
      </c>
      <c r="B143" s="224" t="s">
        <v>757</v>
      </c>
      <c r="C143" s="48" t="s">
        <v>17</v>
      </c>
      <c r="D143" s="226">
        <v>4757</v>
      </c>
      <c r="E143" s="225">
        <v>10970</v>
      </c>
      <c r="F143" s="225">
        <v>4402</v>
      </c>
      <c r="G143" s="225">
        <v>3752</v>
      </c>
      <c r="H143" s="225">
        <v>19124</v>
      </c>
      <c r="I143" s="225">
        <v>113068</v>
      </c>
      <c r="J143" s="225">
        <v>52193</v>
      </c>
      <c r="K143" s="225">
        <v>165261</v>
      </c>
      <c r="L143" s="225">
        <v>31429</v>
      </c>
      <c r="M143" s="225">
        <v>215814</v>
      </c>
      <c r="N143" s="227">
        <f t="shared" si="2"/>
        <v>45.367668698759722</v>
      </c>
    </row>
    <row r="144" spans="1:14" ht="13.5" thickBot="1" x14ac:dyDescent="0.25">
      <c r="A144" s="48" t="s">
        <v>764</v>
      </c>
      <c r="B144" s="224" t="s">
        <v>763</v>
      </c>
      <c r="C144" s="48" t="s">
        <v>17</v>
      </c>
      <c r="D144" s="226">
        <v>4614</v>
      </c>
      <c r="E144" s="225">
        <v>4887</v>
      </c>
      <c r="F144" s="225">
        <v>238</v>
      </c>
      <c r="G144" s="225">
        <v>2010</v>
      </c>
      <c r="H144" s="225">
        <v>7135</v>
      </c>
      <c r="I144" s="225">
        <v>50613</v>
      </c>
      <c r="J144" s="225">
        <v>242</v>
      </c>
      <c r="K144" s="225">
        <v>50855</v>
      </c>
      <c r="L144" s="225">
        <v>21670</v>
      </c>
      <c r="M144" s="225">
        <v>79660</v>
      </c>
      <c r="N144" s="227">
        <f t="shared" si="2"/>
        <v>17.264846120502817</v>
      </c>
    </row>
    <row r="145" spans="1:14" ht="13.5" thickBot="1" x14ac:dyDescent="0.25">
      <c r="A145" s="48" t="s">
        <v>774</v>
      </c>
      <c r="B145" s="224" t="s">
        <v>773</v>
      </c>
      <c r="C145" s="48" t="s">
        <v>17</v>
      </c>
      <c r="D145" s="226">
        <v>6999</v>
      </c>
      <c r="E145" s="225">
        <v>27533</v>
      </c>
      <c r="F145" s="225">
        <v>8942</v>
      </c>
      <c r="G145" s="225">
        <v>8099</v>
      </c>
      <c r="H145" s="225">
        <v>44574</v>
      </c>
      <c r="I145" s="225">
        <v>161509</v>
      </c>
      <c r="J145" s="225">
        <v>25415</v>
      </c>
      <c r="K145" s="225">
        <v>186924</v>
      </c>
      <c r="L145" s="225">
        <v>113347</v>
      </c>
      <c r="M145" s="225">
        <v>344845</v>
      </c>
      <c r="N145" s="227">
        <f t="shared" si="2"/>
        <v>49.270610087155305</v>
      </c>
    </row>
    <row r="146" spans="1:14" ht="13.5" thickBot="1" x14ac:dyDescent="0.25">
      <c r="A146" s="48" t="s">
        <v>784</v>
      </c>
      <c r="B146" s="224" t="s">
        <v>783</v>
      </c>
      <c r="C146" s="48" t="s">
        <v>17</v>
      </c>
      <c r="D146" s="226">
        <v>4837</v>
      </c>
      <c r="E146" s="225">
        <v>12260</v>
      </c>
      <c r="F146" s="225">
        <v>800</v>
      </c>
      <c r="G146" s="225">
        <v>4354</v>
      </c>
      <c r="H146" s="225">
        <v>17414</v>
      </c>
      <c r="I146" s="225">
        <v>115073</v>
      </c>
      <c r="J146" s="225">
        <v>8625</v>
      </c>
      <c r="K146" s="225">
        <v>123698</v>
      </c>
      <c r="L146" s="225">
        <v>30712</v>
      </c>
      <c r="M146" s="225">
        <v>171824</v>
      </c>
      <c r="N146" s="227">
        <f t="shared" si="2"/>
        <v>35.522844738474262</v>
      </c>
    </row>
    <row r="147" spans="1:14" ht="13.5" thickBot="1" x14ac:dyDescent="0.25">
      <c r="A147" s="48" t="s">
        <v>802</v>
      </c>
      <c r="B147" s="224" t="s">
        <v>801</v>
      </c>
      <c r="C147" s="48" t="s">
        <v>17</v>
      </c>
      <c r="D147" s="226">
        <v>5240</v>
      </c>
      <c r="E147" s="225">
        <v>8873</v>
      </c>
      <c r="F147" s="225">
        <v>1021</v>
      </c>
      <c r="G147" s="225">
        <v>4590</v>
      </c>
      <c r="H147" s="225">
        <v>14484</v>
      </c>
      <c r="I147" s="225">
        <v>125342</v>
      </c>
      <c r="J147" s="225">
        <v>1015</v>
      </c>
      <c r="K147" s="225">
        <v>126357</v>
      </c>
      <c r="L147" s="225">
        <v>63326</v>
      </c>
      <c r="M147" s="225">
        <v>204167</v>
      </c>
      <c r="N147" s="227">
        <f t="shared" si="2"/>
        <v>38.963167938931299</v>
      </c>
    </row>
    <row r="148" spans="1:14" ht="13.5" thickBot="1" x14ac:dyDescent="0.25">
      <c r="A148" s="48" t="s">
        <v>24</v>
      </c>
      <c r="B148" s="224" t="s">
        <v>23</v>
      </c>
      <c r="C148" s="48" t="s">
        <v>25</v>
      </c>
      <c r="D148" s="226">
        <v>7410</v>
      </c>
      <c r="E148" s="225">
        <v>27001</v>
      </c>
      <c r="F148" s="225">
        <v>5326</v>
      </c>
      <c r="G148" s="225">
        <v>7847</v>
      </c>
      <c r="H148" s="225">
        <v>40174</v>
      </c>
      <c r="I148" s="225">
        <v>109461</v>
      </c>
      <c r="J148" s="225">
        <v>17675</v>
      </c>
      <c r="K148" s="225">
        <v>127136</v>
      </c>
      <c r="L148" s="225">
        <v>59834</v>
      </c>
      <c r="M148" s="225">
        <v>227144</v>
      </c>
      <c r="N148" s="227">
        <f t="shared" si="2"/>
        <v>30.653711201079624</v>
      </c>
    </row>
    <row r="149" spans="1:14" ht="13.5" thickBot="1" x14ac:dyDescent="0.25">
      <c r="A149" s="48" t="s">
        <v>27</v>
      </c>
      <c r="B149" s="224" t="s">
        <v>26</v>
      </c>
      <c r="C149" s="48" t="s">
        <v>25</v>
      </c>
      <c r="D149" s="226">
        <v>11600</v>
      </c>
      <c r="E149" s="225">
        <v>7655</v>
      </c>
      <c r="F149" s="225">
        <v>1042</v>
      </c>
      <c r="G149" s="225">
        <v>1073</v>
      </c>
      <c r="H149" s="225">
        <v>9770</v>
      </c>
      <c r="I149" s="225">
        <v>69266</v>
      </c>
      <c r="J149" s="225">
        <v>5806</v>
      </c>
      <c r="K149" s="225">
        <v>75072</v>
      </c>
      <c r="L149" s="225">
        <v>37662</v>
      </c>
      <c r="M149" s="225">
        <v>122504</v>
      </c>
      <c r="N149" s="227">
        <f t="shared" si="2"/>
        <v>10.560689655172414</v>
      </c>
    </row>
    <row r="150" spans="1:14" ht="13.5" thickBot="1" x14ac:dyDescent="0.25">
      <c r="A150" s="48" t="s">
        <v>29</v>
      </c>
      <c r="B150" s="224" t="s">
        <v>28</v>
      </c>
      <c r="C150" s="48" t="s">
        <v>25</v>
      </c>
      <c r="D150" s="226">
        <v>11569</v>
      </c>
      <c r="E150" s="225">
        <v>26067</v>
      </c>
      <c r="F150" s="225">
        <v>11202</v>
      </c>
      <c r="G150" s="225">
        <v>3539</v>
      </c>
      <c r="H150" s="225">
        <v>40808</v>
      </c>
      <c r="I150" s="225">
        <v>308213</v>
      </c>
      <c r="J150" s="225">
        <v>62331</v>
      </c>
      <c r="K150" s="225">
        <v>370544</v>
      </c>
      <c r="L150" s="225">
        <v>277654</v>
      </c>
      <c r="M150" s="225">
        <v>689006</v>
      </c>
      <c r="N150" s="227">
        <f t="shared" si="2"/>
        <v>59.556227850289567</v>
      </c>
    </row>
    <row r="151" spans="1:14" ht="13.5" thickBot="1" x14ac:dyDescent="0.25">
      <c r="A151" s="48" t="s">
        <v>31</v>
      </c>
      <c r="B151" s="224" t="s">
        <v>30</v>
      </c>
      <c r="C151" s="48" t="s">
        <v>25</v>
      </c>
      <c r="D151" s="226">
        <v>9706</v>
      </c>
      <c r="E151" s="225">
        <v>22684</v>
      </c>
      <c r="F151" s="225">
        <v>6000</v>
      </c>
      <c r="G151" s="225">
        <v>17025</v>
      </c>
      <c r="H151" s="225">
        <v>45709</v>
      </c>
      <c r="I151" s="225">
        <v>291332</v>
      </c>
      <c r="J151" s="225">
        <v>94037</v>
      </c>
      <c r="K151" s="225">
        <v>385369</v>
      </c>
      <c r="L151" s="225">
        <v>37239</v>
      </c>
      <c r="M151" s="225">
        <v>468317</v>
      </c>
      <c r="N151" s="227">
        <f t="shared" si="2"/>
        <v>48.250257572635483</v>
      </c>
    </row>
    <row r="152" spans="1:14" ht="13.5" thickBot="1" x14ac:dyDescent="0.25">
      <c r="A152" s="48" t="s">
        <v>43</v>
      </c>
      <c r="B152" s="224" t="s">
        <v>42</v>
      </c>
      <c r="C152" s="48" t="s">
        <v>25</v>
      </c>
      <c r="D152" s="226">
        <v>11902</v>
      </c>
      <c r="E152" s="225">
        <v>33541</v>
      </c>
      <c r="F152" s="225">
        <v>20405</v>
      </c>
      <c r="G152" s="225">
        <v>9718</v>
      </c>
      <c r="H152" s="225">
        <v>63664</v>
      </c>
      <c r="I152" s="225">
        <v>226521</v>
      </c>
      <c r="J152" s="225">
        <v>61658</v>
      </c>
      <c r="K152" s="225">
        <v>288179</v>
      </c>
      <c r="L152" s="225">
        <v>108490</v>
      </c>
      <c r="M152" s="225">
        <v>460333</v>
      </c>
      <c r="N152" s="227">
        <f t="shared" si="2"/>
        <v>38.676945051251892</v>
      </c>
    </row>
    <row r="153" spans="1:14" ht="13.5" thickBot="1" x14ac:dyDescent="0.25">
      <c r="A153" s="48" t="s">
        <v>51</v>
      </c>
      <c r="B153" s="224" t="s">
        <v>50</v>
      </c>
      <c r="C153" s="48" t="s">
        <v>25</v>
      </c>
      <c r="D153" s="226">
        <v>11000</v>
      </c>
      <c r="E153" s="225">
        <v>60121</v>
      </c>
      <c r="F153" s="225">
        <v>7371</v>
      </c>
      <c r="G153" s="225">
        <v>3755</v>
      </c>
      <c r="H153" s="225">
        <v>71247</v>
      </c>
      <c r="I153" s="225">
        <v>150424</v>
      </c>
      <c r="J153" s="225">
        <v>19795</v>
      </c>
      <c r="K153" s="225">
        <v>170219</v>
      </c>
      <c r="L153" s="225">
        <v>67481</v>
      </c>
      <c r="M153" s="225">
        <v>308947</v>
      </c>
      <c r="N153" s="227">
        <f t="shared" si="2"/>
        <v>28.08609090909091</v>
      </c>
    </row>
    <row r="154" spans="1:14" ht="13.5" thickBot="1" x14ac:dyDescent="0.25">
      <c r="A154" s="48" t="s">
        <v>66</v>
      </c>
      <c r="B154" s="224" t="s">
        <v>65</v>
      </c>
      <c r="C154" s="48" t="s">
        <v>25</v>
      </c>
      <c r="D154" s="226">
        <v>7172</v>
      </c>
      <c r="E154" s="225">
        <v>13881</v>
      </c>
      <c r="F154" s="225">
        <v>1780</v>
      </c>
      <c r="G154" s="225">
        <v>4269</v>
      </c>
      <c r="H154" s="225">
        <v>19930</v>
      </c>
      <c r="I154" s="225">
        <v>126250</v>
      </c>
      <c r="J154" s="225">
        <v>13295</v>
      </c>
      <c r="K154" s="225">
        <v>139545</v>
      </c>
      <c r="L154" s="225">
        <v>27382</v>
      </c>
      <c r="M154" s="225">
        <v>186857</v>
      </c>
      <c r="N154" s="227">
        <f t="shared" si="2"/>
        <v>26.053680981595093</v>
      </c>
    </row>
    <row r="155" spans="1:14" ht="13.5" thickBot="1" x14ac:dyDescent="0.25">
      <c r="A155" s="48" t="s">
        <v>76</v>
      </c>
      <c r="B155" s="224" t="s">
        <v>75</v>
      </c>
      <c r="C155" s="48" t="s">
        <v>25</v>
      </c>
      <c r="D155" s="226">
        <v>11598</v>
      </c>
      <c r="E155" s="225">
        <v>15300</v>
      </c>
      <c r="F155" s="225">
        <v>10000</v>
      </c>
      <c r="G155" s="225">
        <v>5300</v>
      </c>
      <c r="H155" s="225">
        <v>30600</v>
      </c>
      <c r="I155" s="225">
        <v>132161</v>
      </c>
      <c r="J155" s="225">
        <v>29214</v>
      </c>
      <c r="K155" s="225">
        <v>161375</v>
      </c>
      <c r="L155" s="225">
        <v>17800</v>
      </c>
      <c r="M155" s="225">
        <v>209775</v>
      </c>
      <c r="N155" s="227">
        <f t="shared" si="2"/>
        <v>18.087170201758923</v>
      </c>
    </row>
    <row r="156" spans="1:14" ht="13.5" thickBot="1" x14ac:dyDescent="0.25">
      <c r="A156" s="48" t="s">
        <v>96</v>
      </c>
      <c r="B156" s="224" t="s">
        <v>95</v>
      </c>
      <c r="C156" s="48" t="s">
        <v>25</v>
      </c>
      <c r="D156" s="226">
        <v>9197</v>
      </c>
      <c r="E156" s="225">
        <v>20528</v>
      </c>
      <c r="F156" s="225">
        <v>7397</v>
      </c>
      <c r="G156" s="225">
        <v>6630</v>
      </c>
      <c r="H156" s="225">
        <v>34555</v>
      </c>
      <c r="I156" s="225">
        <v>177059</v>
      </c>
      <c r="J156" s="225">
        <v>24865</v>
      </c>
      <c r="K156" s="225">
        <v>201924</v>
      </c>
      <c r="L156" s="225">
        <v>95910</v>
      </c>
      <c r="M156" s="225">
        <v>332389</v>
      </c>
      <c r="N156" s="227">
        <f t="shared" si="2"/>
        <v>36.14102424703708</v>
      </c>
    </row>
    <row r="157" spans="1:14" ht="13.5" thickBot="1" x14ac:dyDescent="0.25">
      <c r="A157" s="48" t="s">
        <v>106</v>
      </c>
      <c r="B157" s="224" t="s">
        <v>105</v>
      </c>
      <c r="C157" s="48" t="s">
        <v>25</v>
      </c>
      <c r="D157" s="226">
        <v>11825</v>
      </c>
      <c r="E157" s="225">
        <v>30399</v>
      </c>
      <c r="F157" s="225">
        <v>4540</v>
      </c>
      <c r="G157" s="225">
        <v>1769</v>
      </c>
      <c r="H157" s="225">
        <v>36708</v>
      </c>
      <c r="I157" s="225">
        <v>194568</v>
      </c>
      <c r="J157" s="225">
        <v>103558</v>
      </c>
      <c r="K157" s="225">
        <v>298126</v>
      </c>
      <c r="L157" s="225">
        <v>107436</v>
      </c>
      <c r="M157" s="225">
        <v>442270</v>
      </c>
      <c r="N157" s="227">
        <f t="shared" si="2"/>
        <v>37.401268498942919</v>
      </c>
    </row>
    <row r="158" spans="1:14" ht="13.5" thickBot="1" x14ac:dyDescent="0.25">
      <c r="A158" s="48" t="s">
        <v>110</v>
      </c>
      <c r="B158" s="224" t="s">
        <v>109</v>
      </c>
      <c r="C158" s="48" t="s">
        <v>25</v>
      </c>
      <c r="D158" s="226">
        <v>7226</v>
      </c>
      <c r="E158" s="225">
        <v>36500</v>
      </c>
      <c r="F158" s="225">
        <v>6700</v>
      </c>
      <c r="G158" s="225">
        <v>7900</v>
      </c>
      <c r="H158" s="225">
        <v>51100</v>
      </c>
      <c r="I158" s="225">
        <v>272359</v>
      </c>
      <c r="J158" s="225">
        <v>63260</v>
      </c>
      <c r="K158" s="225">
        <v>335619</v>
      </c>
      <c r="L158" s="225">
        <v>158652</v>
      </c>
      <c r="M158" s="225">
        <v>545371</v>
      </c>
      <c r="N158" s="227">
        <f t="shared" si="2"/>
        <v>75.473429283144199</v>
      </c>
    </row>
    <row r="159" spans="1:14" ht="13.5" thickBot="1" x14ac:dyDescent="0.25">
      <c r="A159" s="48" t="s">
        <v>128</v>
      </c>
      <c r="B159" s="224" t="s">
        <v>127</v>
      </c>
      <c r="C159" s="48" t="s">
        <v>25</v>
      </c>
      <c r="D159" s="226">
        <v>10090</v>
      </c>
      <c r="E159" s="225">
        <v>31242</v>
      </c>
      <c r="F159" s="225">
        <v>0</v>
      </c>
      <c r="G159" s="225">
        <v>2000</v>
      </c>
      <c r="H159" s="225">
        <v>33242</v>
      </c>
      <c r="I159" s="225">
        <v>216240</v>
      </c>
      <c r="J159" s="225">
        <v>47650</v>
      </c>
      <c r="K159" s="225">
        <v>263890</v>
      </c>
      <c r="L159" s="225">
        <v>97931</v>
      </c>
      <c r="M159" s="225">
        <v>395063</v>
      </c>
      <c r="N159" s="227">
        <f t="shared" si="2"/>
        <v>39.153914767096133</v>
      </c>
    </row>
    <row r="160" spans="1:14" ht="13.5" thickBot="1" x14ac:dyDescent="0.25">
      <c r="A160" s="48" t="s">
        <v>130</v>
      </c>
      <c r="B160" s="224" t="s">
        <v>129</v>
      </c>
      <c r="C160" s="48" t="s">
        <v>25</v>
      </c>
      <c r="D160" s="226">
        <v>9705</v>
      </c>
      <c r="E160" s="225">
        <v>27749</v>
      </c>
      <c r="F160" s="225">
        <v>3059</v>
      </c>
      <c r="G160" s="225">
        <v>0</v>
      </c>
      <c r="H160" s="225">
        <v>30808</v>
      </c>
      <c r="I160" s="225">
        <v>139912</v>
      </c>
      <c r="J160" s="225">
        <v>17737</v>
      </c>
      <c r="K160" s="225">
        <v>157649</v>
      </c>
      <c r="L160" s="225">
        <v>136800</v>
      </c>
      <c r="M160" s="225">
        <v>325257</v>
      </c>
      <c r="N160" s="227">
        <f t="shared" si="2"/>
        <v>33.51437403400309</v>
      </c>
    </row>
    <row r="161" spans="1:14" ht="13.5" thickBot="1" x14ac:dyDescent="0.25">
      <c r="A161" s="48" t="s">
        <v>136</v>
      </c>
      <c r="B161" s="224" t="s">
        <v>135</v>
      </c>
      <c r="C161" s="48" t="s">
        <v>25</v>
      </c>
      <c r="D161" s="226">
        <v>8692</v>
      </c>
      <c r="E161" s="225">
        <v>18145</v>
      </c>
      <c r="F161" s="225">
        <v>2177</v>
      </c>
      <c r="G161" s="225">
        <v>3871</v>
      </c>
      <c r="H161" s="225">
        <v>24193</v>
      </c>
      <c r="I161" s="225">
        <v>82437</v>
      </c>
      <c r="J161" s="225">
        <v>17013</v>
      </c>
      <c r="K161" s="225">
        <v>99450</v>
      </c>
      <c r="L161" s="225">
        <v>11525</v>
      </c>
      <c r="M161" s="225">
        <v>135168</v>
      </c>
      <c r="N161" s="227">
        <f t="shared" si="2"/>
        <v>15.550851357570179</v>
      </c>
    </row>
    <row r="162" spans="1:14" ht="13.5" thickBot="1" x14ac:dyDescent="0.25">
      <c r="A162" s="48" t="s">
        <v>144</v>
      </c>
      <c r="B162" s="224" t="s">
        <v>143</v>
      </c>
      <c r="C162" s="48" t="s">
        <v>25</v>
      </c>
      <c r="D162" s="226">
        <v>11833</v>
      </c>
      <c r="E162" s="225">
        <v>27834</v>
      </c>
      <c r="F162" s="225">
        <v>10151</v>
      </c>
      <c r="G162" s="225">
        <v>10705</v>
      </c>
      <c r="H162" s="225">
        <v>48690</v>
      </c>
      <c r="I162" s="225">
        <v>279418</v>
      </c>
      <c r="J162" s="225">
        <v>53280</v>
      </c>
      <c r="K162" s="225">
        <v>332698</v>
      </c>
      <c r="L162" s="225">
        <v>149071</v>
      </c>
      <c r="M162" s="225">
        <v>530459</v>
      </c>
      <c r="N162" s="227">
        <f t="shared" si="2"/>
        <v>44.8287839094059</v>
      </c>
    </row>
    <row r="163" spans="1:14" ht="13.5" thickBot="1" x14ac:dyDescent="0.25">
      <c r="A163" s="48" t="s">
        <v>148</v>
      </c>
      <c r="B163" s="224" t="s">
        <v>147</v>
      </c>
      <c r="C163" s="48" t="s">
        <v>25</v>
      </c>
      <c r="D163" s="226">
        <v>10857</v>
      </c>
      <c r="E163" s="225">
        <v>12395</v>
      </c>
      <c r="F163" s="225">
        <v>1795</v>
      </c>
      <c r="G163" s="225">
        <v>4709</v>
      </c>
      <c r="H163" s="225">
        <v>18899</v>
      </c>
      <c r="I163" s="225">
        <v>126118</v>
      </c>
      <c r="J163" s="225">
        <v>10365</v>
      </c>
      <c r="K163" s="225">
        <v>136483</v>
      </c>
      <c r="L163" s="225">
        <v>54029</v>
      </c>
      <c r="M163" s="225">
        <v>209411</v>
      </c>
      <c r="N163" s="227">
        <f t="shared" si="2"/>
        <v>19.288109054066499</v>
      </c>
    </row>
    <row r="164" spans="1:14" ht="13.5" thickBot="1" x14ac:dyDescent="0.25">
      <c r="A164" s="48" t="s">
        <v>152</v>
      </c>
      <c r="B164" s="224" t="s">
        <v>151</v>
      </c>
      <c r="C164" s="48" t="s">
        <v>25</v>
      </c>
      <c r="D164" s="226">
        <v>9483</v>
      </c>
      <c r="E164" s="225">
        <v>13237</v>
      </c>
      <c r="F164" s="225">
        <v>1672</v>
      </c>
      <c r="G164" s="225">
        <v>1519</v>
      </c>
      <c r="H164" s="225">
        <v>16428</v>
      </c>
      <c r="I164" s="225">
        <v>101002</v>
      </c>
      <c r="J164" s="225">
        <v>26529</v>
      </c>
      <c r="K164" s="225">
        <v>127531</v>
      </c>
      <c r="L164" s="225">
        <v>55850</v>
      </c>
      <c r="M164" s="225">
        <v>199809</v>
      </c>
      <c r="N164" s="227">
        <f t="shared" si="2"/>
        <v>21.070230939576085</v>
      </c>
    </row>
    <row r="165" spans="1:14" ht="13.5" thickBot="1" x14ac:dyDescent="0.25">
      <c r="A165" s="48" t="s">
        <v>154</v>
      </c>
      <c r="B165" s="224" t="s">
        <v>153</v>
      </c>
      <c r="C165" s="48" t="s">
        <v>25</v>
      </c>
      <c r="D165" s="226">
        <v>8257</v>
      </c>
      <c r="E165" s="225">
        <v>27515</v>
      </c>
      <c r="F165" s="225">
        <v>2805</v>
      </c>
      <c r="G165" s="225">
        <v>3877</v>
      </c>
      <c r="H165" s="225">
        <v>34197</v>
      </c>
      <c r="I165" s="225">
        <v>123375</v>
      </c>
      <c r="J165" s="225">
        <v>33783</v>
      </c>
      <c r="K165" s="225">
        <v>157158</v>
      </c>
      <c r="L165" s="225">
        <v>64061</v>
      </c>
      <c r="M165" s="225">
        <v>255416</v>
      </c>
      <c r="N165" s="227">
        <f t="shared" si="2"/>
        <v>30.933268741673732</v>
      </c>
    </row>
    <row r="166" spans="1:14" ht="13.5" thickBot="1" x14ac:dyDescent="0.25">
      <c r="A166" s="48" t="s">
        <v>160</v>
      </c>
      <c r="B166" s="224" t="s">
        <v>159</v>
      </c>
      <c r="C166" s="48" t="s">
        <v>25</v>
      </c>
      <c r="D166" s="226">
        <v>9810</v>
      </c>
      <c r="E166" s="225">
        <v>34165</v>
      </c>
      <c r="F166" s="225">
        <v>20452</v>
      </c>
      <c r="G166" s="225">
        <v>12097</v>
      </c>
      <c r="H166" s="225">
        <v>66714</v>
      </c>
      <c r="I166" s="225">
        <v>484400</v>
      </c>
      <c r="J166" s="225">
        <v>128003</v>
      </c>
      <c r="K166" s="225">
        <v>612403</v>
      </c>
      <c r="L166" s="225">
        <v>430365</v>
      </c>
      <c r="M166" s="225">
        <v>1109482</v>
      </c>
      <c r="N166" s="227">
        <f t="shared" si="2"/>
        <v>113.09704383282364</v>
      </c>
    </row>
    <row r="167" spans="1:14" ht="13.5" thickBot="1" x14ac:dyDescent="0.25">
      <c r="A167" s="48" t="s">
        <v>196</v>
      </c>
      <c r="B167" s="224" t="s">
        <v>195</v>
      </c>
      <c r="C167" s="48" t="s">
        <v>25</v>
      </c>
      <c r="D167" s="226">
        <v>11862</v>
      </c>
      <c r="E167" s="225">
        <v>23860</v>
      </c>
      <c r="F167" s="225">
        <v>9963</v>
      </c>
      <c r="G167" s="225">
        <v>12890</v>
      </c>
      <c r="H167" s="225">
        <v>46713</v>
      </c>
      <c r="I167" s="225">
        <v>180775</v>
      </c>
      <c r="J167" s="225">
        <v>24982</v>
      </c>
      <c r="K167" s="225">
        <v>205757</v>
      </c>
      <c r="L167" s="225">
        <v>136275</v>
      </c>
      <c r="M167" s="225">
        <v>388745</v>
      </c>
      <c r="N167" s="227">
        <f t="shared" si="2"/>
        <v>32.772298094756366</v>
      </c>
    </row>
    <row r="168" spans="1:14" ht="13.5" thickBot="1" x14ac:dyDescent="0.25">
      <c r="A168" s="48" t="s">
        <v>220</v>
      </c>
      <c r="B168" s="224" t="s">
        <v>219</v>
      </c>
      <c r="C168" s="48" t="s">
        <v>25</v>
      </c>
      <c r="D168" s="226">
        <v>10021</v>
      </c>
      <c r="E168" s="225">
        <v>8627</v>
      </c>
      <c r="F168" s="225">
        <v>5773</v>
      </c>
      <c r="G168" s="225">
        <v>0</v>
      </c>
      <c r="H168" s="225">
        <v>14400</v>
      </c>
      <c r="I168" s="225">
        <v>98050</v>
      </c>
      <c r="J168" s="225">
        <v>5065</v>
      </c>
      <c r="K168" s="225">
        <v>103115</v>
      </c>
      <c r="L168" s="225">
        <v>33013</v>
      </c>
      <c r="M168" s="225">
        <v>150528</v>
      </c>
      <c r="N168" s="227">
        <f t="shared" si="2"/>
        <v>15.021255363736154</v>
      </c>
    </row>
    <row r="169" spans="1:14" ht="13.5" thickBot="1" x14ac:dyDescent="0.25">
      <c r="A169" s="48" t="s">
        <v>232</v>
      </c>
      <c r="B169" s="224" t="s">
        <v>231</v>
      </c>
      <c r="C169" s="48" t="s">
        <v>25</v>
      </c>
      <c r="D169" s="226">
        <v>7439</v>
      </c>
      <c r="E169" s="225">
        <v>9588</v>
      </c>
      <c r="F169" s="225">
        <v>11445</v>
      </c>
      <c r="G169" s="225">
        <v>23097</v>
      </c>
      <c r="H169" s="225">
        <v>44130</v>
      </c>
      <c r="I169" s="225">
        <v>96703</v>
      </c>
      <c r="J169" s="225">
        <v>13906</v>
      </c>
      <c r="K169" s="225">
        <v>110609</v>
      </c>
      <c r="L169" s="225">
        <v>25318</v>
      </c>
      <c r="M169" s="225">
        <v>180057</v>
      </c>
      <c r="N169" s="227">
        <f t="shared" si="2"/>
        <v>24.204462965452347</v>
      </c>
    </row>
    <row r="170" spans="1:14" ht="13.5" thickBot="1" x14ac:dyDescent="0.25">
      <c r="A170" s="48" t="s">
        <v>246</v>
      </c>
      <c r="B170" s="224" t="s">
        <v>245</v>
      </c>
      <c r="C170" s="48" t="s">
        <v>25</v>
      </c>
      <c r="D170" s="226">
        <v>7392</v>
      </c>
      <c r="E170" s="225">
        <v>10498</v>
      </c>
      <c r="F170" s="225">
        <v>1376</v>
      </c>
      <c r="G170" s="225">
        <v>3653</v>
      </c>
      <c r="H170" s="225">
        <v>15527</v>
      </c>
      <c r="I170" s="225">
        <v>121288</v>
      </c>
      <c r="J170" s="225">
        <v>17573</v>
      </c>
      <c r="K170" s="225">
        <v>138861</v>
      </c>
      <c r="L170" s="225">
        <v>65134</v>
      </c>
      <c r="M170" s="225">
        <v>219522</v>
      </c>
      <c r="N170" s="227">
        <f t="shared" si="2"/>
        <v>29.697240259740258</v>
      </c>
    </row>
    <row r="171" spans="1:14" ht="13.5" thickBot="1" x14ac:dyDescent="0.25">
      <c r="A171" s="48" t="s">
        <v>250</v>
      </c>
      <c r="B171" s="224" t="s">
        <v>249</v>
      </c>
      <c r="C171" s="48" t="s">
        <v>25</v>
      </c>
      <c r="D171" s="226">
        <v>9512</v>
      </c>
      <c r="E171" s="225">
        <v>15200</v>
      </c>
      <c r="F171" s="225">
        <v>2500</v>
      </c>
      <c r="G171" s="225">
        <v>0</v>
      </c>
      <c r="H171" s="225">
        <v>17700</v>
      </c>
      <c r="I171" s="225">
        <v>53184</v>
      </c>
      <c r="J171" s="225">
        <v>17240</v>
      </c>
      <c r="K171" s="225">
        <v>70424</v>
      </c>
      <c r="L171" s="225">
        <v>157670</v>
      </c>
      <c r="M171" s="225">
        <v>245794</v>
      </c>
      <c r="N171" s="227">
        <f t="shared" si="2"/>
        <v>25.840412111017663</v>
      </c>
    </row>
    <row r="172" spans="1:14" ht="13.5" thickBot="1" x14ac:dyDescent="0.25">
      <c r="A172" s="48" t="s">
        <v>262</v>
      </c>
      <c r="B172" s="224" t="s">
        <v>261</v>
      </c>
      <c r="C172" s="48" t="s">
        <v>25</v>
      </c>
      <c r="D172" s="226">
        <v>7717</v>
      </c>
      <c r="E172" s="225">
        <v>11985</v>
      </c>
      <c r="F172" s="225">
        <v>753</v>
      </c>
      <c r="G172" s="225">
        <v>2975</v>
      </c>
      <c r="H172" s="225">
        <v>15713</v>
      </c>
      <c r="I172" s="225">
        <v>62937</v>
      </c>
      <c r="J172" s="225">
        <v>1200</v>
      </c>
      <c r="K172" s="225">
        <v>64137</v>
      </c>
      <c r="L172" s="225">
        <v>57267</v>
      </c>
      <c r="M172" s="225">
        <v>137117</v>
      </c>
      <c r="N172" s="227">
        <f t="shared" si="2"/>
        <v>17.768174160943371</v>
      </c>
    </row>
    <row r="173" spans="1:14" ht="13.5" thickBot="1" x14ac:dyDescent="0.25">
      <c r="A173" s="48" t="s">
        <v>284</v>
      </c>
      <c r="B173" s="224" t="s">
        <v>283</v>
      </c>
      <c r="C173" s="48" t="s">
        <v>25</v>
      </c>
      <c r="D173" s="226">
        <v>7824</v>
      </c>
      <c r="E173" s="225">
        <v>20047</v>
      </c>
      <c r="F173" s="225">
        <v>3364</v>
      </c>
      <c r="G173" s="225">
        <v>11595</v>
      </c>
      <c r="H173" s="225">
        <v>35006</v>
      </c>
      <c r="I173" s="225">
        <v>191116</v>
      </c>
      <c r="J173" s="225">
        <v>27743</v>
      </c>
      <c r="K173" s="225">
        <v>218859</v>
      </c>
      <c r="L173" s="225">
        <v>99101</v>
      </c>
      <c r="M173" s="225">
        <v>352966</v>
      </c>
      <c r="N173" s="227">
        <f t="shared" si="2"/>
        <v>45.113241308793455</v>
      </c>
    </row>
    <row r="174" spans="1:14" ht="13.5" thickBot="1" x14ac:dyDescent="0.25">
      <c r="A174" s="48" t="s">
        <v>296</v>
      </c>
      <c r="B174" s="224" t="s">
        <v>295</v>
      </c>
      <c r="C174" s="48" t="s">
        <v>25</v>
      </c>
      <c r="D174" s="226">
        <v>9476</v>
      </c>
      <c r="E174" s="225">
        <v>12902</v>
      </c>
      <c r="F174" s="225">
        <v>2274</v>
      </c>
      <c r="G174" s="225">
        <v>3500</v>
      </c>
      <c r="H174" s="225">
        <v>18676</v>
      </c>
      <c r="I174" s="225">
        <v>79365</v>
      </c>
      <c r="J174" s="225">
        <v>0</v>
      </c>
      <c r="K174" s="225">
        <v>79365</v>
      </c>
      <c r="L174" s="225">
        <v>43113</v>
      </c>
      <c r="M174" s="225">
        <v>141154</v>
      </c>
      <c r="N174" s="227">
        <f t="shared" si="2"/>
        <v>14.895947657239342</v>
      </c>
    </row>
    <row r="175" spans="1:14" ht="13.5" thickBot="1" x14ac:dyDescent="0.25">
      <c r="A175" s="48" t="s">
        <v>302</v>
      </c>
      <c r="B175" s="224" t="s">
        <v>301</v>
      </c>
      <c r="C175" s="48" t="s">
        <v>25</v>
      </c>
      <c r="D175" s="226">
        <v>10983</v>
      </c>
      <c r="E175" s="225">
        <v>22986</v>
      </c>
      <c r="F175" s="225">
        <v>2047</v>
      </c>
      <c r="G175" s="225">
        <v>4948</v>
      </c>
      <c r="H175" s="225">
        <v>29981</v>
      </c>
      <c r="I175" s="225">
        <v>230600</v>
      </c>
      <c r="J175" s="225">
        <v>42014</v>
      </c>
      <c r="K175" s="225">
        <v>272614</v>
      </c>
      <c r="L175" s="225">
        <v>124433</v>
      </c>
      <c r="M175" s="225">
        <v>427028</v>
      </c>
      <c r="N175" s="227">
        <f t="shared" si="2"/>
        <v>38.880815806246019</v>
      </c>
    </row>
    <row r="176" spans="1:14" ht="13.5" thickBot="1" x14ac:dyDescent="0.25">
      <c r="A176" s="48" t="s">
        <v>310</v>
      </c>
      <c r="B176" s="224" t="s">
        <v>309</v>
      </c>
      <c r="C176" s="48" t="s">
        <v>25</v>
      </c>
      <c r="D176" s="226">
        <v>11239</v>
      </c>
      <c r="E176" s="225">
        <v>14781</v>
      </c>
      <c r="F176" s="225">
        <v>0</v>
      </c>
      <c r="G176" s="225">
        <v>2003</v>
      </c>
      <c r="H176" s="225">
        <v>16784</v>
      </c>
      <c r="I176" s="225">
        <v>57586</v>
      </c>
      <c r="J176" s="225">
        <v>19166</v>
      </c>
      <c r="K176" s="225">
        <v>76752</v>
      </c>
      <c r="L176" s="225">
        <v>14151</v>
      </c>
      <c r="M176" s="225">
        <v>107687</v>
      </c>
      <c r="N176" s="227">
        <f t="shared" si="2"/>
        <v>9.5815464009253493</v>
      </c>
    </row>
    <row r="177" spans="1:14" ht="13.5" thickBot="1" x14ac:dyDescent="0.25">
      <c r="A177" s="48" t="s">
        <v>324</v>
      </c>
      <c r="B177" s="224" t="s">
        <v>323</v>
      </c>
      <c r="C177" s="48" t="s">
        <v>25</v>
      </c>
      <c r="D177" s="226">
        <v>8875</v>
      </c>
      <c r="E177" s="225">
        <v>15397</v>
      </c>
      <c r="F177" s="225">
        <v>4750</v>
      </c>
      <c r="G177" s="225">
        <v>11008</v>
      </c>
      <c r="H177" s="225">
        <v>31155</v>
      </c>
      <c r="I177" s="225">
        <v>192807</v>
      </c>
      <c r="J177" s="225">
        <v>14381</v>
      </c>
      <c r="K177" s="225">
        <v>207188</v>
      </c>
      <c r="L177" s="225">
        <v>134480</v>
      </c>
      <c r="M177" s="225">
        <v>372823</v>
      </c>
      <c r="N177" s="227">
        <f t="shared" si="2"/>
        <v>42.008225352112674</v>
      </c>
    </row>
    <row r="178" spans="1:14" ht="13.5" thickBot="1" x14ac:dyDescent="0.25">
      <c r="A178" s="48" t="s">
        <v>342</v>
      </c>
      <c r="B178" s="224" t="s">
        <v>341</v>
      </c>
      <c r="C178" s="48" t="s">
        <v>25</v>
      </c>
      <c r="D178" s="226">
        <v>8133</v>
      </c>
      <c r="E178" s="225">
        <v>25980</v>
      </c>
      <c r="F178" s="225">
        <v>15371</v>
      </c>
      <c r="G178" s="225">
        <v>7818</v>
      </c>
      <c r="H178" s="225">
        <v>49169</v>
      </c>
      <c r="I178" s="225">
        <v>141291</v>
      </c>
      <c r="J178" s="225">
        <v>12649</v>
      </c>
      <c r="K178" s="225">
        <v>153940</v>
      </c>
      <c r="L178" s="225">
        <v>81940</v>
      </c>
      <c r="M178" s="225">
        <v>285049</v>
      </c>
      <c r="N178" s="227">
        <f t="shared" si="2"/>
        <v>35.048444608385587</v>
      </c>
    </row>
    <row r="179" spans="1:14" ht="13.5" thickBot="1" x14ac:dyDescent="0.25">
      <c r="A179" s="48" t="s">
        <v>350</v>
      </c>
      <c r="B179" s="224" t="s">
        <v>349</v>
      </c>
      <c r="C179" s="48" t="s">
        <v>25</v>
      </c>
      <c r="D179" s="226">
        <v>7135</v>
      </c>
      <c r="E179" s="225">
        <v>17925</v>
      </c>
      <c r="F179" s="225">
        <v>8404</v>
      </c>
      <c r="G179" s="225">
        <v>2100</v>
      </c>
      <c r="H179" s="225">
        <v>28429</v>
      </c>
      <c r="I179" s="225">
        <v>167707</v>
      </c>
      <c r="J179" s="225">
        <v>45595</v>
      </c>
      <c r="K179" s="225">
        <v>213302</v>
      </c>
      <c r="L179" s="225">
        <v>90705</v>
      </c>
      <c r="M179" s="225">
        <v>332436</v>
      </c>
      <c r="N179" s="227">
        <f t="shared" si="2"/>
        <v>46.592291520672738</v>
      </c>
    </row>
    <row r="180" spans="1:14" ht="13.5" thickBot="1" x14ac:dyDescent="0.25">
      <c r="A180" s="48" t="s">
        <v>358</v>
      </c>
      <c r="B180" s="224" t="s">
        <v>357</v>
      </c>
      <c r="C180" s="48" t="s">
        <v>25</v>
      </c>
      <c r="D180" s="226">
        <v>11870</v>
      </c>
      <c r="E180" s="225">
        <v>12943</v>
      </c>
      <c r="F180" s="225">
        <v>882</v>
      </c>
      <c r="G180" s="225">
        <v>1500</v>
      </c>
      <c r="H180" s="225">
        <v>15325</v>
      </c>
      <c r="I180" s="225">
        <v>119223</v>
      </c>
      <c r="J180" s="225">
        <v>51821</v>
      </c>
      <c r="K180" s="225">
        <v>171044</v>
      </c>
      <c r="L180" s="225">
        <v>79382</v>
      </c>
      <c r="M180" s="225">
        <v>265751</v>
      </c>
      <c r="N180" s="227">
        <f t="shared" si="2"/>
        <v>22.388458298230834</v>
      </c>
    </row>
    <row r="181" spans="1:14" ht="13.5" thickBot="1" x14ac:dyDescent="0.25">
      <c r="A181" s="48" t="s">
        <v>378</v>
      </c>
      <c r="B181" s="224" t="s">
        <v>377</v>
      </c>
      <c r="C181" s="48" t="s">
        <v>25</v>
      </c>
      <c r="D181" s="226">
        <v>8764</v>
      </c>
      <c r="E181" s="225">
        <v>18720</v>
      </c>
      <c r="F181" s="225">
        <v>12223</v>
      </c>
      <c r="G181" s="225">
        <v>27436</v>
      </c>
      <c r="H181" s="225">
        <v>58379</v>
      </c>
      <c r="I181" s="225">
        <v>205938</v>
      </c>
      <c r="J181" s="225">
        <v>125349</v>
      </c>
      <c r="K181" s="225">
        <v>331287</v>
      </c>
      <c r="L181" s="225">
        <v>132849</v>
      </c>
      <c r="M181" s="225">
        <v>522515</v>
      </c>
      <c r="N181" s="227">
        <f t="shared" si="2"/>
        <v>59.620607028753994</v>
      </c>
    </row>
    <row r="182" spans="1:14" ht="13.5" thickBot="1" x14ac:dyDescent="0.25">
      <c r="A182" s="48" t="s">
        <v>410</v>
      </c>
      <c r="B182" s="224" t="s">
        <v>409</v>
      </c>
      <c r="C182" s="48" t="s">
        <v>25</v>
      </c>
      <c r="D182" s="226">
        <v>9555</v>
      </c>
      <c r="E182" s="225">
        <v>4700</v>
      </c>
      <c r="F182" s="225">
        <v>1500</v>
      </c>
      <c r="G182" s="225">
        <v>2000</v>
      </c>
      <c r="H182" s="225">
        <v>8200</v>
      </c>
      <c r="I182" s="225">
        <v>47382</v>
      </c>
      <c r="J182" s="225">
        <v>29249</v>
      </c>
      <c r="K182" s="225">
        <v>76631</v>
      </c>
      <c r="L182" s="225">
        <v>6790</v>
      </c>
      <c r="M182" s="225">
        <v>91621</v>
      </c>
      <c r="N182" s="227">
        <f t="shared" si="2"/>
        <v>9.5888016745159597</v>
      </c>
    </row>
    <row r="183" spans="1:14" ht="13.5" thickBot="1" x14ac:dyDescent="0.25">
      <c r="A183" s="48" t="s">
        <v>408</v>
      </c>
      <c r="B183" s="224" t="s">
        <v>407</v>
      </c>
      <c r="C183" s="48" t="s">
        <v>25</v>
      </c>
      <c r="D183" s="226">
        <v>9533</v>
      </c>
      <c r="E183" s="225">
        <v>4168</v>
      </c>
      <c r="F183" s="225">
        <v>501</v>
      </c>
      <c r="G183" s="225">
        <v>1641</v>
      </c>
      <c r="H183" s="225">
        <v>6310</v>
      </c>
      <c r="I183" s="225">
        <v>14494</v>
      </c>
      <c r="J183" s="225">
        <v>6557</v>
      </c>
      <c r="K183" s="225">
        <v>21051</v>
      </c>
      <c r="L183" s="225">
        <v>30241</v>
      </c>
      <c r="M183" s="225">
        <v>57602</v>
      </c>
      <c r="N183" s="227">
        <f t="shared" si="2"/>
        <v>6.042379104164481</v>
      </c>
    </row>
    <row r="184" spans="1:14" ht="13.5" thickBot="1" x14ac:dyDescent="0.25">
      <c r="A184" s="48" t="s">
        <v>433</v>
      </c>
      <c r="B184" s="224" t="s">
        <v>432</v>
      </c>
      <c r="C184" s="48" t="s">
        <v>25</v>
      </c>
      <c r="D184" s="226">
        <v>10470</v>
      </c>
      <c r="E184" s="225">
        <v>10030</v>
      </c>
      <c r="F184" s="225">
        <v>7448</v>
      </c>
      <c r="G184" s="225">
        <v>4476</v>
      </c>
      <c r="H184" s="225">
        <v>21954</v>
      </c>
      <c r="I184" s="225">
        <v>195353</v>
      </c>
      <c r="J184" s="225">
        <v>40935</v>
      </c>
      <c r="K184" s="225">
        <v>236288</v>
      </c>
      <c r="L184" s="225">
        <v>65219</v>
      </c>
      <c r="M184" s="225">
        <v>323461</v>
      </c>
      <c r="N184" s="227">
        <f t="shared" si="2"/>
        <v>30.894078319006685</v>
      </c>
    </row>
    <row r="185" spans="1:14" ht="13.5" thickBot="1" x14ac:dyDescent="0.25">
      <c r="A185" s="48" t="s">
        <v>446</v>
      </c>
      <c r="B185" s="224" t="s">
        <v>445</v>
      </c>
      <c r="C185" s="48" t="s">
        <v>25</v>
      </c>
      <c r="D185" s="226">
        <v>11581</v>
      </c>
      <c r="E185" s="225">
        <v>26000</v>
      </c>
      <c r="F185" s="225">
        <v>300</v>
      </c>
      <c r="G185" s="225">
        <v>2000</v>
      </c>
      <c r="H185" s="225">
        <v>28300</v>
      </c>
      <c r="I185" s="225">
        <v>195569</v>
      </c>
      <c r="J185" s="225">
        <v>71731</v>
      </c>
      <c r="K185" s="225">
        <v>267300</v>
      </c>
      <c r="L185" s="225">
        <v>65763</v>
      </c>
      <c r="M185" s="225">
        <v>361363</v>
      </c>
      <c r="N185" s="227">
        <f t="shared" si="2"/>
        <v>31.203091270183922</v>
      </c>
    </row>
    <row r="186" spans="1:14" ht="13.5" thickBot="1" x14ac:dyDescent="0.25">
      <c r="A186" s="48" t="s">
        <v>468</v>
      </c>
      <c r="B186" s="224" t="s">
        <v>467</v>
      </c>
      <c r="C186" s="48" t="s">
        <v>25</v>
      </c>
      <c r="D186" s="226">
        <v>7312</v>
      </c>
      <c r="E186" s="225">
        <v>22455</v>
      </c>
      <c r="F186" s="225">
        <v>7014</v>
      </c>
      <c r="G186" s="225">
        <v>3930</v>
      </c>
      <c r="H186" s="225">
        <v>33399</v>
      </c>
      <c r="I186" s="225">
        <v>159923</v>
      </c>
      <c r="J186" s="225">
        <v>10000</v>
      </c>
      <c r="K186" s="225">
        <v>169923</v>
      </c>
      <c r="L186" s="225">
        <v>135083</v>
      </c>
      <c r="M186" s="225">
        <v>338405</v>
      </c>
      <c r="N186" s="227">
        <f t="shared" si="2"/>
        <v>46.280771334792121</v>
      </c>
    </row>
    <row r="187" spans="1:14" ht="13.5" thickBot="1" x14ac:dyDescent="0.25">
      <c r="A187" s="48" t="s">
        <v>474</v>
      </c>
      <c r="B187" s="224" t="s">
        <v>473</v>
      </c>
      <c r="C187" s="48" t="s">
        <v>25</v>
      </c>
      <c r="D187" s="226">
        <v>8344</v>
      </c>
      <c r="E187" s="225">
        <v>12168</v>
      </c>
      <c r="F187" s="225">
        <v>5515</v>
      </c>
      <c r="G187" s="225">
        <v>3550</v>
      </c>
      <c r="H187" s="225">
        <v>21233</v>
      </c>
      <c r="I187" s="225">
        <v>82357</v>
      </c>
      <c r="J187" s="225">
        <v>59844</v>
      </c>
      <c r="K187" s="225">
        <v>142201</v>
      </c>
      <c r="L187" s="225">
        <v>3464</v>
      </c>
      <c r="M187" s="225">
        <v>166898</v>
      </c>
      <c r="N187" s="227">
        <f t="shared" si="2"/>
        <v>20.002157238734419</v>
      </c>
    </row>
    <row r="188" spans="1:14" ht="13.5" thickBot="1" x14ac:dyDescent="0.25">
      <c r="A188" s="48" t="s">
        <v>492</v>
      </c>
      <c r="B188" s="224" t="s">
        <v>491</v>
      </c>
      <c r="C188" s="48" t="s">
        <v>25</v>
      </c>
      <c r="D188" s="226">
        <v>10715</v>
      </c>
      <c r="E188" s="225">
        <v>12028</v>
      </c>
      <c r="F188" s="225">
        <v>0</v>
      </c>
      <c r="G188" s="225">
        <v>6833</v>
      </c>
      <c r="H188" s="225">
        <v>18861</v>
      </c>
      <c r="I188" s="225">
        <v>41200</v>
      </c>
      <c r="J188" s="225">
        <v>0</v>
      </c>
      <c r="K188" s="225">
        <v>41200</v>
      </c>
      <c r="L188" s="225">
        <v>141876</v>
      </c>
      <c r="M188" s="225">
        <v>201937</v>
      </c>
      <c r="N188" s="227">
        <f t="shared" si="2"/>
        <v>18.846196920205319</v>
      </c>
    </row>
    <row r="189" spans="1:14" ht="13.5" thickBot="1" x14ac:dyDescent="0.25">
      <c r="A189" s="48" t="s">
        <v>504</v>
      </c>
      <c r="B189" s="224" t="s">
        <v>503</v>
      </c>
      <c r="C189" s="48" t="s">
        <v>25</v>
      </c>
      <c r="D189" s="226">
        <v>7424</v>
      </c>
      <c r="E189" s="225">
        <v>20836</v>
      </c>
      <c r="F189" s="225">
        <v>1409</v>
      </c>
      <c r="G189" s="225">
        <v>1851</v>
      </c>
      <c r="H189" s="225">
        <v>24096</v>
      </c>
      <c r="I189" s="225">
        <v>94524</v>
      </c>
      <c r="J189" s="225">
        <v>5068</v>
      </c>
      <c r="K189" s="225">
        <v>99592</v>
      </c>
      <c r="L189" s="225">
        <v>49899</v>
      </c>
      <c r="M189" s="225">
        <v>173587</v>
      </c>
      <c r="N189" s="227">
        <f t="shared" si="2"/>
        <v>23.381869612068964</v>
      </c>
    </row>
    <row r="190" spans="1:14" ht="13.5" thickBot="1" x14ac:dyDescent="0.25">
      <c r="A190" s="48" t="s">
        <v>510</v>
      </c>
      <c r="B190" s="224" t="s">
        <v>509</v>
      </c>
      <c r="C190" s="48" t="s">
        <v>25</v>
      </c>
      <c r="D190" s="226">
        <v>9765</v>
      </c>
      <c r="E190" s="225">
        <v>12187</v>
      </c>
      <c r="F190" s="225">
        <v>0</v>
      </c>
      <c r="G190" s="225">
        <v>2000</v>
      </c>
      <c r="H190" s="225">
        <v>14187</v>
      </c>
      <c r="I190" s="225">
        <v>193390</v>
      </c>
      <c r="J190" s="225">
        <v>52059</v>
      </c>
      <c r="K190" s="225">
        <v>245449</v>
      </c>
      <c r="L190" s="225">
        <v>76562</v>
      </c>
      <c r="M190" s="225">
        <v>336198</v>
      </c>
      <c r="N190" s="227">
        <f t="shared" si="2"/>
        <v>34.428878648233486</v>
      </c>
    </row>
    <row r="191" spans="1:14" ht="13.5" thickBot="1" x14ac:dyDescent="0.25">
      <c r="A191" s="48" t="s">
        <v>520</v>
      </c>
      <c r="B191" s="224" t="s">
        <v>519</v>
      </c>
      <c r="C191" s="48" t="s">
        <v>25</v>
      </c>
      <c r="D191" s="226">
        <v>9623</v>
      </c>
      <c r="E191" s="225">
        <v>10937</v>
      </c>
      <c r="F191" s="225">
        <v>660</v>
      </c>
      <c r="G191" s="225">
        <v>6466</v>
      </c>
      <c r="H191" s="225">
        <v>18063</v>
      </c>
      <c r="I191" s="225">
        <v>69789</v>
      </c>
      <c r="J191" s="225">
        <v>43997</v>
      </c>
      <c r="K191" s="225">
        <v>113786</v>
      </c>
      <c r="L191" s="225">
        <v>44052</v>
      </c>
      <c r="M191" s="225">
        <v>175901</v>
      </c>
      <c r="N191" s="227">
        <f t="shared" si="2"/>
        <v>18.279226852332954</v>
      </c>
    </row>
    <row r="192" spans="1:14" ht="13.5" thickBot="1" x14ac:dyDescent="0.25">
      <c r="A192" s="48" t="s">
        <v>524</v>
      </c>
      <c r="B192" s="224" t="s">
        <v>523</v>
      </c>
      <c r="C192" s="48" t="s">
        <v>25</v>
      </c>
      <c r="D192" s="226">
        <v>7656</v>
      </c>
      <c r="E192" s="225">
        <v>7520</v>
      </c>
      <c r="F192" s="225">
        <v>1557</v>
      </c>
      <c r="G192" s="225">
        <v>815</v>
      </c>
      <c r="H192" s="225">
        <v>9892</v>
      </c>
      <c r="I192" s="225">
        <v>48371</v>
      </c>
      <c r="J192" s="225">
        <v>6762</v>
      </c>
      <c r="K192" s="225">
        <v>55133</v>
      </c>
      <c r="L192" s="225">
        <v>22671</v>
      </c>
      <c r="M192" s="225">
        <v>87696</v>
      </c>
      <c r="N192" s="227">
        <f t="shared" si="2"/>
        <v>11.454545454545455</v>
      </c>
    </row>
    <row r="193" spans="1:14" ht="13.5" thickBot="1" x14ac:dyDescent="0.25">
      <c r="A193" s="48" t="s">
        <v>536</v>
      </c>
      <c r="B193" s="224" t="s">
        <v>535</v>
      </c>
      <c r="C193" s="48" t="s">
        <v>25</v>
      </c>
      <c r="D193" s="226">
        <v>8354</v>
      </c>
      <c r="E193" s="225">
        <v>11861</v>
      </c>
      <c r="F193" s="225">
        <v>4629</v>
      </c>
      <c r="G193" s="225">
        <v>13625</v>
      </c>
      <c r="H193" s="225">
        <v>30115</v>
      </c>
      <c r="I193" s="225">
        <v>241606</v>
      </c>
      <c r="J193" s="225">
        <v>91028</v>
      </c>
      <c r="K193" s="225">
        <v>332634</v>
      </c>
      <c r="L193" s="225">
        <v>89509</v>
      </c>
      <c r="M193" s="225">
        <v>452258</v>
      </c>
      <c r="N193" s="227">
        <f t="shared" si="2"/>
        <v>54.136700981565717</v>
      </c>
    </row>
    <row r="194" spans="1:14" ht="13.5" thickBot="1" x14ac:dyDescent="0.25">
      <c r="A194" s="48" t="s">
        <v>554</v>
      </c>
      <c r="B194" s="224" t="s">
        <v>553</v>
      </c>
      <c r="C194" s="48" t="s">
        <v>25</v>
      </c>
      <c r="D194" s="226">
        <v>8640</v>
      </c>
      <c r="E194" s="225">
        <v>14401</v>
      </c>
      <c r="F194" s="225">
        <v>1047</v>
      </c>
      <c r="G194" s="225">
        <v>4241</v>
      </c>
      <c r="H194" s="225">
        <v>19689</v>
      </c>
      <c r="I194" s="225">
        <v>126442</v>
      </c>
      <c r="J194" s="225">
        <v>21045</v>
      </c>
      <c r="K194" s="225">
        <v>147487</v>
      </c>
      <c r="L194" s="225">
        <v>142324</v>
      </c>
      <c r="M194" s="225">
        <v>309500</v>
      </c>
      <c r="N194" s="227">
        <f t="shared" si="2"/>
        <v>35.82175925925926</v>
      </c>
    </row>
    <row r="195" spans="1:14" ht="13.5" thickBot="1" x14ac:dyDescent="0.25">
      <c r="A195" s="48" t="s">
        <v>564</v>
      </c>
      <c r="B195" s="224" t="s">
        <v>563</v>
      </c>
      <c r="C195" s="48" t="s">
        <v>25</v>
      </c>
      <c r="D195" s="226">
        <v>9969</v>
      </c>
      <c r="E195" s="225">
        <v>24903</v>
      </c>
      <c r="F195" s="225">
        <v>7071</v>
      </c>
      <c r="G195" s="225">
        <v>15594</v>
      </c>
      <c r="H195" s="225">
        <v>47568</v>
      </c>
      <c r="I195" s="225">
        <v>309914</v>
      </c>
      <c r="J195" s="225">
        <v>17925</v>
      </c>
      <c r="K195" s="225">
        <v>327839</v>
      </c>
      <c r="L195" s="225">
        <v>121749</v>
      </c>
      <c r="M195" s="225">
        <v>497156</v>
      </c>
      <c r="N195" s="227">
        <f t="shared" si="2"/>
        <v>49.870197612599057</v>
      </c>
    </row>
    <row r="196" spans="1:14" ht="13.5" thickBot="1" x14ac:dyDescent="0.25">
      <c r="A196" s="48" t="s">
        <v>568</v>
      </c>
      <c r="B196" s="224" t="s">
        <v>567</v>
      </c>
      <c r="C196" s="48" t="s">
        <v>25</v>
      </c>
      <c r="D196" s="226">
        <v>7034</v>
      </c>
      <c r="E196" s="225">
        <v>18432</v>
      </c>
      <c r="F196" s="225">
        <v>395</v>
      </c>
      <c r="G196" s="225">
        <v>6061</v>
      </c>
      <c r="H196" s="225">
        <v>24888</v>
      </c>
      <c r="I196" s="225">
        <v>93694</v>
      </c>
      <c r="J196" s="225">
        <v>5911</v>
      </c>
      <c r="K196" s="225">
        <v>99605</v>
      </c>
      <c r="L196" s="225">
        <v>69813</v>
      </c>
      <c r="M196" s="225">
        <v>194306</v>
      </c>
      <c r="N196" s="227">
        <f t="shared" ref="N196:N259" si="3">M196/D196</f>
        <v>27.623827125390957</v>
      </c>
    </row>
    <row r="197" spans="1:14" ht="13.5" thickBot="1" x14ac:dyDescent="0.25">
      <c r="A197" s="48" t="s">
        <v>576</v>
      </c>
      <c r="B197" s="224" t="s">
        <v>575</v>
      </c>
      <c r="C197" s="48" t="s">
        <v>25</v>
      </c>
      <c r="D197" s="226">
        <v>8833</v>
      </c>
      <c r="E197" s="225">
        <v>14200</v>
      </c>
      <c r="F197" s="225">
        <v>3402</v>
      </c>
      <c r="G197" s="225">
        <v>4600</v>
      </c>
      <c r="H197" s="225">
        <v>22202</v>
      </c>
      <c r="I197" s="225">
        <v>154426</v>
      </c>
      <c r="J197" s="225">
        <v>25700</v>
      </c>
      <c r="K197" s="225">
        <v>180126</v>
      </c>
      <c r="L197" s="225">
        <v>223819</v>
      </c>
      <c r="M197" s="225">
        <v>426147</v>
      </c>
      <c r="N197" s="227">
        <f t="shared" si="3"/>
        <v>48.244877165176042</v>
      </c>
    </row>
    <row r="198" spans="1:14" ht="13.5" thickBot="1" x14ac:dyDescent="0.25">
      <c r="A198" s="48" t="s">
        <v>584</v>
      </c>
      <c r="B198" s="224" t="s">
        <v>583</v>
      </c>
      <c r="C198" s="48" t="s">
        <v>25</v>
      </c>
      <c r="D198" s="226">
        <v>11503</v>
      </c>
      <c r="E198" s="225">
        <v>21067</v>
      </c>
      <c r="F198" s="225">
        <v>10105</v>
      </c>
      <c r="G198" s="225">
        <v>27298</v>
      </c>
      <c r="H198" s="225">
        <v>58470</v>
      </c>
      <c r="I198" s="225">
        <v>288501</v>
      </c>
      <c r="J198" s="225">
        <v>79048</v>
      </c>
      <c r="K198" s="225">
        <v>367549</v>
      </c>
      <c r="L198" s="225">
        <v>170454</v>
      </c>
      <c r="M198" s="225">
        <v>596473</v>
      </c>
      <c r="N198" s="227">
        <f t="shared" si="3"/>
        <v>51.853690341650001</v>
      </c>
    </row>
    <row r="199" spans="1:14" ht="13.5" thickBot="1" x14ac:dyDescent="0.25">
      <c r="A199" s="48" t="s">
        <v>610</v>
      </c>
      <c r="B199" s="224" t="s">
        <v>609</v>
      </c>
      <c r="C199" s="48" t="s">
        <v>25</v>
      </c>
      <c r="D199" s="226">
        <v>8891</v>
      </c>
      <c r="E199" s="225">
        <v>17994</v>
      </c>
      <c r="F199" s="225">
        <v>1879</v>
      </c>
      <c r="G199" s="225">
        <v>3025</v>
      </c>
      <c r="H199" s="225">
        <v>22898</v>
      </c>
      <c r="I199" s="225">
        <v>189155</v>
      </c>
      <c r="J199" s="225">
        <v>15269</v>
      </c>
      <c r="K199" s="225">
        <v>204424</v>
      </c>
      <c r="L199" s="225">
        <v>96521</v>
      </c>
      <c r="M199" s="225">
        <v>323843</v>
      </c>
      <c r="N199" s="227">
        <f t="shared" si="3"/>
        <v>36.423686874367341</v>
      </c>
    </row>
    <row r="200" spans="1:14" ht="13.5" thickBot="1" x14ac:dyDescent="0.25">
      <c r="A200" s="48" t="s">
        <v>618</v>
      </c>
      <c r="B200" s="224" t="s">
        <v>617</v>
      </c>
      <c r="C200" s="48" t="s">
        <v>25</v>
      </c>
      <c r="D200" s="226">
        <v>8543</v>
      </c>
      <c r="E200" s="225">
        <v>15447</v>
      </c>
      <c r="F200" s="225">
        <v>2357</v>
      </c>
      <c r="G200" s="225">
        <v>1800</v>
      </c>
      <c r="H200" s="225">
        <v>19604</v>
      </c>
      <c r="I200" s="225">
        <v>77430</v>
      </c>
      <c r="J200" s="225">
        <v>6587</v>
      </c>
      <c r="K200" s="225">
        <v>84017</v>
      </c>
      <c r="L200" s="225">
        <v>113434</v>
      </c>
      <c r="M200" s="225">
        <v>217055</v>
      </c>
      <c r="N200" s="227">
        <f t="shared" si="3"/>
        <v>25.407351047641345</v>
      </c>
    </row>
    <row r="201" spans="1:14" ht="13.5" thickBot="1" x14ac:dyDescent="0.25">
      <c r="A201" s="48" t="s">
        <v>626</v>
      </c>
      <c r="B201" s="224" t="s">
        <v>625</v>
      </c>
      <c r="C201" s="48" t="s">
        <v>25</v>
      </c>
      <c r="D201" s="226">
        <v>7580</v>
      </c>
      <c r="E201" s="225">
        <v>36931</v>
      </c>
      <c r="F201" s="225">
        <v>9286</v>
      </c>
      <c r="G201" s="225">
        <v>9375</v>
      </c>
      <c r="H201" s="225">
        <v>55592</v>
      </c>
      <c r="I201" s="225">
        <v>221974</v>
      </c>
      <c r="J201" s="225">
        <v>25841</v>
      </c>
      <c r="K201" s="225">
        <v>247815</v>
      </c>
      <c r="L201" s="225">
        <v>118529</v>
      </c>
      <c r="M201" s="225">
        <v>421936</v>
      </c>
      <c r="N201" s="227">
        <f t="shared" si="3"/>
        <v>55.664379947229548</v>
      </c>
    </row>
    <row r="202" spans="1:14" ht="13.5" thickBot="1" x14ac:dyDescent="0.25">
      <c r="A202" s="48" t="s">
        <v>634</v>
      </c>
      <c r="B202" s="224" t="s">
        <v>633</v>
      </c>
      <c r="C202" s="48" t="s">
        <v>25</v>
      </c>
      <c r="D202" s="226">
        <v>7903</v>
      </c>
      <c r="E202" s="225">
        <v>4971</v>
      </c>
      <c r="F202" s="225">
        <v>782</v>
      </c>
      <c r="G202" s="225">
        <v>1000</v>
      </c>
      <c r="H202" s="225">
        <v>6753</v>
      </c>
      <c r="I202" s="225">
        <v>79926</v>
      </c>
      <c r="J202" s="225">
        <v>57718</v>
      </c>
      <c r="K202" s="225">
        <v>137644</v>
      </c>
      <c r="L202" s="225">
        <v>99019</v>
      </c>
      <c r="M202" s="225">
        <v>243416</v>
      </c>
      <c r="N202" s="227">
        <f t="shared" si="3"/>
        <v>30.800455523219032</v>
      </c>
    </row>
    <row r="203" spans="1:14" ht="13.5" thickBot="1" x14ac:dyDescent="0.25">
      <c r="A203" s="48" t="s">
        <v>650</v>
      </c>
      <c r="B203" s="224" t="s">
        <v>649</v>
      </c>
      <c r="C203" s="48" t="s">
        <v>25</v>
      </c>
      <c r="D203" s="226">
        <v>11480</v>
      </c>
      <c r="E203" s="225">
        <v>13218</v>
      </c>
      <c r="F203" s="225">
        <v>6976</v>
      </c>
      <c r="G203" s="225">
        <v>9955</v>
      </c>
      <c r="H203" s="225">
        <v>30149</v>
      </c>
      <c r="I203" s="225">
        <v>253604</v>
      </c>
      <c r="J203" s="225">
        <v>18012</v>
      </c>
      <c r="K203" s="225">
        <v>271616</v>
      </c>
      <c r="L203" s="225">
        <v>119336</v>
      </c>
      <c r="M203" s="225">
        <v>421101</v>
      </c>
      <c r="N203" s="227">
        <f t="shared" si="3"/>
        <v>36.681271777003481</v>
      </c>
    </row>
    <row r="204" spans="1:14" ht="13.5" thickBot="1" x14ac:dyDescent="0.25">
      <c r="A204" s="48" t="s">
        <v>652</v>
      </c>
      <c r="B204" s="224" t="s">
        <v>651</v>
      </c>
      <c r="C204" s="48" t="s">
        <v>25</v>
      </c>
      <c r="D204" s="226">
        <v>7798</v>
      </c>
      <c r="E204" s="225">
        <v>19841</v>
      </c>
      <c r="F204" s="225">
        <v>5810</v>
      </c>
      <c r="G204" s="225">
        <v>3448</v>
      </c>
      <c r="H204" s="225">
        <v>29099</v>
      </c>
      <c r="I204" s="225">
        <v>115137</v>
      </c>
      <c r="J204" s="225">
        <v>8728</v>
      </c>
      <c r="K204" s="225">
        <v>123865</v>
      </c>
      <c r="L204" s="225">
        <v>60136</v>
      </c>
      <c r="M204" s="225">
        <v>213100</v>
      </c>
      <c r="N204" s="227">
        <f t="shared" si="3"/>
        <v>27.327519876891511</v>
      </c>
    </row>
    <row r="205" spans="1:14" ht="13.5" thickBot="1" x14ac:dyDescent="0.25">
      <c r="A205" s="48" t="s">
        <v>660</v>
      </c>
      <c r="B205" s="224" t="s">
        <v>659</v>
      </c>
      <c r="C205" s="48" t="s">
        <v>25</v>
      </c>
      <c r="D205" s="226">
        <v>7357</v>
      </c>
      <c r="E205" s="225">
        <v>18054</v>
      </c>
      <c r="F205" s="225">
        <v>3072</v>
      </c>
      <c r="G205" s="225">
        <v>2650</v>
      </c>
      <c r="H205" s="225">
        <v>23776</v>
      </c>
      <c r="I205" s="225">
        <v>97376</v>
      </c>
      <c r="J205" s="225">
        <v>1219</v>
      </c>
      <c r="K205" s="225">
        <v>98595</v>
      </c>
      <c r="L205" s="225">
        <v>22998</v>
      </c>
      <c r="M205" s="225">
        <v>145369</v>
      </c>
      <c r="N205" s="227">
        <f t="shared" si="3"/>
        <v>19.759276879162702</v>
      </c>
    </row>
    <row r="206" spans="1:14" ht="13.5" thickBot="1" x14ac:dyDescent="0.25">
      <c r="A206" s="48" t="s">
        <v>666</v>
      </c>
      <c r="B206" s="224" t="s">
        <v>665</v>
      </c>
      <c r="C206" s="48" t="s">
        <v>25</v>
      </c>
      <c r="D206" s="226">
        <v>7103</v>
      </c>
      <c r="E206" s="225">
        <v>40478</v>
      </c>
      <c r="F206" s="225">
        <v>0</v>
      </c>
      <c r="G206" s="225">
        <v>1225</v>
      </c>
      <c r="H206" s="225">
        <v>41703</v>
      </c>
      <c r="I206" s="225">
        <v>151095</v>
      </c>
      <c r="J206" s="225">
        <v>14624</v>
      </c>
      <c r="K206" s="225">
        <v>165719</v>
      </c>
      <c r="L206" s="225">
        <v>110963</v>
      </c>
      <c r="M206" s="225">
        <v>318385</v>
      </c>
      <c r="N206" s="227">
        <f t="shared" si="3"/>
        <v>44.824018020554696</v>
      </c>
    </row>
    <row r="207" spans="1:14" ht="13.5" thickBot="1" x14ac:dyDescent="0.25">
      <c r="A207" s="48" t="s">
        <v>670</v>
      </c>
      <c r="B207" s="224" t="s">
        <v>669</v>
      </c>
      <c r="C207" s="48" t="s">
        <v>25</v>
      </c>
      <c r="D207" s="226">
        <v>10188</v>
      </c>
      <c r="E207" s="225">
        <v>51373</v>
      </c>
      <c r="F207" s="225">
        <v>3000</v>
      </c>
      <c r="G207" s="225">
        <v>13000</v>
      </c>
      <c r="H207" s="225">
        <v>67373</v>
      </c>
      <c r="I207" s="225">
        <v>197770</v>
      </c>
      <c r="J207" s="225">
        <v>7074</v>
      </c>
      <c r="K207" s="225">
        <v>204844</v>
      </c>
      <c r="L207" s="225">
        <v>183690</v>
      </c>
      <c r="M207" s="225">
        <v>455907</v>
      </c>
      <c r="N207" s="227">
        <f t="shared" si="3"/>
        <v>44.749411071849238</v>
      </c>
    </row>
    <row r="208" spans="1:14" ht="13.5" thickBot="1" x14ac:dyDescent="0.25">
      <c r="A208" s="48" t="s">
        <v>676</v>
      </c>
      <c r="B208" s="224" t="s">
        <v>675</v>
      </c>
      <c r="C208" s="48" t="s">
        <v>25</v>
      </c>
      <c r="D208" s="226">
        <v>7272</v>
      </c>
      <c r="E208" s="225">
        <v>19976</v>
      </c>
      <c r="F208" s="225">
        <v>1802</v>
      </c>
      <c r="G208" s="225">
        <v>5232</v>
      </c>
      <c r="H208" s="225">
        <v>27010</v>
      </c>
      <c r="I208" s="225">
        <v>131222</v>
      </c>
      <c r="J208" s="225">
        <v>65374</v>
      </c>
      <c r="K208" s="225">
        <v>196596</v>
      </c>
      <c r="L208" s="225">
        <v>76005</v>
      </c>
      <c r="M208" s="225">
        <v>299611</v>
      </c>
      <c r="N208" s="227">
        <f t="shared" si="3"/>
        <v>41.200632563256328</v>
      </c>
    </row>
    <row r="209" spans="1:14" ht="13.5" thickBot="1" x14ac:dyDescent="0.25">
      <c r="A209" s="48" t="s">
        <v>682</v>
      </c>
      <c r="B209" s="224" t="s">
        <v>681</v>
      </c>
      <c r="C209" s="48" t="s">
        <v>25</v>
      </c>
      <c r="D209" s="226">
        <v>11377</v>
      </c>
      <c r="E209" s="225">
        <v>13992</v>
      </c>
      <c r="F209" s="225">
        <v>1796</v>
      </c>
      <c r="G209" s="225">
        <v>6304</v>
      </c>
      <c r="H209" s="225">
        <v>22092</v>
      </c>
      <c r="I209" s="225">
        <v>183480</v>
      </c>
      <c r="J209" s="225">
        <v>34390</v>
      </c>
      <c r="K209" s="225">
        <v>217870</v>
      </c>
      <c r="L209" s="225">
        <v>55186</v>
      </c>
      <c r="M209" s="225">
        <v>295148</v>
      </c>
      <c r="N209" s="227">
        <f t="shared" si="3"/>
        <v>25.942515601652456</v>
      </c>
    </row>
    <row r="210" spans="1:14" ht="13.5" thickBot="1" x14ac:dyDescent="0.25">
      <c r="A210" s="48" t="s">
        <v>694</v>
      </c>
      <c r="B210" s="224" t="s">
        <v>693</v>
      </c>
      <c r="C210" s="48" t="s">
        <v>25</v>
      </c>
      <c r="D210" s="226">
        <v>8386</v>
      </c>
      <c r="E210" s="225">
        <v>23066</v>
      </c>
      <c r="F210" s="225">
        <v>386</v>
      </c>
      <c r="G210" s="225">
        <v>2500</v>
      </c>
      <c r="H210" s="225">
        <v>25952</v>
      </c>
      <c r="I210" s="225">
        <v>206977</v>
      </c>
      <c r="J210" s="225">
        <v>40821</v>
      </c>
      <c r="K210" s="225">
        <v>247798</v>
      </c>
      <c r="L210" s="225">
        <v>80259</v>
      </c>
      <c r="M210" s="225">
        <v>354009</v>
      </c>
      <c r="N210" s="227">
        <f t="shared" si="3"/>
        <v>42.214285714285715</v>
      </c>
    </row>
    <row r="211" spans="1:14" ht="13.5" thickBot="1" x14ac:dyDescent="0.25">
      <c r="A211" s="48" t="s">
        <v>700</v>
      </c>
      <c r="B211" s="224" t="s">
        <v>699</v>
      </c>
      <c r="C211" s="48" t="s">
        <v>25</v>
      </c>
      <c r="D211" s="226">
        <v>9110</v>
      </c>
      <c r="E211" s="225">
        <v>19524</v>
      </c>
      <c r="F211" s="225">
        <v>6862</v>
      </c>
      <c r="G211" s="225">
        <v>15622</v>
      </c>
      <c r="H211" s="225">
        <v>42008</v>
      </c>
      <c r="I211" s="225">
        <v>141607</v>
      </c>
      <c r="J211" s="225">
        <v>11277</v>
      </c>
      <c r="K211" s="225">
        <v>152884</v>
      </c>
      <c r="L211" s="225">
        <v>36432</v>
      </c>
      <c r="M211" s="225">
        <v>231324</v>
      </c>
      <c r="N211" s="227">
        <f t="shared" si="3"/>
        <v>25.392316136114161</v>
      </c>
    </row>
    <row r="212" spans="1:14" ht="13.5" thickBot="1" x14ac:dyDescent="0.25">
      <c r="A212" s="48" t="s">
        <v>702</v>
      </c>
      <c r="B212" s="224" t="s">
        <v>701</v>
      </c>
      <c r="C212" s="48" t="s">
        <v>25</v>
      </c>
      <c r="D212" s="226">
        <v>9645</v>
      </c>
      <c r="E212" s="225">
        <v>37613</v>
      </c>
      <c r="F212" s="225">
        <v>9022</v>
      </c>
      <c r="G212" s="225">
        <v>5596</v>
      </c>
      <c r="H212" s="225">
        <v>52231</v>
      </c>
      <c r="I212" s="225">
        <v>223109</v>
      </c>
      <c r="J212" s="225">
        <v>122702</v>
      </c>
      <c r="K212" s="225">
        <v>345811</v>
      </c>
      <c r="L212" s="225">
        <v>76641</v>
      </c>
      <c r="M212" s="225">
        <v>474683</v>
      </c>
      <c r="N212" s="227">
        <f t="shared" si="3"/>
        <v>49.215448418869883</v>
      </c>
    </row>
    <row r="213" spans="1:14" ht="13.5" thickBot="1" x14ac:dyDescent="0.25">
      <c r="A213" s="48" t="s">
        <v>718</v>
      </c>
      <c r="B213" s="224" t="s">
        <v>717</v>
      </c>
      <c r="C213" s="48" t="s">
        <v>25</v>
      </c>
      <c r="D213" s="226">
        <v>9301</v>
      </c>
      <c r="E213" s="225">
        <v>15251</v>
      </c>
      <c r="F213" s="225">
        <v>0</v>
      </c>
      <c r="G213" s="225">
        <v>4598</v>
      </c>
      <c r="H213" s="225">
        <v>19849</v>
      </c>
      <c r="I213" s="225">
        <v>117389</v>
      </c>
      <c r="J213" s="225">
        <v>9900</v>
      </c>
      <c r="K213" s="225">
        <v>127289</v>
      </c>
      <c r="L213" s="225">
        <v>99971</v>
      </c>
      <c r="M213" s="225">
        <v>247109</v>
      </c>
      <c r="N213" s="227">
        <f t="shared" si="3"/>
        <v>26.568003440490269</v>
      </c>
    </row>
    <row r="214" spans="1:14" ht="13.5" thickBot="1" x14ac:dyDescent="0.25">
      <c r="A214" s="48" t="s">
        <v>722</v>
      </c>
      <c r="B214" s="224" t="s">
        <v>721</v>
      </c>
      <c r="C214" s="48" t="s">
        <v>25</v>
      </c>
      <c r="D214" s="226">
        <v>7851</v>
      </c>
      <c r="E214" s="225">
        <v>10252</v>
      </c>
      <c r="F214" s="225">
        <v>3639</v>
      </c>
      <c r="G214" s="225">
        <v>5420</v>
      </c>
      <c r="H214" s="225">
        <v>19311</v>
      </c>
      <c r="I214" s="225">
        <v>107079</v>
      </c>
      <c r="J214" s="225">
        <v>0</v>
      </c>
      <c r="K214" s="225">
        <v>107079</v>
      </c>
      <c r="L214" s="225">
        <v>27922</v>
      </c>
      <c r="M214" s="225">
        <v>154312</v>
      </c>
      <c r="N214" s="227">
        <f t="shared" si="3"/>
        <v>19.655075786524009</v>
      </c>
    </row>
    <row r="215" spans="1:14" ht="13.5" thickBot="1" x14ac:dyDescent="0.25">
      <c r="A215" s="48" t="s">
        <v>724</v>
      </c>
      <c r="B215" s="224" t="s">
        <v>723</v>
      </c>
      <c r="C215" s="48" t="s">
        <v>25</v>
      </c>
      <c r="D215" s="226">
        <v>10250</v>
      </c>
      <c r="E215" s="225">
        <v>23748</v>
      </c>
      <c r="F215" s="225">
        <v>4641</v>
      </c>
      <c r="G215" s="225">
        <v>5564</v>
      </c>
      <c r="H215" s="225">
        <v>33953</v>
      </c>
      <c r="I215" s="225">
        <v>158111</v>
      </c>
      <c r="J215" s="225">
        <v>5044</v>
      </c>
      <c r="K215" s="225">
        <v>163155</v>
      </c>
      <c r="L215" s="225">
        <v>128095</v>
      </c>
      <c r="M215" s="225">
        <v>325203</v>
      </c>
      <c r="N215" s="227">
        <f t="shared" si="3"/>
        <v>31.727121951219512</v>
      </c>
    </row>
    <row r="216" spans="1:14" ht="13.5" thickBot="1" x14ac:dyDescent="0.25">
      <c r="A216" s="48" t="s">
        <v>734</v>
      </c>
      <c r="B216" s="224" t="s">
        <v>733</v>
      </c>
      <c r="C216" s="48" t="s">
        <v>25</v>
      </c>
      <c r="D216" s="226">
        <v>10662</v>
      </c>
      <c r="E216" s="225">
        <v>9162</v>
      </c>
      <c r="F216" s="225">
        <v>2289</v>
      </c>
      <c r="G216" s="225">
        <v>2775</v>
      </c>
      <c r="H216" s="225">
        <v>14226</v>
      </c>
      <c r="I216" s="225">
        <v>109314</v>
      </c>
      <c r="J216" s="225">
        <v>19241</v>
      </c>
      <c r="K216" s="225">
        <v>128555</v>
      </c>
      <c r="L216" s="225">
        <v>39745</v>
      </c>
      <c r="M216" s="225">
        <v>182526</v>
      </c>
      <c r="N216" s="227">
        <f t="shared" si="3"/>
        <v>17.119302194710187</v>
      </c>
    </row>
    <row r="217" spans="1:14" ht="13.5" thickBot="1" x14ac:dyDescent="0.25">
      <c r="A217" s="48" t="s">
        <v>738</v>
      </c>
      <c r="B217" s="224" t="s">
        <v>737</v>
      </c>
      <c r="C217" s="48" t="s">
        <v>25</v>
      </c>
      <c r="D217" s="226">
        <v>11985</v>
      </c>
      <c r="E217" s="225">
        <v>36356</v>
      </c>
      <c r="F217" s="225">
        <v>5036</v>
      </c>
      <c r="G217" s="225">
        <v>4733</v>
      </c>
      <c r="H217" s="225">
        <v>46125</v>
      </c>
      <c r="I217" s="225">
        <v>199178</v>
      </c>
      <c r="J217" s="225">
        <v>33771</v>
      </c>
      <c r="K217" s="225">
        <v>232949</v>
      </c>
      <c r="L217" s="225">
        <v>80185</v>
      </c>
      <c r="M217" s="225">
        <v>359259</v>
      </c>
      <c r="N217" s="227">
        <f t="shared" si="3"/>
        <v>29.975719649561952</v>
      </c>
    </row>
    <row r="218" spans="1:14" ht="13.5" thickBot="1" x14ac:dyDescent="0.25">
      <c r="A218" s="48" t="s">
        <v>740</v>
      </c>
      <c r="B218" s="224" t="s">
        <v>739</v>
      </c>
      <c r="C218" s="48" t="s">
        <v>25</v>
      </c>
      <c r="D218" s="226">
        <v>8147</v>
      </c>
      <c r="E218" s="225">
        <v>14637</v>
      </c>
      <c r="F218" s="225">
        <v>2490</v>
      </c>
      <c r="G218" s="225">
        <v>3412</v>
      </c>
      <c r="H218" s="225">
        <v>20539</v>
      </c>
      <c r="I218" s="225">
        <v>71203</v>
      </c>
      <c r="J218" s="225">
        <v>7558</v>
      </c>
      <c r="K218" s="225">
        <v>78761</v>
      </c>
      <c r="L218" s="225">
        <v>48461</v>
      </c>
      <c r="M218" s="225">
        <v>147761</v>
      </c>
      <c r="N218" s="227">
        <f t="shared" si="3"/>
        <v>18.136860193936418</v>
      </c>
    </row>
    <row r="219" spans="1:14" ht="13.5" thickBot="1" x14ac:dyDescent="0.25">
      <c r="A219" s="48" t="s">
        <v>748</v>
      </c>
      <c r="B219" s="224" t="s">
        <v>747</v>
      </c>
      <c r="C219" s="48" t="s">
        <v>25</v>
      </c>
      <c r="D219" s="226">
        <v>9714</v>
      </c>
      <c r="E219" s="225">
        <v>17441</v>
      </c>
      <c r="F219" s="225">
        <v>7715</v>
      </c>
      <c r="G219" s="225">
        <v>2445</v>
      </c>
      <c r="H219" s="225">
        <v>27601</v>
      </c>
      <c r="I219" s="225">
        <v>145410</v>
      </c>
      <c r="J219" s="225">
        <v>26625</v>
      </c>
      <c r="K219" s="225">
        <v>172035</v>
      </c>
      <c r="L219" s="225">
        <v>87481</v>
      </c>
      <c r="M219" s="225">
        <v>287117</v>
      </c>
      <c r="N219" s="227">
        <f t="shared" si="3"/>
        <v>29.557031089149682</v>
      </c>
    </row>
    <row r="220" spans="1:14" ht="13.5" thickBot="1" x14ac:dyDescent="0.25">
      <c r="A220" s="48" t="s">
        <v>776</v>
      </c>
      <c r="B220" s="224" t="s">
        <v>775</v>
      </c>
      <c r="C220" s="48" t="s">
        <v>25</v>
      </c>
      <c r="D220" s="226">
        <v>9514</v>
      </c>
      <c r="E220" s="225">
        <v>5014</v>
      </c>
      <c r="F220" s="225">
        <v>412</v>
      </c>
      <c r="G220" s="225">
        <v>1837</v>
      </c>
      <c r="H220" s="225">
        <v>7263</v>
      </c>
      <c r="I220" s="225">
        <v>38936</v>
      </c>
      <c r="J220" s="225">
        <v>15760</v>
      </c>
      <c r="K220" s="225">
        <v>54696</v>
      </c>
      <c r="L220" s="225">
        <v>5921</v>
      </c>
      <c r="M220" s="225">
        <v>67880</v>
      </c>
      <c r="N220" s="227">
        <f t="shared" si="3"/>
        <v>7.1347487912549923</v>
      </c>
    </row>
    <row r="221" spans="1:14" ht="13.5" thickBot="1" x14ac:dyDescent="0.25">
      <c r="A221" s="48" t="s">
        <v>790</v>
      </c>
      <c r="B221" s="224" t="s">
        <v>789</v>
      </c>
      <c r="C221" s="48" t="s">
        <v>25</v>
      </c>
      <c r="D221" s="226">
        <v>9138</v>
      </c>
      <c r="E221" s="225">
        <v>17191</v>
      </c>
      <c r="F221" s="225">
        <v>3664</v>
      </c>
      <c r="G221" s="225">
        <v>2353</v>
      </c>
      <c r="H221" s="225">
        <v>23208</v>
      </c>
      <c r="I221" s="225">
        <v>138126</v>
      </c>
      <c r="J221" s="225">
        <v>55679</v>
      </c>
      <c r="K221" s="225">
        <v>193805</v>
      </c>
      <c r="L221" s="225">
        <v>91764</v>
      </c>
      <c r="M221" s="225">
        <v>308777</v>
      </c>
      <c r="N221" s="227">
        <f t="shared" si="3"/>
        <v>33.790435543882687</v>
      </c>
    </row>
    <row r="222" spans="1:14" ht="13.5" thickBot="1" x14ac:dyDescent="0.25">
      <c r="A222" s="48" t="s">
        <v>792</v>
      </c>
      <c r="B222" s="224" t="s">
        <v>791</v>
      </c>
      <c r="C222" s="48" t="s">
        <v>25</v>
      </c>
      <c r="D222" s="226">
        <v>7370</v>
      </c>
      <c r="E222" s="225">
        <v>29600</v>
      </c>
      <c r="F222" s="225">
        <v>5870</v>
      </c>
      <c r="G222" s="225">
        <v>3400</v>
      </c>
      <c r="H222" s="225">
        <v>38870</v>
      </c>
      <c r="I222" s="225">
        <v>243862</v>
      </c>
      <c r="J222" s="225">
        <v>45007</v>
      </c>
      <c r="K222" s="225">
        <v>288869</v>
      </c>
      <c r="L222" s="225">
        <v>110116</v>
      </c>
      <c r="M222" s="225">
        <v>437855</v>
      </c>
      <c r="N222" s="227">
        <f t="shared" si="3"/>
        <v>59.410447761194028</v>
      </c>
    </row>
    <row r="223" spans="1:14" ht="13.5" thickBot="1" x14ac:dyDescent="0.25">
      <c r="A223" s="48" t="s">
        <v>796</v>
      </c>
      <c r="B223" s="224" t="s">
        <v>795</v>
      </c>
      <c r="C223" s="48" t="s">
        <v>25</v>
      </c>
      <c r="D223" s="226">
        <v>8533</v>
      </c>
      <c r="E223" s="225">
        <v>26563</v>
      </c>
      <c r="F223" s="225">
        <v>6000</v>
      </c>
      <c r="G223" s="225">
        <v>3695</v>
      </c>
      <c r="H223" s="225">
        <v>36258</v>
      </c>
      <c r="I223" s="225">
        <v>226983</v>
      </c>
      <c r="J223" s="225">
        <v>13514</v>
      </c>
      <c r="K223" s="225">
        <v>240497</v>
      </c>
      <c r="L223" s="225">
        <v>60651</v>
      </c>
      <c r="M223" s="225">
        <v>337406</v>
      </c>
      <c r="N223" s="227">
        <f t="shared" si="3"/>
        <v>39.54131020742998</v>
      </c>
    </row>
    <row r="224" spans="1:14" ht="13.5" thickBot="1" x14ac:dyDescent="0.25">
      <c r="A224" s="48" t="s">
        <v>798</v>
      </c>
      <c r="B224" s="224" t="s">
        <v>797</v>
      </c>
      <c r="C224" s="48" t="s">
        <v>25</v>
      </c>
      <c r="D224" s="226">
        <v>11811</v>
      </c>
      <c r="E224" s="225">
        <v>22715</v>
      </c>
      <c r="F224" s="225">
        <v>2400</v>
      </c>
      <c r="G224" s="225">
        <v>4743</v>
      </c>
      <c r="H224" s="225">
        <v>29858</v>
      </c>
      <c r="I224" s="225">
        <v>213097</v>
      </c>
      <c r="J224" s="225">
        <v>33660</v>
      </c>
      <c r="K224" s="225">
        <v>246757</v>
      </c>
      <c r="L224" s="225">
        <v>107870</v>
      </c>
      <c r="M224" s="225">
        <v>384485</v>
      </c>
      <c r="N224" s="227">
        <f t="shared" si="3"/>
        <v>32.553128439590211</v>
      </c>
    </row>
    <row r="225" spans="1:14" ht="13.5" thickBot="1" x14ac:dyDescent="0.25">
      <c r="A225" s="48" t="s">
        <v>804</v>
      </c>
      <c r="B225" s="224" t="s">
        <v>803</v>
      </c>
      <c r="C225" s="48" t="s">
        <v>25</v>
      </c>
      <c r="D225" s="226">
        <v>10014</v>
      </c>
      <c r="E225" s="225">
        <v>13718</v>
      </c>
      <c r="F225" s="225">
        <v>8558</v>
      </c>
      <c r="G225" s="225">
        <v>2657</v>
      </c>
      <c r="H225" s="225">
        <v>24933</v>
      </c>
      <c r="I225" s="225">
        <v>121763</v>
      </c>
      <c r="J225" s="225">
        <v>31883</v>
      </c>
      <c r="K225" s="225">
        <v>153646</v>
      </c>
      <c r="L225" s="225">
        <v>53340</v>
      </c>
      <c r="M225" s="225">
        <v>231919</v>
      </c>
      <c r="N225" s="227">
        <f t="shared" si="3"/>
        <v>23.159476732574397</v>
      </c>
    </row>
    <row r="226" spans="1:14" ht="13.5" thickBot="1" x14ac:dyDescent="0.25">
      <c r="A226" s="48" t="s">
        <v>19</v>
      </c>
      <c r="B226" s="224" t="s">
        <v>18</v>
      </c>
      <c r="C226" s="48" t="s">
        <v>22</v>
      </c>
      <c r="D226" s="226">
        <v>21133</v>
      </c>
      <c r="E226" s="225">
        <v>56944</v>
      </c>
      <c r="F226" s="225">
        <v>11719</v>
      </c>
      <c r="G226" s="225">
        <v>43897</v>
      </c>
      <c r="H226" s="225">
        <v>112560</v>
      </c>
      <c r="I226" s="225">
        <v>396749</v>
      </c>
      <c r="J226" s="225">
        <v>120408</v>
      </c>
      <c r="K226" s="225">
        <v>517157</v>
      </c>
      <c r="L226" s="225">
        <v>207113</v>
      </c>
      <c r="M226" s="225">
        <v>836830</v>
      </c>
      <c r="N226" s="227">
        <f t="shared" si="3"/>
        <v>39.598258647612738</v>
      </c>
    </row>
    <row r="227" spans="1:14" ht="13.5" thickBot="1" x14ac:dyDescent="0.25">
      <c r="A227" s="48" t="s">
        <v>36</v>
      </c>
      <c r="B227" s="224" t="s">
        <v>35</v>
      </c>
      <c r="C227" s="48" t="s">
        <v>22</v>
      </c>
      <c r="D227" s="226">
        <v>17401</v>
      </c>
      <c r="E227" s="225">
        <v>22762</v>
      </c>
      <c r="F227" s="225">
        <v>7868</v>
      </c>
      <c r="G227" s="225">
        <v>13400</v>
      </c>
      <c r="H227" s="225">
        <v>44030</v>
      </c>
      <c r="I227" s="225">
        <v>350389</v>
      </c>
      <c r="J227" s="225">
        <v>56265</v>
      </c>
      <c r="K227" s="225">
        <v>406654</v>
      </c>
      <c r="L227" s="225">
        <v>689499</v>
      </c>
      <c r="M227" s="225">
        <v>1140183</v>
      </c>
      <c r="N227" s="227">
        <f t="shared" si="3"/>
        <v>65.523992873972759</v>
      </c>
    </row>
    <row r="228" spans="1:14" ht="13.5" thickBot="1" x14ac:dyDescent="0.25">
      <c r="A228" s="48" t="s">
        <v>64</v>
      </c>
      <c r="B228" s="224" t="s">
        <v>63</v>
      </c>
      <c r="C228" s="48" t="s">
        <v>22</v>
      </c>
      <c r="D228" s="226">
        <v>21412</v>
      </c>
      <c r="E228" s="225">
        <v>64393</v>
      </c>
      <c r="F228" s="225">
        <v>19798</v>
      </c>
      <c r="G228" s="225">
        <v>18735</v>
      </c>
      <c r="H228" s="225">
        <v>102926</v>
      </c>
      <c r="I228" s="225">
        <v>521291</v>
      </c>
      <c r="J228" s="225">
        <v>157585</v>
      </c>
      <c r="K228" s="225">
        <v>678876</v>
      </c>
      <c r="L228" s="225">
        <v>587328</v>
      </c>
      <c r="M228" s="225">
        <v>1369130</v>
      </c>
      <c r="N228" s="227">
        <f t="shared" si="3"/>
        <v>63.942181954044464</v>
      </c>
    </row>
    <row r="229" spans="1:14" ht="13.5" thickBot="1" x14ac:dyDescent="0.25">
      <c r="A229" s="48" t="s">
        <v>68</v>
      </c>
      <c r="B229" s="224" t="s">
        <v>67</v>
      </c>
      <c r="C229" s="48" t="s">
        <v>22</v>
      </c>
      <c r="D229" s="226">
        <v>25883</v>
      </c>
      <c r="E229" s="225">
        <v>55100</v>
      </c>
      <c r="F229" s="225">
        <v>16000</v>
      </c>
      <c r="G229" s="225">
        <v>25000</v>
      </c>
      <c r="H229" s="225">
        <v>96100</v>
      </c>
      <c r="I229" s="225">
        <v>394581</v>
      </c>
      <c r="J229" s="225">
        <v>127224</v>
      </c>
      <c r="K229" s="225">
        <v>521805</v>
      </c>
      <c r="L229" s="225">
        <v>155377</v>
      </c>
      <c r="M229" s="225">
        <v>773282</v>
      </c>
      <c r="N229" s="227">
        <f t="shared" si="3"/>
        <v>29.876057644013446</v>
      </c>
    </row>
    <row r="230" spans="1:14" ht="13.5" thickBot="1" x14ac:dyDescent="0.25">
      <c r="A230" s="48" t="s">
        <v>88</v>
      </c>
      <c r="B230" s="224" t="s">
        <v>87</v>
      </c>
      <c r="C230" s="48" t="s">
        <v>22</v>
      </c>
      <c r="D230" s="226">
        <v>24787</v>
      </c>
      <c r="E230" s="225">
        <v>26155</v>
      </c>
      <c r="F230" s="225">
        <v>4896</v>
      </c>
      <c r="G230" s="225">
        <v>12390</v>
      </c>
      <c r="H230" s="225">
        <v>43441</v>
      </c>
      <c r="I230" s="225">
        <v>304479</v>
      </c>
      <c r="J230" s="225">
        <v>34235</v>
      </c>
      <c r="K230" s="225">
        <v>338714</v>
      </c>
      <c r="L230" s="225">
        <v>148563</v>
      </c>
      <c r="M230" s="225">
        <v>530718</v>
      </c>
      <c r="N230" s="227">
        <f t="shared" si="3"/>
        <v>21.411142937830313</v>
      </c>
    </row>
    <row r="231" spans="1:14" ht="13.5" thickBot="1" x14ac:dyDescent="0.25">
      <c r="A231" s="48" t="s">
        <v>94</v>
      </c>
      <c r="B231" s="224" t="s">
        <v>93</v>
      </c>
      <c r="C231" s="48" t="s">
        <v>22</v>
      </c>
      <c r="D231" s="226">
        <v>14970</v>
      </c>
      <c r="E231" s="225">
        <v>42893</v>
      </c>
      <c r="F231" s="225">
        <v>9220</v>
      </c>
      <c r="G231" s="225">
        <v>17520</v>
      </c>
      <c r="H231" s="225">
        <v>69633</v>
      </c>
      <c r="I231" s="225">
        <v>373233</v>
      </c>
      <c r="J231" s="225">
        <v>104026</v>
      </c>
      <c r="K231" s="225">
        <v>477259</v>
      </c>
      <c r="L231" s="225">
        <v>79387</v>
      </c>
      <c r="M231" s="225">
        <v>626279</v>
      </c>
      <c r="N231" s="227">
        <f t="shared" si="3"/>
        <v>41.835604542418167</v>
      </c>
    </row>
    <row r="232" spans="1:14" ht="13.5" thickBot="1" x14ac:dyDescent="0.25">
      <c r="A232" s="48" t="s">
        <v>104</v>
      </c>
      <c r="B232" s="224" t="s">
        <v>103</v>
      </c>
      <c r="C232" s="48" t="s">
        <v>22</v>
      </c>
      <c r="D232" s="226">
        <v>20025</v>
      </c>
      <c r="E232" s="225">
        <v>22958</v>
      </c>
      <c r="F232" s="225">
        <v>8181</v>
      </c>
      <c r="G232" s="225">
        <v>9590</v>
      </c>
      <c r="H232" s="225">
        <v>40729</v>
      </c>
      <c r="I232" s="225">
        <v>158819</v>
      </c>
      <c r="J232" s="225">
        <v>27546</v>
      </c>
      <c r="K232" s="225">
        <v>186365</v>
      </c>
      <c r="L232" s="225">
        <v>70290</v>
      </c>
      <c r="M232" s="225">
        <v>297384</v>
      </c>
      <c r="N232" s="227">
        <f t="shared" si="3"/>
        <v>14.85063670411985</v>
      </c>
    </row>
    <row r="233" spans="1:14" ht="13.5" thickBot="1" x14ac:dyDescent="0.25">
      <c r="A233" s="48" t="s">
        <v>116</v>
      </c>
      <c r="B233" s="224" t="s">
        <v>115</v>
      </c>
      <c r="C233" s="48" t="s">
        <v>22</v>
      </c>
      <c r="D233" s="226">
        <v>15175</v>
      </c>
      <c r="E233" s="225">
        <v>44411</v>
      </c>
      <c r="F233" s="225">
        <v>14171</v>
      </c>
      <c r="G233" s="225">
        <v>11999</v>
      </c>
      <c r="H233" s="225">
        <v>70581</v>
      </c>
      <c r="I233" s="225">
        <v>572983</v>
      </c>
      <c r="J233" s="225">
        <v>66007</v>
      </c>
      <c r="K233" s="225">
        <v>638990</v>
      </c>
      <c r="L233" s="225">
        <v>264686</v>
      </c>
      <c r="M233" s="225">
        <v>974257</v>
      </c>
      <c r="N233" s="227">
        <f t="shared" si="3"/>
        <v>64.201449752883036</v>
      </c>
    </row>
    <row r="234" spans="1:14" ht="13.5" thickBot="1" x14ac:dyDescent="0.25">
      <c r="A234" s="48" t="s">
        <v>118</v>
      </c>
      <c r="B234" s="224" t="s">
        <v>117</v>
      </c>
      <c r="C234" s="48" t="s">
        <v>22</v>
      </c>
      <c r="D234" s="226">
        <v>12667</v>
      </c>
      <c r="E234" s="225">
        <v>19528</v>
      </c>
      <c r="F234" s="225">
        <v>2662</v>
      </c>
      <c r="G234" s="225">
        <v>2480</v>
      </c>
      <c r="H234" s="225">
        <v>24670</v>
      </c>
      <c r="I234" s="225">
        <v>177625</v>
      </c>
      <c r="J234" s="225">
        <v>77757</v>
      </c>
      <c r="K234" s="225">
        <v>255382</v>
      </c>
      <c r="L234" s="225">
        <v>118574</v>
      </c>
      <c r="M234" s="225">
        <v>398626</v>
      </c>
      <c r="N234" s="227">
        <f t="shared" si="3"/>
        <v>31.469645535643799</v>
      </c>
    </row>
    <row r="235" spans="1:14" ht="13.5" thickBot="1" x14ac:dyDescent="0.25">
      <c r="A235" s="48" t="s">
        <v>122</v>
      </c>
      <c r="B235" s="224" t="s">
        <v>121</v>
      </c>
      <c r="C235" s="48" t="s">
        <v>22</v>
      </c>
      <c r="D235" s="226">
        <v>19336</v>
      </c>
      <c r="E235" s="225">
        <v>22991</v>
      </c>
      <c r="F235" s="225">
        <v>20824</v>
      </c>
      <c r="G235" s="225">
        <v>7260</v>
      </c>
      <c r="H235" s="225">
        <v>51075</v>
      </c>
      <c r="I235" s="225">
        <v>252293</v>
      </c>
      <c r="J235" s="225">
        <v>213856</v>
      </c>
      <c r="K235" s="225">
        <v>466149</v>
      </c>
      <c r="L235" s="225">
        <v>117205</v>
      </c>
      <c r="M235" s="225">
        <v>634429</v>
      </c>
      <c r="N235" s="227">
        <f t="shared" si="3"/>
        <v>32.810767480347536</v>
      </c>
    </row>
    <row r="236" spans="1:14" ht="13.5" thickBot="1" x14ac:dyDescent="0.25">
      <c r="A236" s="48" t="s">
        <v>158</v>
      </c>
      <c r="B236" s="224" t="s">
        <v>157</v>
      </c>
      <c r="C236" s="48" t="s">
        <v>22</v>
      </c>
      <c r="D236" s="226">
        <v>15068</v>
      </c>
      <c r="E236" s="225">
        <v>39920</v>
      </c>
      <c r="F236" s="225">
        <v>15998</v>
      </c>
      <c r="G236" s="225">
        <v>12500</v>
      </c>
      <c r="H236" s="225">
        <v>68418</v>
      </c>
      <c r="I236" s="225">
        <v>288002</v>
      </c>
      <c r="J236" s="225">
        <v>35359</v>
      </c>
      <c r="K236" s="225">
        <v>323361</v>
      </c>
      <c r="L236" s="225">
        <v>175881</v>
      </c>
      <c r="M236" s="225">
        <v>567660</v>
      </c>
      <c r="N236" s="227">
        <f t="shared" si="3"/>
        <v>37.673214759755773</v>
      </c>
    </row>
    <row r="237" spans="1:14" ht="13.5" thickBot="1" x14ac:dyDescent="0.25">
      <c r="A237" s="48" t="s">
        <v>162</v>
      </c>
      <c r="B237" s="224" t="s">
        <v>161</v>
      </c>
      <c r="C237" s="48" t="s">
        <v>22</v>
      </c>
      <c r="D237" s="226">
        <v>24370</v>
      </c>
      <c r="E237" s="225">
        <v>33025</v>
      </c>
      <c r="F237" s="225">
        <v>8656</v>
      </c>
      <c r="G237" s="225">
        <v>16518</v>
      </c>
      <c r="H237" s="225">
        <v>58199</v>
      </c>
      <c r="I237" s="225">
        <v>310870</v>
      </c>
      <c r="J237" s="225">
        <v>138870</v>
      </c>
      <c r="K237" s="225">
        <v>449740</v>
      </c>
      <c r="L237" s="225">
        <v>148573</v>
      </c>
      <c r="M237" s="225">
        <v>656512</v>
      </c>
      <c r="N237" s="227">
        <f t="shared" si="3"/>
        <v>26.93935166187936</v>
      </c>
    </row>
    <row r="238" spans="1:14" ht="13.5" thickBot="1" x14ac:dyDescent="0.25">
      <c r="A238" s="48" t="s">
        <v>166</v>
      </c>
      <c r="B238" s="224" t="s">
        <v>165</v>
      </c>
      <c r="C238" s="48" t="s">
        <v>22</v>
      </c>
      <c r="D238" s="226">
        <v>13894</v>
      </c>
      <c r="E238" s="225">
        <v>27852</v>
      </c>
      <c r="F238" s="225">
        <v>6521</v>
      </c>
      <c r="G238" s="225">
        <v>6686</v>
      </c>
      <c r="H238" s="225">
        <v>41059</v>
      </c>
      <c r="I238" s="225">
        <v>329156</v>
      </c>
      <c r="J238" s="225">
        <v>149986</v>
      </c>
      <c r="K238" s="225">
        <v>479142</v>
      </c>
      <c r="L238" s="225">
        <v>141222</v>
      </c>
      <c r="M238" s="225">
        <v>661423</v>
      </c>
      <c r="N238" s="227">
        <f t="shared" si="3"/>
        <v>47.604937383043037</v>
      </c>
    </row>
    <row r="239" spans="1:14" ht="13.5" thickBot="1" x14ac:dyDescent="0.25">
      <c r="A239" s="48" t="s">
        <v>168</v>
      </c>
      <c r="B239" s="224" t="s">
        <v>167</v>
      </c>
      <c r="C239" s="48" t="s">
        <v>22</v>
      </c>
      <c r="D239" s="226">
        <v>15010</v>
      </c>
      <c r="E239" s="225">
        <v>72049</v>
      </c>
      <c r="F239" s="225">
        <v>26910</v>
      </c>
      <c r="G239" s="225">
        <v>64731</v>
      </c>
      <c r="H239" s="225">
        <v>163690</v>
      </c>
      <c r="I239" s="225">
        <v>1042950</v>
      </c>
      <c r="J239" s="225">
        <v>52658</v>
      </c>
      <c r="K239" s="225">
        <v>1095608</v>
      </c>
      <c r="L239" s="225">
        <v>687795</v>
      </c>
      <c r="M239" s="225">
        <v>1947093</v>
      </c>
      <c r="N239" s="227">
        <f t="shared" si="3"/>
        <v>129.7197201865423</v>
      </c>
    </row>
    <row r="240" spans="1:14" ht="13.5" thickBot="1" x14ac:dyDescent="0.25">
      <c r="A240" s="48" t="s">
        <v>182</v>
      </c>
      <c r="B240" s="224" t="s">
        <v>181</v>
      </c>
      <c r="C240" s="48" t="s">
        <v>22</v>
      </c>
      <c r="D240" s="226">
        <v>12982</v>
      </c>
      <c r="E240" s="225">
        <v>13950</v>
      </c>
      <c r="F240" s="225">
        <v>6010</v>
      </c>
      <c r="G240" s="225">
        <v>7326</v>
      </c>
      <c r="H240" s="225">
        <v>27286</v>
      </c>
      <c r="I240" s="225">
        <v>191055</v>
      </c>
      <c r="J240" s="225">
        <v>25789</v>
      </c>
      <c r="K240" s="225">
        <v>216844</v>
      </c>
      <c r="L240" s="225">
        <v>73539</v>
      </c>
      <c r="M240" s="225">
        <v>317669</v>
      </c>
      <c r="N240" s="227">
        <f t="shared" si="3"/>
        <v>24.469958403943924</v>
      </c>
    </row>
    <row r="241" spans="1:14" ht="13.5" thickBot="1" x14ac:dyDescent="0.25">
      <c r="A241" s="48" t="s">
        <v>192</v>
      </c>
      <c r="B241" s="224" t="s">
        <v>191</v>
      </c>
      <c r="C241" s="48" t="s">
        <v>22</v>
      </c>
      <c r="D241" s="226">
        <v>14854</v>
      </c>
      <c r="E241" s="225">
        <v>62600</v>
      </c>
      <c r="F241" s="225">
        <v>8425</v>
      </c>
      <c r="G241" s="225">
        <v>8782</v>
      </c>
      <c r="H241" s="225">
        <v>79807</v>
      </c>
      <c r="I241" s="225">
        <v>382217</v>
      </c>
      <c r="J241" s="225">
        <v>103396</v>
      </c>
      <c r="K241" s="225">
        <v>485613</v>
      </c>
      <c r="L241" s="225">
        <v>142567</v>
      </c>
      <c r="M241" s="225">
        <v>707987</v>
      </c>
      <c r="N241" s="227">
        <f t="shared" si="3"/>
        <v>47.663053722902923</v>
      </c>
    </row>
    <row r="242" spans="1:14" ht="13.5" thickBot="1" x14ac:dyDescent="0.25">
      <c r="A242" s="48" t="s">
        <v>198</v>
      </c>
      <c r="B242" s="224" t="s">
        <v>197</v>
      </c>
      <c r="C242" s="48" t="s">
        <v>22</v>
      </c>
      <c r="D242" s="226">
        <v>14074</v>
      </c>
      <c r="E242" s="225">
        <v>23494</v>
      </c>
      <c r="F242" s="225">
        <v>850</v>
      </c>
      <c r="G242" s="225">
        <v>0</v>
      </c>
      <c r="H242" s="225">
        <v>24344</v>
      </c>
      <c r="I242" s="225">
        <v>281220</v>
      </c>
      <c r="J242" s="225">
        <v>143847</v>
      </c>
      <c r="K242" s="225">
        <v>425067</v>
      </c>
      <c r="L242" s="225">
        <v>134364</v>
      </c>
      <c r="M242" s="225">
        <v>583775</v>
      </c>
      <c r="N242" s="227">
        <f t="shared" si="3"/>
        <v>41.478968310359527</v>
      </c>
    </row>
    <row r="243" spans="1:14" ht="13.5" thickBot="1" x14ac:dyDescent="0.25">
      <c r="A243" s="48" t="s">
        <v>224</v>
      </c>
      <c r="B243" s="224" t="s">
        <v>223</v>
      </c>
      <c r="C243" s="48" t="s">
        <v>22</v>
      </c>
      <c r="D243" s="226">
        <v>20542</v>
      </c>
      <c r="E243" s="225">
        <v>78407</v>
      </c>
      <c r="F243" s="225">
        <v>0</v>
      </c>
      <c r="G243" s="225">
        <v>22578</v>
      </c>
      <c r="H243" s="225">
        <v>100985</v>
      </c>
      <c r="I243" s="225">
        <v>425797</v>
      </c>
      <c r="J243" s="225">
        <v>58531</v>
      </c>
      <c r="K243" s="225">
        <v>484328</v>
      </c>
      <c r="L243" s="225">
        <v>347632</v>
      </c>
      <c r="M243" s="225">
        <v>932945</v>
      </c>
      <c r="N243" s="227">
        <f t="shared" si="3"/>
        <v>45.416463830201536</v>
      </c>
    </row>
    <row r="244" spans="1:14" ht="13.5" thickBot="1" x14ac:dyDescent="0.25">
      <c r="A244" s="48" t="s">
        <v>226</v>
      </c>
      <c r="B244" s="224" t="s">
        <v>225</v>
      </c>
      <c r="C244" s="48" t="s">
        <v>22</v>
      </c>
      <c r="D244" s="226">
        <v>19591</v>
      </c>
      <c r="E244" s="225">
        <v>117162</v>
      </c>
      <c r="F244" s="225">
        <v>21130</v>
      </c>
      <c r="G244" s="225">
        <v>86804</v>
      </c>
      <c r="H244" s="225">
        <v>225096</v>
      </c>
      <c r="I244" s="225">
        <v>819606</v>
      </c>
      <c r="J244" s="225">
        <v>87146</v>
      </c>
      <c r="K244" s="225">
        <v>906752</v>
      </c>
      <c r="L244" s="225">
        <v>343010</v>
      </c>
      <c r="M244" s="225">
        <v>1474858</v>
      </c>
      <c r="N244" s="227">
        <f t="shared" si="3"/>
        <v>75.282425603593481</v>
      </c>
    </row>
    <row r="245" spans="1:14" ht="13.5" thickBot="1" x14ac:dyDescent="0.25">
      <c r="A245" s="48" t="s">
        <v>234</v>
      </c>
      <c r="B245" s="224" t="s">
        <v>233</v>
      </c>
      <c r="C245" s="48" t="s">
        <v>22</v>
      </c>
      <c r="D245" s="226">
        <v>13306</v>
      </c>
      <c r="E245" s="225">
        <v>28282</v>
      </c>
      <c r="F245" s="225">
        <v>7050</v>
      </c>
      <c r="G245" s="225">
        <v>13823</v>
      </c>
      <c r="H245" s="225">
        <v>49155</v>
      </c>
      <c r="I245" s="225">
        <v>198752</v>
      </c>
      <c r="J245" s="225">
        <v>18645</v>
      </c>
      <c r="K245" s="225">
        <v>217397</v>
      </c>
      <c r="L245" s="225">
        <v>122244</v>
      </c>
      <c r="M245" s="225">
        <v>388796</v>
      </c>
      <c r="N245" s="227">
        <f t="shared" si="3"/>
        <v>29.219600180369756</v>
      </c>
    </row>
    <row r="246" spans="1:14" ht="13.5" thickBot="1" x14ac:dyDescent="0.25">
      <c r="A246" s="48" t="s">
        <v>244</v>
      </c>
      <c r="B246" s="224" t="s">
        <v>243</v>
      </c>
      <c r="C246" s="48" t="s">
        <v>22</v>
      </c>
      <c r="D246" s="226">
        <v>12670</v>
      </c>
      <c r="E246" s="225">
        <v>11729</v>
      </c>
      <c r="F246" s="225">
        <v>7277</v>
      </c>
      <c r="G246" s="225">
        <v>14038</v>
      </c>
      <c r="H246" s="225">
        <v>33044</v>
      </c>
      <c r="I246" s="225">
        <v>191903</v>
      </c>
      <c r="J246" s="225">
        <v>21149</v>
      </c>
      <c r="K246" s="225">
        <v>213052</v>
      </c>
      <c r="L246" s="225">
        <v>72898</v>
      </c>
      <c r="M246" s="225">
        <v>318994</v>
      </c>
      <c r="N246" s="227">
        <f t="shared" si="3"/>
        <v>25.177111286503553</v>
      </c>
    </row>
    <row r="247" spans="1:14" ht="13.5" thickBot="1" x14ac:dyDescent="0.25">
      <c r="A247" s="48" t="s">
        <v>260</v>
      </c>
      <c r="B247" s="224" t="s">
        <v>259</v>
      </c>
      <c r="C247" s="48" t="s">
        <v>22</v>
      </c>
      <c r="D247" s="226">
        <v>25830</v>
      </c>
      <c r="E247" s="225">
        <v>18910</v>
      </c>
      <c r="F247" s="225">
        <v>1597</v>
      </c>
      <c r="G247" s="225">
        <v>8769</v>
      </c>
      <c r="H247" s="225">
        <v>29276</v>
      </c>
      <c r="I247" s="225">
        <v>214559</v>
      </c>
      <c r="J247" s="225">
        <v>239918</v>
      </c>
      <c r="K247" s="225">
        <v>454477</v>
      </c>
      <c r="L247" s="225">
        <v>103341</v>
      </c>
      <c r="M247" s="225">
        <v>587094</v>
      </c>
      <c r="N247" s="227">
        <f t="shared" si="3"/>
        <v>22.729152148664344</v>
      </c>
    </row>
    <row r="248" spans="1:14" ht="13.5" thickBot="1" x14ac:dyDescent="0.25">
      <c r="A248" s="48" t="s">
        <v>268</v>
      </c>
      <c r="B248" s="224" t="s">
        <v>267</v>
      </c>
      <c r="C248" s="48" t="s">
        <v>22</v>
      </c>
      <c r="D248" s="226">
        <v>14230</v>
      </c>
      <c r="E248" s="225">
        <v>26202</v>
      </c>
      <c r="F248" s="225">
        <v>4236</v>
      </c>
      <c r="G248" s="225">
        <v>4580</v>
      </c>
      <c r="H248" s="225">
        <v>35018</v>
      </c>
      <c r="I248" s="225">
        <v>223288</v>
      </c>
      <c r="J248" s="225">
        <v>22200</v>
      </c>
      <c r="K248" s="225">
        <v>245488</v>
      </c>
      <c r="L248" s="225">
        <v>159711</v>
      </c>
      <c r="M248" s="225">
        <v>440217</v>
      </c>
      <c r="N248" s="227">
        <f t="shared" si="3"/>
        <v>30.935839775122979</v>
      </c>
    </row>
    <row r="249" spans="1:14" ht="13.5" thickBot="1" x14ac:dyDescent="0.25">
      <c r="A249" s="48" t="s">
        <v>270</v>
      </c>
      <c r="B249" s="224" t="s">
        <v>269</v>
      </c>
      <c r="C249" s="48" t="s">
        <v>22</v>
      </c>
      <c r="D249" s="226">
        <v>19900</v>
      </c>
      <c r="E249" s="225">
        <v>87880</v>
      </c>
      <c r="F249" s="225">
        <v>32837</v>
      </c>
      <c r="G249" s="225">
        <v>52170</v>
      </c>
      <c r="H249" s="225">
        <v>172887</v>
      </c>
      <c r="I249" s="225">
        <v>739921</v>
      </c>
      <c r="J249" s="225">
        <v>134548</v>
      </c>
      <c r="K249" s="225">
        <v>874469</v>
      </c>
      <c r="L249" s="225">
        <v>294342</v>
      </c>
      <c r="M249" s="225">
        <v>1341698</v>
      </c>
      <c r="N249" s="227">
        <f t="shared" si="3"/>
        <v>67.422010050251259</v>
      </c>
    </row>
    <row r="250" spans="1:14" ht="13.5" thickBot="1" x14ac:dyDescent="0.25">
      <c r="A250" s="48" t="s">
        <v>274</v>
      </c>
      <c r="B250" s="224" t="s">
        <v>273</v>
      </c>
      <c r="C250" s="48" t="s">
        <v>22</v>
      </c>
      <c r="D250" s="226">
        <v>17626</v>
      </c>
      <c r="E250" s="225">
        <v>52712</v>
      </c>
      <c r="F250" s="225">
        <v>13173</v>
      </c>
      <c r="G250" s="225">
        <v>30939</v>
      </c>
      <c r="H250" s="225">
        <v>96824</v>
      </c>
      <c r="I250" s="225">
        <v>281192</v>
      </c>
      <c r="J250" s="225">
        <v>38697</v>
      </c>
      <c r="K250" s="225">
        <v>319889</v>
      </c>
      <c r="L250" s="225">
        <v>303699</v>
      </c>
      <c r="M250" s="225">
        <v>720412</v>
      </c>
      <c r="N250" s="227">
        <f t="shared" si="3"/>
        <v>40.872120730738679</v>
      </c>
    </row>
    <row r="251" spans="1:14" ht="13.5" thickBot="1" x14ac:dyDescent="0.25">
      <c r="A251" s="48" t="s">
        <v>276</v>
      </c>
      <c r="B251" s="224" t="s">
        <v>275</v>
      </c>
      <c r="C251" s="48" t="s">
        <v>22</v>
      </c>
      <c r="D251" s="226">
        <v>17823</v>
      </c>
      <c r="E251" s="225">
        <v>15487</v>
      </c>
      <c r="F251" s="225">
        <v>3770</v>
      </c>
      <c r="G251" s="225">
        <v>10332</v>
      </c>
      <c r="H251" s="225">
        <v>29589</v>
      </c>
      <c r="I251" s="225">
        <v>172123</v>
      </c>
      <c r="J251" s="225">
        <v>12273</v>
      </c>
      <c r="K251" s="225">
        <v>184396</v>
      </c>
      <c r="L251" s="225">
        <v>104622</v>
      </c>
      <c r="M251" s="225">
        <v>318607</v>
      </c>
      <c r="N251" s="227">
        <f t="shared" si="3"/>
        <v>17.87617123940975</v>
      </c>
    </row>
    <row r="252" spans="1:14" ht="13.5" thickBot="1" x14ac:dyDescent="0.25">
      <c r="A252" s="48" t="s">
        <v>282</v>
      </c>
      <c r="B252" s="224" t="s">
        <v>281</v>
      </c>
      <c r="C252" s="48" t="s">
        <v>22</v>
      </c>
      <c r="D252" s="226">
        <v>17068</v>
      </c>
      <c r="E252" s="225">
        <v>43807</v>
      </c>
      <c r="F252" s="225">
        <v>7615</v>
      </c>
      <c r="G252" s="225">
        <v>38548</v>
      </c>
      <c r="H252" s="225">
        <v>89970</v>
      </c>
      <c r="I252" s="225">
        <v>340040</v>
      </c>
      <c r="J252" s="225">
        <v>38839</v>
      </c>
      <c r="K252" s="225">
        <v>378879</v>
      </c>
      <c r="L252" s="225">
        <v>108900</v>
      </c>
      <c r="M252" s="225">
        <v>577749</v>
      </c>
      <c r="N252" s="227">
        <f t="shared" si="3"/>
        <v>33.849835950316383</v>
      </c>
    </row>
    <row r="253" spans="1:14" ht="13.5" thickBot="1" x14ac:dyDescent="0.25">
      <c r="A253" s="48" t="s">
        <v>288</v>
      </c>
      <c r="B253" s="224" t="s">
        <v>287</v>
      </c>
      <c r="C253" s="48" t="s">
        <v>22</v>
      </c>
      <c r="D253" s="226">
        <v>14480</v>
      </c>
      <c r="E253" s="225">
        <v>21071</v>
      </c>
      <c r="F253" s="225">
        <v>4280</v>
      </c>
      <c r="G253" s="225">
        <v>7472</v>
      </c>
      <c r="H253" s="225">
        <v>32823</v>
      </c>
      <c r="I253" s="225">
        <v>292045</v>
      </c>
      <c r="J253" s="225">
        <v>51074</v>
      </c>
      <c r="K253" s="225">
        <v>343119</v>
      </c>
      <c r="L253" s="225">
        <v>191204</v>
      </c>
      <c r="M253" s="225">
        <v>567146</v>
      </c>
      <c r="N253" s="227">
        <f t="shared" si="3"/>
        <v>39.167541436464091</v>
      </c>
    </row>
    <row r="254" spans="1:14" ht="13.5" thickBot="1" x14ac:dyDescent="0.25">
      <c r="A254" s="48" t="s">
        <v>292</v>
      </c>
      <c r="B254" s="224" t="s">
        <v>291</v>
      </c>
      <c r="C254" s="48" t="s">
        <v>22</v>
      </c>
      <c r="D254" s="226">
        <v>13326</v>
      </c>
      <c r="E254" s="225">
        <v>35324</v>
      </c>
      <c r="F254" s="225">
        <v>6275</v>
      </c>
      <c r="G254" s="225">
        <v>6663</v>
      </c>
      <c r="H254" s="225">
        <v>48262</v>
      </c>
      <c r="I254" s="225">
        <v>349303</v>
      </c>
      <c r="J254" s="225">
        <v>99860</v>
      </c>
      <c r="K254" s="225">
        <v>449163</v>
      </c>
      <c r="L254" s="225">
        <v>200263</v>
      </c>
      <c r="M254" s="225">
        <v>697688</v>
      </c>
      <c r="N254" s="227">
        <f t="shared" si="3"/>
        <v>52.35539546750713</v>
      </c>
    </row>
    <row r="255" spans="1:14" ht="13.5" thickBot="1" x14ac:dyDescent="0.25">
      <c r="A255" s="48" t="s">
        <v>294</v>
      </c>
      <c r="B255" s="224" t="s">
        <v>293</v>
      </c>
      <c r="C255" s="48" t="s">
        <v>22</v>
      </c>
      <c r="D255" s="226">
        <v>13598</v>
      </c>
      <c r="E255" s="225">
        <v>11126</v>
      </c>
      <c r="F255" s="225">
        <v>-1</v>
      </c>
      <c r="G255" s="225">
        <v>4624</v>
      </c>
      <c r="H255" s="225">
        <v>15749</v>
      </c>
      <c r="I255" s="225">
        <v>74239</v>
      </c>
      <c r="J255" s="225">
        <v>9600</v>
      </c>
      <c r="K255" s="225">
        <v>83839</v>
      </c>
      <c r="L255" s="225">
        <v>19501</v>
      </c>
      <c r="M255" s="225">
        <v>119089</v>
      </c>
      <c r="N255" s="227">
        <f t="shared" si="3"/>
        <v>8.7578320341226643</v>
      </c>
    </row>
    <row r="256" spans="1:14" ht="13.5" thickBot="1" x14ac:dyDescent="0.25">
      <c r="A256" s="48" t="s">
        <v>312</v>
      </c>
      <c r="B256" s="224" t="s">
        <v>311</v>
      </c>
      <c r="C256" s="48" t="s">
        <v>22</v>
      </c>
      <c r="D256" s="226">
        <v>25692</v>
      </c>
      <c r="E256" s="225">
        <v>48375</v>
      </c>
      <c r="F256" s="225">
        <v>18226</v>
      </c>
      <c r="G256" s="225">
        <v>6000</v>
      </c>
      <c r="H256" s="225">
        <v>72601</v>
      </c>
      <c r="I256" s="225">
        <v>264109</v>
      </c>
      <c r="J256" s="225">
        <v>110419</v>
      </c>
      <c r="K256" s="225">
        <v>374528</v>
      </c>
      <c r="L256" s="225">
        <v>108895</v>
      </c>
      <c r="M256" s="225">
        <v>556024</v>
      </c>
      <c r="N256" s="227">
        <f t="shared" si="3"/>
        <v>21.641911879184182</v>
      </c>
    </row>
    <row r="257" spans="1:14" ht="13.5" thickBot="1" x14ac:dyDescent="0.25">
      <c r="A257" s="48" t="s">
        <v>320</v>
      </c>
      <c r="B257" s="224" t="s">
        <v>319</v>
      </c>
      <c r="C257" s="48" t="s">
        <v>22</v>
      </c>
      <c r="D257" s="226">
        <v>15959</v>
      </c>
      <c r="E257" s="225">
        <v>34964</v>
      </c>
      <c r="F257" s="225">
        <v>9153</v>
      </c>
      <c r="G257" s="225">
        <v>61924</v>
      </c>
      <c r="H257" s="225">
        <v>106041</v>
      </c>
      <c r="I257" s="225">
        <v>359403</v>
      </c>
      <c r="J257" s="225">
        <v>17674</v>
      </c>
      <c r="K257" s="225">
        <v>377077</v>
      </c>
      <c r="L257" s="225">
        <v>130574</v>
      </c>
      <c r="M257" s="225">
        <v>613692</v>
      </c>
      <c r="N257" s="227">
        <f t="shared" si="3"/>
        <v>38.454289115859389</v>
      </c>
    </row>
    <row r="258" spans="1:14" ht="13.5" thickBot="1" x14ac:dyDescent="0.25">
      <c r="A258" s="48" t="s">
        <v>330</v>
      </c>
      <c r="B258" s="224" t="s">
        <v>329</v>
      </c>
      <c r="C258" s="48" t="s">
        <v>22</v>
      </c>
      <c r="D258" s="226">
        <v>21165</v>
      </c>
      <c r="E258" s="225">
        <v>21330</v>
      </c>
      <c r="F258" s="225">
        <v>7452</v>
      </c>
      <c r="G258" s="225">
        <v>12648</v>
      </c>
      <c r="H258" s="225">
        <v>41430</v>
      </c>
      <c r="I258" s="225">
        <v>476786</v>
      </c>
      <c r="J258" s="225">
        <v>108351</v>
      </c>
      <c r="K258" s="225">
        <v>585137</v>
      </c>
      <c r="L258" s="225">
        <v>144367</v>
      </c>
      <c r="M258" s="225">
        <v>770934</v>
      </c>
      <c r="N258" s="227">
        <f t="shared" si="3"/>
        <v>36.424946846208364</v>
      </c>
    </row>
    <row r="259" spans="1:14" ht="13.5" thickBot="1" x14ac:dyDescent="0.25">
      <c r="A259" s="48" t="s">
        <v>332</v>
      </c>
      <c r="B259" s="224" t="s">
        <v>331</v>
      </c>
      <c r="C259" s="48" t="s">
        <v>22</v>
      </c>
      <c r="D259" s="226">
        <v>22423</v>
      </c>
      <c r="E259" s="225">
        <v>5128</v>
      </c>
      <c r="F259" s="225">
        <v>29</v>
      </c>
      <c r="G259" s="225">
        <v>0</v>
      </c>
      <c r="H259" s="225">
        <v>5157</v>
      </c>
      <c r="I259" s="225">
        <v>183136</v>
      </c>
      <c r="J259" s="225">
        <v>50468</v>
      </c>
      <c r="K259" s="225">
        <v>233604</v>
      </c>
      <c r="L259" s="225">
        <v>99204</v>
      </c>
      <c r="M259" s="225">
        <v>337965</v>
      </c>
      <c r="N259" s="227">
        <f t="shared" si="3"/>
        <v>15.072247246131205</v>
      </c>
    </row>
    <row r="260" spans="1:14" ht="13.5" thickBot="1" x14ac:dyDescent="0.25">
      <c r="A260" s="48" t="s">
        <v>336</v>
      </c>
      <c r="B260" s="224" t="s">
        <v>335</v>
      </c>
      <c r="C260" s="48" t="s">
        <v>22</v>
      </c>
      <c r="D260" s="226">
        <v>14236</v>
      </c>
      <c r="E260" s="225">
        <v>19310</v>
      </c>
      <c r="F260" s="225">
        <v>5715</v>
      </c>
      <c r="G260" s="225">
        <v>3920</v>
      </c>
      <c r="H260" s="225">
        <v>28945</v>
      </c>
      <c r="I260" s="225">
        <v>253595</v>
      </c>
      <c r="J260" s="225">
        <v>70380</v>
      </c>
      <c r="K260" s="225">
        <v>323975</v>
      </c>
      <c r="L260" s="225">
        <v>78607</v>
      </c>
      <c r="M260" s="225">
        <v>431527</v>
      </c>
      <c r="N260" s="227">
        <f t="shared" ref="N260:N323" si="4">M260/D260</f>
        <v>30.312377072211294</v>
      </c>
    </row>
    <row r="261" spans="1:14" ht="13.5" thickBot="1" x14ac:dyDescent="0.25">
      <c r="A261" s="48" t="s">
        <v>338</v>
      </c>
      <c r="B261" s="224" t="s">
        <v>337</v>
      </c>
      <c r="C261" s="48" t="s">
        <v>22</v>
      </c>
      <c r="D261" s="226">
        <v>12920</v>
      </c>
      <c r="E261" s="225">
        <v>19036</v>
      </c>
      <c r="F261" s="225">
        <v>9200</v>
      </c>
      <c r="G261" s="225">
        <v>1950</v>
      </c>
      <c r="H261" s="225">
        <v>30186</v>
      </c>
      <c r="I261" s="225">
        <v>120800</v>
      </c>
      <c r="J261" s="225">
        <v>9000</v>
      </c>
      <c r="K261" s="225">
        <v>129800</v>
      </c>
      <c r="L261" s="225">
        <v>168858</v>
      </c>
      <c r="M261" s="225">
        <v>328844</v>
      </c>
      <c r="N261" s="227">
        <f t="shared" si="4"/>
        <v>25.452321981424149</v>
      </c>
    </row>
    <row r="262" spans="1:14" ht="13.5" thickBot="1" x14ac:dyDescent="0.25">
      <c r="A262" s="48" t="s">
        <v>340</v>
      </c>
      <c r="B262" s="224" t="s">
        <v>339</v>
      </c>
      <c r="C262" s="48" t="s">
        <v>22</v>
      </c>
      <c r="D262" s="226">
        <v>24587</v>
      </c>
      <c r="E262" s="225">
        <v>34126</v>
      </c>
      <c r="F262" s="225">
        <v>8773</v>
      </c>
      <c r="G262" s="225">
        <v>20223</v>
      </c>
      <c r="H262" s="225">
        <v>63122</v>
      </c>
      <c r="I262" s="225">
        <v>189423</v>
      </c>
      <c r="J262" s="225">
        <v>10159</v>
      </c>
      <c r="K262" s="225">
        <v>199582</v>
      </c>
      <c r="L262" s="225">
        <v>75097</v>
      </c>
      <c r="M262" s="225">
        <v>337801</v>
      </c>
      <c r="N262" s="227">
        <f t="shared" si="4"/>
        <v>13.739008419083255</v>
      </c>
    </row>
    <row r="263" spans="1:14" ht="13.5" thickBot="1" x14ac:dyDescent="0.25">
      <c r="A263" s="48" t="s">
        <v>346</v>
      </c>
      <c r="B263" s="224" t="s">
        <v>345</v>
      </c>
      <c r="C263" s="48" t="s">
        <v>22</v>
      </c>
      <c r="D263" s="226">
        <v>13233</v>
      </c>
      <c r="E263" s="225">
        <v>17547</v>
      </c>
      <c r="F263" s="225">
        <v>4405</v>
      </c>
      <c r="G263" s="225">
        <v>12415</v>
      </c>
      <c r="H263" s="225">
        <v>34367</v>
      </c>
      <c r="I263" s="225">
        <v>242569</v>
      </c>
      <c r="J263" s="225">
        <v>128880</v>
      </c>
      <c r="K263" s="225">
        <v>371449</v>
      </c>
      <c r="L263" s="225">
        <v>306084</v>
      </c>
      <c r="M263" s="225">
        <v>711900</v>
      </c>
      <c r="N263" s="227">
        <f t="shared" si="4"/>
        <v>53.797324869644072</v>
      </c>
    </row>
    <row r="264" spans="1:14" ht="13.5" thickBot="1" x14ac:dyDescent="0.25">
      <c r="A264" s="48" t="s">
        <v>348</v>
      </c>
      <c r="B264" s="224" t="s">
        <v>347</v>
      </c>
      <c r="C264" s="48" t="s">
        <v>22</v>
      </c>
      <c r="D264" s="226">
        <v>16422</v>
      </c>
      <c r="E264" s="225">
        <v>19488</v>
      </c>
      <c r="F264" s="225">
        <v>1574</v>
      </c>
      <c r="G264" s="225">
        <v>5626</v>
      </c>
      <c r="H264" s="225">
        <v>26688</v>
      </c>
      <c r="I264" s="225">
        <v>283771</v>
      </c>
      <c r="J264" s="225">
        <v>98701</v>
      </c>
      <c r="K264" s="225">
        <v>382472</v>
      </c>
      <c r="L264" s="225">
        <v>270172</v>
      </c>
      <c r="M264" s="225">
        <v>679332</v>
      </c>
      <c r="N264" s="227">
        <f t="shared" si="4"/>
        <v>41.367190354402631</v>
      </c>
    </row>
    <row r="265" spans="1:14" ht="13.5" thickBot="1" x14ac:dyDescent="0.25">
      <c r="A265" s="48" t="s">
        <v>356</v>
      </c>
      <c r="B265" s="224" t="s">
        <v>355</v>
      </c>
      <c r="C265" s="48" t="s">
        <v>22</v>
      </c>
      <c r="D265" s="226">
        <v>19202</v>
      </c>
      <c r="E265" s="225">
        <v>50045</v>
      </c>
      <c r="F265" s="225">
        <v>17439</v>
      </c>
      <c r="G265" s="225">
        <v>30871</v>
      </c>
      <c r="H265" s="225">
        <v>98355</v>
      </c>
      <c r="I265" s="225">
        <v>541560</v>
      </c>
      <c r="J265" s="225">
        <v>91463</v>
      </c>
      <c r="K265" s="225">
        <v>633023</v>
      </c>
      <c r="L265" s="225">
        <v>389144</v>
      </c>
      <c r="M265" s="225">
        <v>1120522</v>
      </c>
      <c r="N265" s="227">
        <f t="shared" si="4"/>
        <v>58.354442245599415</v>
      </c>
    </row>
    <row r="266" spans="1:14" ht="13.5" thickBot="1" x14ac:dyDescent="0.25">
      <c r="A266" s="48" t="s">
        <v>360</v>
      </c>
      <c r="B266" s="224" t="s">
        <v>359</v>
      </c>
      <c r="C266" s="48" t="s">
        <v>22</v>
      </c>
      <c r="D266" s="226">
        <v>23088</v>
      </c>
      <c r="E266" s="225">
        <v>17516</v>
      </c>
      <c r="F266" s="225">
        <v>3781</v>
      </c>
      <c r="G266" s="225">
        <v>7000</v>
      </c>
      <c r="H266" s="225">
        <v>28297</v>
      </c>
      <c r="I266" s="225">
        <v>242063</v>
      </c>
      <c r="J266" s="225">
        <v>0</v>
      </c>
      <c r="K266" s="225">
        <v>242063</v>
      </c>
      <c r="L266" s="225">
        <v>54230</v>
      </c>
      <c r="M266" s="225">
        <v>324590</v>
      </c>
      <c r="N266" s="227">
        <f t="shared" si="4"/>
        <v>14.058818433818434</v>
      </c>
    </row>
    <row r="267" spans="1:14" ht="13.5" thickBot="1" x14ac:dyDescent="0.25">
      <c r="A267" s="48" t="s">
        <v>368</v>
      </c>
      <c r="B267" s="224" t="s">
        <v>367</v>
      </c>
      <c r="C267" s="48" t="s">
        <v>22</v>
      </c>
      <c r="D267" s="226">
        <v>15322</v>
      </c>
      <c r="E267" s="225">
        <v>32247</v>
      </c>
      <c r="F267" s="225">
        <v>19422</v>
      </c>
      <c r="G267" s="225">
        <v>12134</v>
      </c>
      <c r="H267" s="225">
        <v>63803</v>
      </c>
      <c r="I267" s="225">
        <v>272779</v>
      </c>
      <c r="J267" s="225">
        <v>59981</v>
      </c>
      <c r="K267" s="225">
        <v>332760</v>
      </c>
      <c r="L267" s="225">
        <v>160837</v>
      </c>
      <c r="M267" s="225">
        <v>557400</v>
      </c>
      <c r="N267" s="227">
        <f t="shared" si="4"/>
        <v>36.379062785537137</v>
      </c>
    </row>
    <row r="268" spans="1:14" ht="13.5" thickBot="1" x14ac:dyDescent="0.25">
      <c r="A268" s="48" t="s">
        <v>370</v>
      </c>
      <c r="B268" s="224" t="s">
        <v>369</v>
      </c>
      <c r="C268" s="48" t="s">
        <v>22</v>
      </c>
      <c r="D268" s="226">
        <v>22115</v>
      </c>
      <c r="E268" s="225">
        <v>48914</v>
      </c>
      <c r="F268" s="225">
        <v>6668</v>
      </c>
      <c r="G268" s="225">
        <v>42973</v>
      </c>
      <c r="H268" s="225">
        <v>98555</v>
      </c>
      <c r="I268" s="225">
        <v>359337</v>
      </c>
      <c r="J268" s="225">
        <v>115437</v>
      </c>
      <c r="K268" s="225">
        <v>474774</v>
      </c>
      <c r="L268" s="225">
        <v>347661</v>
      </c>
      <c r="M268" s="225">
        <v>920990</v>
      </c>
      <c r="N268" s="227">
        <f t="shared" si="4"/>
        <v>41.645489486773684</v>
      </c>
    </row>
    <row r="269" spans="1:14" ht="13.5" thickBot="1" x14ac:dyDescent="0.25">
      <c r="A269" s="48" t="s">
        <v>384</v>
      </c>
      <c r="B269" s="224" t="s">
        <v>383</v>
      </c>
      <c r="C269" s="48" t="s">
        <v>22</v>
      </c>
      <c r="D269" s="226">
        <v>21638</v>
      </c>
      <c r="E269" s="225">
        <v>39036</v>
      </c>
      <c r="F269" s="225">
        <v>6850</v>
      </c>
      <c r="G269" s="225">
        <v>6308</v>
      </c>
      <c r="H269" s="225">
        <v>52194</v>
      </c>
      <c r="I269" s="225">
        <v>362452</v>
      </c>
      <c r="J269" s="225">
        <v>144769</v>
      </c>
      <c r="K269" s="225">
        <v>507221</v>
      </c>
      <c r="L269" s="225">
        <v>100040</v>
      </c>
      <c r="M269" s="225">
        <v>659455</v>
      </c>
      <c r="N269" s="227">
        <f t="shared" si="4"/>
        <v>30.476707643959699</v>
      </c>
    </row>
    <row r="270" spans="1:14" ht="13.5" thickBot="1" x14ac:dyDescent="0.25">
      <c r="A270" s="48" t="s">
        <v>390</v>
      </c>
      <c r="B270" s="224" t="s">
        <v>389</v>
      </c>
      <c r="C270" s="48" t="s">
        <v>22</v>
      </c>
      <c r="D270" s="226">
        <v>13600</v>
      </c>
      <c r="E270" s="225">
        <v>21345</v>
      </c>
      <c r="F270" s="225">
        <v>4108</v>
      </c>
      <c r="G270" s="225">
        <v>1200</v>
      </c>
      <c r="H270" s="225">
        <v>26653</v>
      </c>
      <c r="I270" s="225">
        <v>146097</v>
      </c>
      <c r="J270" s="225">
        <v>128839</v>
      </c>
      <c r="K270" s="225">
        <v>274936</v>
      </c>
      <c r="L270" s="225">
        <v>41090</v>
      </c>
      <c r="M270" s="225">
        <v>342679</v>
      </c>
      <c r="N270" s="227">
        <f t="shared" si="4"/>
        <v>25.196985294117646</v>
      </c>
    </row>
    <row r="271" spans="1:14" ht="13.5" thickBot="1" x14ac:dyDescent="0.25">
      <c r="A271" s="48" t="s">
        <v>404</v>
      </c>
      <c r="B271" s="224" t="s">
        <v>403</v>
      </c>
      <c r="C271" s="48" t="s">
        <v>22</v>
      </c>
      <c r="D271" s="226">
        <v>17153</v>
      </c>
      <c r="E271" s="225">
        <v>22606</v>
      </c>
      <c r="F271" s="225">
        <v>5828</v>
      </c>
      <c r="G271" s="225">
        <v>5913</v>
      </c>
      <c r="H271" s="225">
        <v>34347</v>
      </c>
      <c r="I271" s="225">
        <v>177101</v>
      </c>
      <c r="J271" s="225">
        <v>28731</v>
      </c>
      <c r="K271" s="225">
        <v>205832</v>
      </c>
      <c r="L271" s="225">
        <v>71151</v>
      </c>
      <c r="M271" s="225">
        <v>311330</v>
      </c>
      <c r="N271" s="227">
        <f t="shared" si="4"/>
        <v>18.150177811461553</v>
      </c>
    </row>
    <row r="272" spans="1:14" ht="13.5" thickBot="1" x14ac:dyDescent="0.25">
      <c r="A272" s="48" t="s">
        <v>423</v>
      </c>
      <c r="B272" s="224" t="s">
        <v>422</v>
      </c>
      <c r="C272" s="48" t="s">
        <v>22</v>
      </c>
      <c r="D272" s="226">
        <v>25369</v>
      </c>
      <c r="E272" s="225">
        <v>0</v>
      </c>
      <c r="F272" s="225">
        <v>0</v>
      </c>
      <c r="G272" s="225">
        <v>0</v>
      </c>
      <c r="H272" s="225">
        <v>0</v>
      </c>
      <c r="I272" s="225">
        <v>46418</v>
      </c>
      <c r="J272" s="225">
        <v>0</v>
      </c>
      <c r="K272" s="225">
        <v>46418</v>
      </c>
      <c r="L272" s="225">
        <v>489526</v>
      </c>
      <c r="M272" s="225">
        <v>535944</v>
      </c>
      <c r="N272" s="227">
        <f t="shared" si="4"/>
        <v>21.125941109227799</v>
      </c>
    </row>
    <row r="273" spans="1:14" ht="13.5" thickBot="1" x14ac:dyDescent="0.25">
      <c r="A273" s="48" t="s">
        <v>439</v>
      </c>
      <c r="B273" s="224" t="s">
        <v>438</v>
      </c>
      <c r="C273" s="48" t="s">
        <v>22</v>
      </c>
      <c r="D273" s="226">
        <v>22258</v>
      </c>
      <c r="E273" s="225">
        <v>74986</v>
      </c>
      <c r="F273" s="225">
        <v>24724</v>
      </c>
      <c r="G273" s="225">
        <v>15521</v>
      </c>
      <c r="H273" s="225">
        <v>115231</v>
      </c>
      <c r="I273" s="225">
        <v>566283</v>
      </c>
      <c r="J273" s="225">
        <v>67366</v>
      </c>
      <c r="K273" s="225">
        <v>633649</v>
      </c>
      <c r="L273" s="225">
        <v>149224</v>
      </c>
      <c r="M273" s="225">
        <v>898104</v>
      </c>
      <c r="N273" s="227">
        <f t="shared" si="4"/>
        <v>40.349716955701318</v>
      </c>
    </row>
    <row r="274" spans="1:14" ht="13.5" thickBot="1" x14ac:dyDescent="0.25">
      <c r="A274" s="48" t="s">
        <v>452</v>
      </c>
      <c r="B274" s="224" t="s">
        <v>451</v>
      </c>
      <c r="C274" s="48" t="s">
        <v>22</v>
      </c>
      <c r="D274" s="226">
        <v>14545</v>
      </c>
      <c r="E274" s="225">
        <v>99336</v>
      </c>
      <c r="F274" s="225">
        <v>23237</v>
      </c>
      <c r="G274" s="225">
        <v>41968</v>
      </c>
      <c r="H274" s="225">
        <v>164541</v>
      </c>
      <c r="I274" s="225">
        <v>409518</v>
      </c>
      <c r="J274" s="225">
        <v>117178</v>
      </c>
      <c r="K274" s="225">
        <v>526696</v>
      </c>
      <c r="L274" s="225">
        <v>222628</v>
      </c>
      <c r="M274" s="225">
        <v>913865</v>
      </c>
      <c r="N274" s="227">
        <f t="shared" si="4"/>
        <v>62.830182193193536</v>
      </c>
    </row>
    <row r="275" spans="1:14" ht="13.5" thickBot="1" x14ac:dyDescent="0.25">
      <c r="A275" s="48" t="s">
        <v>458</v>
      </c>
      <c r="B275" s="224" t="s">
        <v>457</v>
      </c>
      <c r="C275" s="48" t="s">
        <v>22</v>
      </c>
      <c r="D275" s="226">
        <v>13452</v>
      </c>
      <c r="E275" s="225">
        <v>23754</v>
      </c>
      <c r="F275" s="225">
        <v>3373</v>
      </c>
      <c r="G275" s="225">
        <v>5984</v>
      </c>
      <c r="H275" s="225">
        <v>33111</v>
      </c>
      <c r="I275" s="225">
        <v>247799</v>
      </c>
      <c r="J275" s="225">
        <v>91897</v>
      </c>
      <c r="K275" s="225">
        <v>339696</v>
      </c>
      <c r="L275" s="225">
        <v>74823</v>
      </c>
      <c r="M275" s="225">
        <v>447630</v>
      </c>
      <c r="N275" s="227">
        <f t="shared" si="4"/>
        <v>33.276092774308651</v>
      </c>
    </row>
    <row r="276" spans="1:14" ht="13.5" thickBot="1" x14ac:dyDescent="0.25">
      <c r="A276" s="48" t="s">
        <v>472</v>
      </c>
      <c r="B276" s="224" t="s">
        <v>471</v>
      </c>
      <c r="C276" s="48" t="s">
        <v>22</v>
      </c>
      <c r="D276" s="226">
        <v>22995</v>
      </c>
      <c r="E276" s="225">
        <v>47723</v>
      </c>
      <c r="F276" s="225">
        <v>19864</v>
      </c>
      <c r="G276" s="225">
        <v>38417</v>
      </c>
      <c r="H276" s="225">
        <v>106004</v>
      </c>
      <c r="I276" s="225">
        <v>540477</v>
      </c>
      <c r="J276" s="225">
        <v>232730</v>
      </c>
      <c r="K276" s="225">
        <v>773207</v>
      </c>
      <c r="L276" s="225">
        <v>232954</v>
      </c>
      <c r="M276" s="225">
        <v>1112165</v>
      </c>
      <c r="N276" s="227">
        <f t="shared" si="4"/>
        <v>48.365514242226574</v>
      </c>
    </row>
    <row r="277" spans="1:14" ht="13.5" thickBot="1" x14ac:dyDescent="0.25">
      <c r="A277" s="48" t="s">
        <v>482</v>
      </c>
      <c r="B277" s="224" t="s">
        <v>481</v>
      </c>
      <c r="C277" s="48" t="s">
        <v>22</v>
      </c>
      <c r="D277" s="226">
        <v>14948</v>
      </c>
      <c r="E277" s="225">
        <v>32782</v>
      </c>
      <c r="F277" s="225">
        <v>10927</v>
      </c>
      <c r="G277" s="225">
        <v>6286</v>
      </c>
      <c r="H277" s="225">
        <v>49995</v>
      </c>
      <c r="I277" s="225">
        <v>640195</v>
      </c>
      <c r="J277" s="225">
        <v>164601</v>
      </c>
      <c r="K277" s="225">
        <v>804796</v>
      </c>
      <c r="L277" s="225">
        <v>156808</v>
      </c>
      <c r="M277" s="225">
        <v>1011599</v>
      </c>
      <c r="N277" s="227">
        <f t="shared" si="4"/>
        <v>67.674538399785931</v>
      </c>
    </row>
    <row r="278" spans="1:14" ht="13.5" thickBot="1" x14ac:dyDescent="0.25">
      <c r="A278" s="48" t="s">
        <v>486</v>
      </c>
      <c r="B278" s="224" t="s">
        <v>485</v>
      </c>
      <c r="C278" s="48" t="s">
        <v>22</v>
      </c>
      <c r="D278" s="226">
        <v>18393</v>
      </c>
      <c r="E278" s="225">
        <v>38231</v>
      </c>
      <c r="F278" s="225">
        <v>6258</v>
      </c>
      <c r="G278" s="225">
        <v>6000</v>
      </c>
      <c r="H278" s="225">
        <v>50489</v>
      </c>
      <c r="I278" s="225">
        <v>382053</v>
      </c>
      <c r="J278" s="225">
        <v>108468</v>
      </c>
      <c r="K278" s="225">
        <v>490521</v>
      </c>
      <c r="L278" s="225">
        <v>173265</v>
      </c>
      <c r="M278" s="225">
        <v>714275</v>
      </c>
      <c r="N278" s="227">
        <f t="shared" si="4"/>
        <v>38.834067308215083</v>
      </c>
    </row>
    <row r="279" spans="1:14" ht="13.5" thickBot="1" x14ac:dyDescent="0.25">
      <c r="A279" s="48" t="s">
        <v>496</v>
      </c>
      <c r="B279" s="224" t="s">
        <v>495</v>
      </c>
      <c r="C279" s="48" t="s">
        <v>22</v>
      </c>
      <c r="D279" s="226">
        <v>14384</v>
      </c>
      <c r="E279" s="225">
        <v>7576</v>
      </c>
      <c r="F279" s="225">
        <v>300</v>
      </c>
      <c r="G279" s="225">
        <v>500</v>
      </c>
      <c r="H279" s="225">
        <v>8376</v>
      </c>
      <c r="I279" s="225">
        <v>178893</v>
      </c>
      <c r="J279" s="225">
        <v>79847</v>
      </c>
      <c r="K279" s="225">
        <v>258740</v>
      </c>
      <c r="L279" s="225">
        <v>30799</v>
      </c>
      <c r="M279" s="225">
        <v>297915</v>
      </c>
      <c r="N279" s="227">
        <f t="shared" si="4"/>
        <v>20.711554505005562</v>
      </c>
    </row>
    <row r="280" spans="1:14" ht="13.5" thickBot="1" x14ac:dyDescent="0.25">
      <c r="A280" s="48" t="s">
        <v>500</v>
      </c>
      <c r="B280" s="224" t="s">
        <v>499</v>
      </c>
      <c r="C280" s="48" t="s">
        <v>22</v>
      </c>
      <c r="D280" s="226">
        <v>17511</v>
      </c>
      <c r="E280" s="225">
        <v>22753</v>
      </c>
      <c r="F280" s="225">
        <v>8773</v>
      </c>
      <c r="G280" s="225">
        <v>1568</v>
      </c>
      <c r="H280" s="225">
        <v>33094</v>
      </c>
      <c r="I280" s="225">
        <v>235763</v>
      </c>
      <c r="J280" s="225">
        <v>34105</v>
      </c>
      <c r="K280" s="225">
        <v>269868</v>
      </c>
      <c r="L280" s="225">
        <v>115153</v>
      </c>
      <c r="M280" s="225">
        <v>418115</v>
      </c>
      <c r="N280" s="227">
        <f t="shared" si="4"/>
        <v>23.877277140083375</v>
      </c>
    </row>
    <row r="281" spans="1:14" ht="13.5" thickBot="1" x14ac:dyDescent="0.25">
      <c r="A281" s="48" t="s">
        <v>502</v>
      </c>
      <c r="B281" s="224" t="s">
        <v>501</v>
      </c>
      <c r="C281" s="48" t="s">
        <v>22</v>
      </c>
      <c r="D281" s="226">
        <v>15736</v>
      </c>
      <c r="E281" s="225">
        <v>46786</v>
      </c>
      <c r="F281" s="225">
        <v>14669</v>
      </c>
      <c r="G281" s="225">
        <v>19191</v>
      </c>
      <c r="H281" s="225">
        <v>80646</v>
      </c>
      <c r="I281" s="225">
        <v>520485</v>
      </c>
      <c r="J281" s="225">
        <v>104296</v>
      </c>
      <c r="K281" s="225">
        <v>624781</v>
      </c>
      <c r="L281" s="225">
        <v>335132</v>
      </c>
      <c r="M281" s="225">
        <v>1040559</v>
      </c>
      <c r="N281" s="227">
        <f t="shared" si="4"/>
        <v>66.126016776817494</v>
      </c>
    </row>
    <row r="282" spans="1:14" ht="13.5" thickBot="1" x14ac:dyDescent="0.25">
      <c r="A282" s="48" t="s">
        <v>506</v>
      </c>
      <c r="B282" s="224" t="s">
        <v>505</v>
      </c>
      <c r="C282" s="48" t="s">
        <v>22</v>
      </c>
      <c r="D282" s="226">
        <v>13097</v>
      </c>
      <c r="E282" s="225">
        <v>17000</v>
      </c>
      <c r="F282" s="225">
        <v>6073</v>
      </c>
      <c r="G282" s="225">
        <v>6000</v>
      </c>
      <c r="H282" s="225">
        <v>29073</v>
      </c>
      <c r="I282" s="225">
        <v>98860</v>
      </c>
      <c r="J282" s="225">
        <v>0</v>
      </c>
      <c r="K282" s="225">
        <v>98860</v>
      </c>
      <c r="L282" s="225">
        <v>86224</v>
      </c>
      <c r="M282" s="225">
        <v>214157</v>
      </c>
      <c r="N282" s="227">
        <f t="shared" si="4"/>
        <v>16.351607238298847</v>
      </c>
    </row>
    <row r="283" spans="1:14" ht="13.5" thickBot="1" x14ac:dyDescent="0.25">
      <c r="A283" s="48" t="s">
        <v>516</v>
      </c>
      <c r="B283" s="224" t="s">
        <v>515</v>
      </c>
      <c r="C283" s="48" t="s">
        <v>22</v>
      </c>
      <c r="D283" s="226">
        <v>22857</v>
      </c>
      <c r="E283" s="225">
        <v>20988</v>
      </c>
      <c r="F283" s="225">
        <v>8243</v>
      </c>
      <c r="G283" s="225">
        <v>19856</v>
      </c>
      <c r="H283" s="225">
        <v>49087</v>
      </c>
      <c r="I283" s="225">
        <v>576076</v>
      </c>
      <c r="J283" s="225">
        <v>208767</v>
      </c>
      <c r="K283" s="225">
        <v>784843</v>
      </c>
      <c r="L283" s="225">
        <v>388243</v>
      </c>
      <c r="M283" s="225">
        <v>1222173</v>
      </c>
      <c r="N283" s="227">
        <f t="shared" si="4"/>
        <v>53.470402940018374</v>
      </c>
    </row>
    <row r="284" spans="1:14" ht="13.5" thickBot="1" x14ac:dyDescent="0.25">
      <c r="A284" s="48" t="s">
        <v>530</v>
      </c>
      <c r="B284" s="224" t="s">
        <v>529</v>
      </c>
      <c r="C284" s="48" t="s">
        <v>22</v>
      </c>
      <c r="D284" s="226">
        <v>24520</v>
      </c>
      <c r="E284" s="225">
        <v>55537</v>
      </c>
      <c r="F284" s="225">
        <v>17398</v>
      </c>
      <c r="G284" s="225">
        <v>14178</v>
      </c>
      <c r="H284" s="225">
        <v>87113</v>
      </c>
      <c r="I284" s="225">
        <v>528909</v>
      </c>
      <c r="J284" s="225">
        <v>139078</v>
      </c>
      <c r="K284" s="225">
        <v>667987</v>
      </c>
      <c r="L284" s="225">
        <v>400441</v>
      </c>
      <c r="M284" s="225">
        <v>1155541</v>
      </c>
      <c r="N284" s="227">
        <f t="shared" si="4"/>
        <v>47.126468189233279</v>
      </c>
    </row>
    <row r="285" spans="1:14" ht="13.5" thickBot="1" x14ac:dyDescent="0.25">
      <c r="A285" s="48" t="s">
        <v>546</v>
      </c>
      <c r="B285" s="224" t="s">
        <v>545</v>
      </c>
      <c r="C285" s="48" t="s">
        <v>22</v>
      </c>
      <c r="D285" s="226">
        <v>12561</v>
      </c>
      <c r="E285" s="225">
        <v>34100</v>
      </c>
      <c r="F285" s="225">
        <v>0</v>
      </c>
      <c r="G285" s="225">
        <v>2000</v>
      </c>
      <c r="H285" s="225">
        <v>36100</v>
      </c>
      <c r="I285" s="225">
        <v>124500</v>
      </c>
      <c r="J285" s="225">
        <v>9524</v>
      </c>
      <c r="K285" s="225">
        <v>134024</v>
      </c>
      <c r="L285" s="225">
        <v>80260</v>
      </c>
      <c r="M285" s="225">
        <v>250384</v>
      </c>
      <c r="N285" s="227">
        <f t="shared" si="4"/>
        <v>19.933444789427593</v>
      </c>
    </row>
    <row r="286" spans="1:14" ht="13.5" thickBot="1" x14ac:dyDescent="0.25">
      <c r="A286" s="48" t="s">
        <v>556</v>
      </c>
      <c r="B286" s="224" t="s">
        <v>555</v>
      </c>
      <c r="C286" s="48" t="s">
        <v>22</v>
      </c>
      <c r="D286" s="226">
        <v>24164</v>
      </c>
      <c r="E286" s="225">
        <v>50427</v>
      </c>
      <c r="F286" s="225">
        <v>7911</v>
      </c>
      <c r="G286" s="225">
        <v>25434</v>
      </c>
      <c r="H286" s="225">
        <v>83772</v>
      </c>
      <c r="I286" s="225">
        <v>378056</v>
      </c>
      <c r="J286" s="225">
        <v>96964</v>
      </c>
      <c r="K286" s="225">
        <v>475020</v>
      </c>
      <c r="L286" s="225">
        <v>123989</v>
      </c>
      <c r="M286" s="225">
        <v>682781</v>
      </c>
      <c r="N286" s="227">
        <f t="shared" si="4"/>
        <v>28.256124813772555</v>
      </c>
    </row>
    <row r="287" spans="1:14" ht="13.5" thickBot="1" x14ac:dyDescent="0.25">
      <c r="A287" s="48" t="s">
        <v>558</v>
      </c>
      <c r="B287" s="224" t="s">
        <v>557</v>
      </c>
      <c r="C287" s="48" t="s">
        <v>22</v>
      </c>
      <c r="D287" s="226">
        <v>14230</v>
      </c>
      <c r="E287" s="225">
        <v>46731</v>
      </c>
      <c r="F287" s="225">
        <v>4243</v>
      </c>
      <c r="G287" s="225">
        <v>34410</v>
      </c>
      <c r="H287" s="225">
        <v>85384</v>
      </c>
      <c r="I287" s="225">
        <v>286554</v>
      </c>
      <c r="J287" s="225">
        <v>69253</v>
      </c>
      <c r="K287" s="225">
        <v>355807</v>
      </c>
      <c r="L287" s="225">
        <v>155507</v>
      </c>
      <c r="M287" s="225">
        <v>596698</v>
      </c>
      <c r="N287" s="227">
        <f t="shared" si="4"/>
        <v>41.932396345748415</v>
      </c>
    </row>
    <row r="288" spans="1:14" ht="13.5" thickBot="1" x14ac:dyDescent="0.25">
      <c r="A288" s="48" t="s">
        <v>562</v>
      </c>
      <c r="B288" s="224" t="s">
        <v>561</v>
      </c>
      <c r="C288" s="48" t="s">
        <v>22</v>
      </c>
      <c r="D288" s="226">
        <v>20526</v>
      </c>
      <c r="E288" s="225">
        <v>73367</v>
      </c>
      <c r="F288" s="225">
        <v>47606</v>
      </c>
      <c r="G288" s="225">
        <v>14070</v>
      </c>
      <c r="H288" s="225">
        <v>135043</v>
      </c>
      <c r="I288" s="225">
        <v>665979</v>
      </c>
      <c r="J288" s="225">
        <v>118267</v>
      </c>
      <c r="K288" s="225">
        <v>784246</v>
      </c>
      <c r="L288" s="225">
        <v>319739</v>
      </c>
      <c r="M288" s="225">
        <v>1239028</v>
      </c>
      <c r="N288" s="227">
        <f t="shared" si="4"/>
        <v>60.363831238429306</v>
      </c>
    </row>
    <row r="289" spans="1:14" ht="13.5" thickBot="1" x14ac:dyDescent="0.25">
      <c r="A289" s="48" t="s">
        <v>570</v>
      </c>
      <c r="B289" s="224" t="s">
        <v>569</v>
      </c>
      <c r="C289" s="48" t="s">
        <v>22</v>
      </c>
      <c r="D289" s="226">
        <v>13579</v>
      </c>
      <c r="E289" s="225">
        <v>40722</v>
      </c>
      <c r="F289" s="225">
        <v>6373</v>
      </c>
      <c r="G289" s="225">
        <v>14181</v>
      </c>
      <c r="H289" s="225">
        <v>61276</v>
      </c>
      <c r="I289" s="225">
        <v>458034</v>
      </c>
      <c r="J289" s="225">
        <v>73246</v>
      </c>
      <c r="K289" s="225">
        <v>531280</v>
      </c>
      <c r="L289" s="225">
        <v>237575</v>
      </c>
      <c r="M289" s="225">
        <v>830131</v>
      </c>
      <c r="N289" s="227">
        <f t="shared" si="4"/>
        <v>61.13344134325061</v>
      </c>
    </row>
    <row r="290" spans="1:14" ht="13.5" thickBot="1" x14ac:dyDescent="0.25">
      <c r="A290" s="48" t="s">
        <v>580</v>
      </c>
      <c r="B290" s="224" t="s">
        <v>579</v>
      </c>
      <c r="C290" s="48" t="s">
        <v>22</v>
      </c>
      <c r="D290" s="226">
        <v>16709</v>
      </c>
      <c r="E290" s="225">
        <v>58854</v>
      </c>
      <c r="F290" s="225">
        <v>17982</v>
      </c>
      <c r="G290" s="225">
        <v>25404</v>
      </c>
      <c r="H290" s="225">
        <v>102240</v>
      </c>
      <c r="I290" s="225">
        <v>554420</v>
      </c>
      <c r="J290" s="225">
        <v>167377</v>
      </c>
      <c r="K290" s="225">
        <v>721797</v>
      </c>
      <c r="L290" s="225">
        <v>271105</v>
      </c>
      <c r="M290" s="225">
        <v>1095142</v>
      </c>
      <c r="N290" s="227">
        <f t="shared" si="4"/>
        <v>65.542043210245978</v>
      </c>
    </row>
    <row r="291" spans="1:14" ht="13.5" thickBot="1" x14ac:dyDescent="0.25">
      <c r="A291" s="48" t="s">
        <v>596</v>
      </c>
      <c r="B291" s="224" t="s">
        <v>595</v>
      </c>
      <c r="C291" s="48" t="s">
        <v>22</v>
      </c>
      <c r="D291" s="226">
        <v>19629</v>
      </c>
      <c r="E291" s="225">
        <v>60732</v>
      </c>
      <c r="F291" s="225">
        <v>3072</v>
      </c>
      <c r="G291" s="225">
        <v>13839</v>
      </c>
      <c r="H291" s="225">
        <v>77643</v>
      </c>
      <c r="I291" s="225">
        <v>338280</v>
      </c>
      <c r="J291" s="225">
        <v>61432</v>
      </c>
      <c r="K291" s="225">
        <v>399712</v>
      </c>
      <c r="L291" s="225">
        <v>231479</v>
      </c>
      <c r="M291" s="225">
        <v>708834</v>
      </c>
      <c r="N291" s="227">
        <f t="shared" si="4"/>
        <v>36.111569616383925</v>
      </c>
    </row>
    <row r="292" spans="1:14" ht="13.5" thickBot="1" x14ac:dyDescent="0.25">
      <c r="A292" s="48" t="s">
        <v>598</v>
      </c>
      <c r="B292" s="224" t="s">
        <v>597</v>
      </c>
      <c r="C292" s="48" t="s">
        <v>22</v>
      </c>
      <c r="D292" s="226">
        <v>13912</v>
      </c>
      <c r="E292" s="225">
        <v>27451</v>
      </c>
      <c r="F292" s="225">
        <v>10743</v>
      </c>
      <c r="G292" s="225">
        <v>18575</v>
      </c>
      <c r="H292" s="225">
        <v>56769</v>
      </c>
      <c r="I292" s="225">
        <v>221362</v>
      </c>
      <c r="J292" s="225">
        <v>21801</v>
      </c>
      <c r="K292" s="225">
        <v>243163</v>
      </c>
      <c r="L292" s="225">
        <v>140490</v>
      </c>
      <c r="M292" s="225">
        <v>440422</v>
      </c>
      <c r="N292" s="227">
        <f t="shared" si="4"/>
        <v>31.657705577918342</v>
      </c>
    </row>
    <row r="293" spans="1:14" ht="13.5" thickBot="1" x14ac:dyDescent="0.25">
      <c r="A293" s="48" t="s">
        <v>602</v>
      </c>
      <c r="B293" s="224" t="s">
        <v>601</v>
      </c>
      <c r="C293" s="48" t="s">
        <v>22</v>
      </c>
      <c r="D293" s="226">
        <v>14878</v>
      </c>
      <c r="E293" s="225">
        <v>39603</v>
      </c>
      <c r="F293" s="225">
        <v>4659</v>
      </c>
      <c r="G293" s="225">
        <v>5060</v>
      </c>
      <c r="H293" s="225">
        <v>49322</v>
      </c>
      <c r="I293" s="225">
        <v>427950</v>
      </c>
      <c r="J293" s="225">
        <v>54250</v>
      </c>
      <c r="K293" s="225">
        <v>482200</v>
      </c>
      <c r="L293" s="225">
        <v>201424</v>
      </c>
      <c r="M293" s="225">
        <v>732946</v>
      </c>
      <c r="N293" s="227">
        <f t="shared" si="4"/>
        <v>49.263745127033204</v>
      </c>
    </row>
    <row r="294" spans="1:14" ht="13.5" thickBot="1" x14ac:dyDescent="0.25">
      <c r="A294" s="48" t="s">
        <v>636</v>
      </c>
      <c r="B294" s="224" t="s">
        <v>635</v>
      </c>
      <c r="C294" s="48" t="s">
        <v>22</v>
      </c>
      <c r="D294" s="226">
        <v>12486</v>
      </c>
      <c r="E294" s="225">
        <v>30385</v>
      </c>
      <c r="F294" s="225">
        <v>10674</v>
      </c>
      <c r="G294" s="225">
        <v>4838</v>
      </c>
      <c r="H294" s="225">
        <v>45897</v>
      </c>
      <c r="I294" s="225">
        <v>129200</v>
      </c>
      <c r="J294" s="225">
        <v>29309</v>
      </c>
      <c r="K294" s="225">
        <v>158509</v>
      </c>
      <c r="L294" s="225">
        <v>116872</v>
      </c>
      <c r="M294" s="225">
        <v>321278</v>
      </c>
      <c r="N294" s="227">
        <f t="shared" si="4"/>
        <v>25.731058785840141</v>
      </c>
    </row>
    <row r="295" spans="1:14" ht="13.5" thickBot="1" x14ac:dyDescent="0.25">
      <c r="A295" s="48" t="s">
        <v>662</v>
      </c>
      <c r="B295" s="224" t="s">
        <v>661</v>
      </c>
      <c r="C295" s="48" t="s">
        <v>22</v>
      </c>
      <c r="D295" s="226">
        <v>16753</v>
      </c>
      <c r="E295" s="225">
        <v>97140</v>
      </c>
      <c r="F295" s="225">
        <v>22688</v>
      </c>
      <c r="G295" s="225">
        <v>63935</v>
      </c>
      <c r="H295" s="225">
        <v>183763</v>
      </c>
      <c r="I295" s="225">
        <v>818530</v>
      </c>
      <c r="J295" s="225">
        <v>144827</v>
      </c>
      <c r="K295" s="225">
        <v>963357</v>
      </c>
      <c r="L295" s="225">
        <v>311741</v>
      </c>
      <c r="M295" s="225">
        <v>1458861</v>
      </c>
      <c r="N295" s="227">
        <f t="shared" si="4"/>
        <v>87.080582582224082</v>
      </c>
    </row>
    <row r="296" spans="1:14" ht="13.5" thickBot="1" x14ac:dyDescent="0.25">
      <c r="A296" s="48" t="s">
        <v>704</v>
      </c>
      <c r="B296" s="224" t="s">
        <v>703</v>
      </c>
      <c r="C296" s="48" t="s">
        <v>22</v>
      </c>
      <c r="D296" s="226">
        <v>18260</v>
      </c>
      <c r="E296" s="225">
        <v>83081</v>
      </c>
      <c r="F296" s="225">
        <v>2355</v>
      </c>
      <c r="G296" s="225">
        <v>30074</v>
      </c>
      <c r="H296" s="225">
        <v>115510</v>
      </c>
      <c r="I296" s="225">
        <v>757059</v>
      </c>
      <c r="J296" s="225">
        <v>215969</v>
      </c>
      <c r="K296" s="225">
        <v>973028</v>
      </c>
      <c r="L296" s="225">
        <v>499619</v>
      </c>
      <c r="M296" s="225">
        <v>1588157</v>
      </c>
      <c r="N296" s="227">
        <f t="shared" si="4"/>
        <v>86.974644030668131</v>
      </c>
    </row>
    <row r="297" spans="1:14" ht="13.5" thickBot="1" x14ac:dyDescent="0.25">
      <c r="A297" s="48" t="s">
        <v>706</v>
      </c>
      <c r="B297" s="224" t="s">
        <v>705</v>
      </c>
      <c r="C297" s="48" t="s">
        <v>22</v>
      </c>
      <c r="D297" s="226">
        <v>13940</v>
      </c>
      <c r="E297" s="225">
        <v>46330</v>
      </c>
      <c r="F297" s="225">
        <v>8650</v>
      </c>
      <c r="G297" s="225">
        <v>12100</v>
      </c>
      <c r="H297" s="225">
        <v>67080</v>
      </c>
      <c r="I297" s="225">
        <v>382195</v>
      </c>
      <c r="J297" s="225">
        <v>85578</v>
      </c>
      <c r="K297" s="225">
        <v>467773</v>
      </c>
      <c r="L297" s="225">
        <v>103780</v>
      </c>
      <c r="M297" s="225">
        <v>638633</v>
      </c>
      <c r="N297" s="227">
        <f t="shared" si="4"/>
        <v>45.812984218077474</v>
      </c>
    </row>
    <row r="298" spans="1:14" ht="13.5" thickBot="1" x14ac:dyDescent="0.25">
      <c r="A298" s="48" t="s">
        <v>712</v>
      </c>
      <c r="B298" s="224" t="s">
        <v>711</v>
      </c>
      <c r="C298" s="48" t="s">
        <v>22</v>
      </c>
      <c r="D298" s="226">
        <v>17937</v>
      </c>
      <c r="E298" s="225">
        <v>31206</v>
      </c>
      <c r="F298" s="225">
        <v>4064</v>
      </c>
      <c r="G298" s="225">
        <v>4800</v>
      </c>
      <c r="H298" s="225">
        <v>40070</v>
      </c>
      <c r="I298" s="225">
        <v>292165</v>
      </c>
      <c r="J298" s="225">
        <v>109563</v>
      </c>
      <c r="K298" s="225">
        <v>401728</v>
      </c>
      <c r="L298" s="225">
        <v>124527</v>
      </c>
      <c r="M298" s="225">
        <v>566325</v>
      </c>
      <c r="N298" s="227">
        <f t="shared" si="4"/>
        <v>31.573005519317611</v>
      </c>
    </row>
    <row r="299" spans="1:14" ht="13.5" thickBot="1" x14ac:dyDescent="0.25">
      <c r="A299" s="48" t="s">
        <v>730</v>
      </c>
      <c r="B299" s="224" t="s">
        <v>729</v>
      </c>
      <c r="C299" s="48" t="s">
        <v>22</v>
      </c>
      <c r="D299" s="226">
        <v>18134</v>
      </c>
      <c r="E299" s="225">
        <v>40301</v>
      </c>
      <c r="F299" s="225">
        <v>8163</v>
      </c>
      <c r="G299" s="225">
        <v>9790</v>
      </c>
      <c r="H299" s="225">
        <v>58254</v>
      </c>
      <c r="I299" s="225">
        <v>423537</v>
      </c>
      <c r="J299" s="225">
        <v>85303</v>
      </c>
      <c r="K299" s="225">
        <v>508840</v>
      </c>
      <c r="L299" s="225">
        <v>180130</v>
      </c>
      <c r="M299" s="225">
        <v>747224</v>
      </c>
      <c r="N299" s="227">
        <f t="shared" si="4"/>
        <v>41.205690967243854</v>
      </c>
    </row>
    <row r="300" spans="1:14" ht="13.5" thickBot="1" x14ac:dyDescent="0.25">
      <c r="A300" s="48" t="s">
        <v>742</v>
      </c>
      <c r="B300" s="224" t="s">
        <v>741</v>
      </c>
      <c r="C300" s="48" t="s">
        <v>22</v>
      </c>
      <c r="D300" s="226">
        <v>15497</v>
      </c>
      <c r="E300" s="225">
        <v>1951</v>
      </c>
      <c r="F300" s="225">
        <v>0</v>
      </c>
      <c r="G300" s="225">
        <v>2000</v>
      </c>
      <c r="H300" s="225">
        <v>3951</v>
      </c>
      <c r="I300" s="225">
        <v>87813</v>
      </c>
      <c r="J300" s="225">
        <v>36935</v>
      </c>
      <c r="K300" s="225">
        <v>124748</v>
      </c>
      <c r="L300" s="225">
        <v>14986</v>
      </c>
      <c r="M300" s="225">
        <v>143685</v>
      </c>
      <c r="N300" s="227">
        <f t="shared" si="4"/>
        <v>9.2717945408788793</v>
      </c>
    </row>
    <row r="301" spans="1:14" ht="13.5" thickBot="1" x14ac:dyDescent="0.25">
      <c r="A301" s="48" t="s">
        <v>746</v>
      </c>
      <c r="B301" s="224" t="s">
        <v>745</v>
      </c>
      <c r="C301" s="48" t="s">
        <v>22</v>
      </c>
      <c r="D301" s="226">
        <v>14253</v>
      </c>
      <c r="E301" s="225">
        <v>25714</v>
      </c>
      <c r="F301" s="225">
        <v>1791</v>
      </c>
      <c r="G301" s="225">
        <v>3105</v>
      </c>
      <c r="H301" s="225">
        <v>30610</v>
      </c>
      <c r="I301" s="225">
        <v>209372</v>
      </c>
      <c r="J301" s="225">
        <v>52994</v>
      </c>
      <c r="K301" s="225">
        <v>262366</v>
      </c>
      <c r="L301" s="225">
        <v>138917</v>
      </c>
      <c r="M301" s="225">
        <v>431893</v>
      </c>
      <c r="N301" s="227">
        <f t="shared" si="4"/>
        <v>30.301901354100892</v>
      </c>
    </row>
    <row r="302" spans="1:14" ht="13.5" thickBot="1" x14ac:dyDescent="0.25">
      <c r="A302" s="48" t="s">
        <v>766</v>
      </c>
      <c r="B302" s="224" t="s">
        <v>765</v>
      </c>
      <c r="C302" s="48" t="s">
        <v>22</v>
      </c>
      <c r="D302" s="226">
        <v>12238</v>
      </c>
      <c r="E302" s="225">
        <v>12411</v>
      </c>
      <c r="F302" s="225">
        <v>3795</v>
      </c>
      <c r="G302" s="225">
        <v>2000</v>
      </c>
      <c r="H302" s="225">
        <v>18206</v>
      </c>
      <c r="I302" s="225">
        <v>204730</v>
      </c>
      <c r="J302" s="225">
        <v>34715</v>
      </c>
      <c r="K302" s="225">
        <v>239445</v>
      </c>
      <c r="L302" s="225">
        <v>76518</v>
      </c>
      <c r="M302" s="225">
        <v>334169</v>
      </c>
      <c r="N302" s="227">
        <f t="shared" si="4"/>
        <v>27.305850629187777</v>
      </c>
    </row>
    <row r="303" spans="1:14" ht="13.5" thickBot="1" x14ac:dyDescent="0.25">
      <c r="A303" s="48" t="s">
        <v>786</v>
      </c>
      <c r="B303" s="224" t="s">
        <v>785</v>
      </c>
      <c r="C303" s="48" t="s">
        <v>22</v>
      </c>
      <c r="D303" s="226">
        <v>17593</v>
      </c>
      <c r="E303" s="225">
        <v>33466</v>
      </c>
      <c r="F303" s="225">
        <v>7118</v>
      </c>
      <c r="G303" s="225">
        <v>13473</v>
      </c>
      <c r="H303" s="225">
        <v>54057</v>
      </c>
      <c r="I303" s="225">
        <v>294230</v>
      </c>
      <c r="J303" s="225">
        <v>85480</v>
      </c>
      <c r="K303" s="225">
        <v>379710</v>
      </c>
      <c r="L303" s="225">
        <v>205815</v>
      </c>
      <c r="M303" s="225">
        <v>639582</v>
      </c>
      <c r="N303" s="227">
        <f t="shared" si="4"/>
        <v>36.354345478315238</v>
      </c>
    </row>
    <row r="304" spans="1:14" ht="13.5" thickBot="1" x14ac:dyDescent="0.25">
      <c r="A304" s="48" t="s">
        <v>812</v>
      </c>
      <c r="B304" s="224" t="s">
        <v>811</v>
      </c>
      <c r="C304" s="48" t="s">
        <v>22</v>
      </c>
      <c r="D304" s="226">
        <v>13498</v>
      </c>
      <c r="E304" s="225">
        <v>52542</v>
      </c>
      <c r="F304" s="225">
        <v>18791</v>
      </c>
      <c r="G304" s="225">
        <v>32617</v>
      </c>
      <c r="H304" s="225">
        <v>103950</v>
      </c>
      <c r="I304" s="225">
        <v>387359</v>
      </c>
      <c r="J304" s="225">
        <v>100989</v>
      </c>
      <c r="K304" s="225">
        <v>488348</v>
      </c>
      <c r="L304" s="225">
        <v>312927</v>
      </c>
      <c r="M304" s="225">
        <v>905225</v>
      </c>
      <c r="N304" s="227">
        <f t="shared" si="4"/>
        <v>67.06363905763817</v>
      </c>
    </row>
    <row r="305" spans="1:14" ht="13.5" thickBot="1" x14ac:dyDescent="0.25">
      <c r="A305" s="48" t="s">
        <v>38</v>
      </c>
      <c r="B305" s="224" t="s">
        <v>37</v>
      </c>
      <c r="C305" s="48" t="s">
        <v>39</v>
      </c>
      <c r="D305" s="226">
        <v>28210</v>
      </c>
      <c r="E305" s="225">
        <v>33808</v>
      </c>
      <c r="F305" s="225">
        <v>12269</v>
      </c>
      <c r="G305" s="225">
        <v>17960</v>
      </c>
      <c r="H305" s="225">
        <v>64037</v>
      </c>
      <c r="I305" s="225">
        <v>320504</v>
      </c>
      <c r="J305" s="225">
        <v>43403</v>
      </c>
      <c r="K305" s="225">
        <v>363907</v>
      </c>
      <c r="L305" s="225">
        <v>519908</v>
      </c>
      <c r="M305" s="225">
        <v>947852</v>
      </c>
      <c r="N305" s="227">
        <f t="shared" si="4"/>
        <v>33.599858206309818</v>
      </c>
    </row>
    <row r="306" spans="1:14" ht="13.5" thickBot="1" x14ac:dyDescent="0.25">
      <c r="A306" s="48" t="s">
        <v>41</v>
      </c>
      <c r="B306" s="224" t="s">
        <v>40</v>
      </c>
      <c r="C306" s="48" t="s">
        <v>39</v>
      </c>
      <c r="D306" s="226">
        <v>28283</v>
      </c>
      <c r="E306" s="225">
        <v>39464</v>
      </c>
      <c r="F306" s="225">
        <v>5324</v>
      </c>
      <c r="G306" s="225">
        <v>16796</v>
      </c>
      <c r="H306" s="225">
        <v>61584</v>
      </c>
      <c r="I306" s="225">
        <v>209350</v>
      </c>
      <c r="J306" s="225">
        <v>22139</v>
      </c>
      <c r="K306" s="225">
        <v>231489</v>
      </c>
      <c r="L306" s="225">
        <v>131385</v>
      </c>
      <c r="M306" s="225">
        <v>424458</v>
      </c>
      <c r="N306" s="227">
        <f t="shared" si="4"/>
        <v>15.007531025704488</v>
      </c>
    </row>
    <row r="307" spans="1:14" ht="13.5" thickBot="1" x14ac:dyDescent="0.25">
      <c r="A307" s="48" t="s">
        <v>49</v>
      </c>
      <c r="B307" s="224" t="s">
        <v>48</v>
      </c>
      <c r="C307" s="48" t="s">
        <v>39</v>
      </c>
      <c r="D307" s="226">
        <v>29598</v>
      </c>
      <c r="E307" s="225">
        <v>39734.65</v>
      </c>
      <c r="F307" s="225">
        <v>2982.59</v>
      </c>
      <c r="G307" s="225">
        <v>12593.77</v>
      </c>
      <c r="H307" s="225">
        <v>55311.01</v>
      </c>
      <c r="I307" s="225">
        <v>598960.06000000006</v>
      </c>
      <c r="J307" s="225">
        <v>171077.56</v>
      </c>
      <c r="K307" s="225">
        <v>770037.62</v>
      </c>
      <c r="L307" s="225">
        <v>464991.54</v>
      </c>
      <c r="M307" s="225">
        <v>1290340.17</v>
      </c>
      <c r="N307" s="227">
        <f t="shared" si="4"/>
        <v>43.595518953983373</v>
      </c>
    </row>
    <row r="308" spans="1:14" ht="13.5" thickBot="1" x14ac:dyDescent="0.25">
      <c r="A308" s="48" t="s">
        <v>72</v>
      </c>
      <c r="B308" s="224" t="s">
        <v>71</v>
      </c>
      <c r="C308" s="48" t="s">
        <v>39</v>
      </c>
      <c r="D308" s="226">
        <v>35350</v>
      </c>
      <c r="E308" s="225">
        <v>192922</v>
      </c>
      <c r="F308" s="225">
        <v>87539</v>
      </c>
      <c r="G308" s="225">
        <v>307240</v>
      </c>
      <c r="H308" s="225">
        <v>587701</v>
      </c>
      <c r="I308" s="225">
        <v>1694936</v>
      </c>
      <c r="J308" s="225">
        <v>754820</v>
      </c>
      <c r="K308" s="225">
        <v>2449756</v>
      </c>
      <c r="L308" s="225">
        <v>564899</v>
      </c>
      <c r="M308" s="225">
        <v>3602356</v>
      </c>
      <c r="N308" s="227">
        <f t="shared" si="4"/>
        <v>101.90540311173974</v>
      </c>
    </row>
    <row r="309" spans="1:14" ht="13.5" thickBot="1" x14ac:dyDescent="0.25">
      <c r="A309" s="48" t="s">
        <v>84</v>
      </c>
      <c r="B309" s="224" t="s">
        <v>83</v>
      </c>
      <c r="C309" s="48" t="s">
        <v>39</v>
      </c>
      <c r="D309" s="226">
        <v>42361</v>
      </c>
      <c r="E309" s="225">
        <v>178203</v>
      </c>
      <c r="F309" s="225">
        <v>38593</v>
      </c>
      <c r="G309" s="225">
        <v>32706</v>
      </c>
      <c r="H309" s="225">
        <v>249502</v>
      </c>
      <c r="I309" s="225">
        <v>705933</v>
      </c>
      <c r="J309" s="225">
        <v>219684</v>
      </c>
      <c r="K309" s="225">
        <v>925617</v>
      </c>
      <c r="L309" s="225">
        <v>341999</v>
      </c>
      <c r="M309" s="225">
        <v>1517118</v>
      </c>
      <c r="N309" s="227">
        <f t="shared" si="4"/>
        <v>35.814027053185711</v>
      </c>
    </row>
    <row r="310" spans="1:14" ht="13.5" thickBot="1" x14ac:dyDescent="0.25">
      <c r="A310" s="48" t="s">
        <v>108</v>
      </c>
      <c r="B310" s="224" t="s">
        <v>107</v>
      </c>
      <c r="C310" s="48" t="s">
        <v>39</v>
      </c>
      <c r="D310" s="226">
        <v>41070</v>
      </c>
      <c r="E310" s="225">
        <v>424085</v>
      </c>
      <c r="F310" s="225">
        <v>147633</v>
      </c>
      <c r="G310" s="225">
        <v>169274</v>
      </c>
      <c r="H310" s="225">
        <v>740992</v>
      </c>
      <c r="I310" s="225">
        <v>2994185</v>
      </c>
      <c r="J310" s="225">
        <v>1328412</v>
      </c>
      <c r="K310" s="225">
        <v>4322597</v>
      </c>
      <c r="L310" s="225">
        <v>1262800</v>
      </c>
      <c r="M310" s="225">
        <v>6326389</v>
      </c>
      <c r="N310" s="227">
        <f t="shared" si="4"/>
        <v>154.0391770148527</v>
      </c>
    </row>
    <row r="311" spans="1:14" ht="13.5" thickBot="1" x14ac:dyDescent="0.25">
      <c r="A311" s="48" t="s">
        <v>114</v>
      </c>
      <c r="B311" s="224" t="s">
        <v>113</v>
      </c>
      <c r="C311" s="48" t="s">
        <v>39</v>
      </c>
      <c r="D311" s="226">
        <v>46905</v>
      </c>
      <c r="E311" s="225">
        <v>82542</v>
      </c>
      <c r="F311" s="225">
        <v>15010</v>
      </c>
      <c r="G311" s="225">
        <v>28413</v>
      </c>
      <c r="H311" s="225">
        <v>125965</v>
      </c>
      <c r="I311" s="225">
        <v>1005376</v>
      </c>
      <c r="J311" s="225">
        <v>227988</v>
      </c>
      <c r="K311" s="225">
        <v>1233364</v>
      </c>
      <c r="L311" s="225">
        <v>611187</v>
      </c>
      <c r="M311" s="225">
        <v>1970516</v>
      </c>
      <c r="N311" s="227">
        <f t="shared" si="4"/>
        <v>42.010787762498666</v>
      </c>
    </row>
    <row r="312" spans="1:14" ht="13.5" thickBot="1" x14ac:dyDescent="0.25">
      <c r="A312" s="48" t="s">
        <v>124</v>
      </c>
      <c r="B312" s="224" t="s">
        <v>123</v>
      </c>
      <c r="C312" s="48" t="s">
        <v>39</v>
      </c>
      <c r="D312" s="226">
        <v>43254</v>
      </c>
      <c r="E312" s="225">
        <v>78827</v>
      </c>
      <c r="F312" s="225">
        <v>22806</v>
      </c>
      <c r="G312" s="225">
        <v>52213</v>
      </c>
      <c r="H312" s="225">
        <v>153846</v>
      </c>
      <c r="I312" s="225">
        <v>1090869</v>
      </c>
      <c r="J312" s="225">
        <v>123042</v>
      </c>
      <c r="K312" s="225">
        <v>1213911</v>
      </c>
      <c r="L312" s="225">
        <v>457134</v>
      </c>
      <c r="M312" s="225">
        <v>1824891</v>
      </c>
      <c r="N312" s="227">
        <f t="shared" si="4"/>
        <v>42.19010958524067</v>
      </c>
    </row>
    <row r="313" spans="1:14" ht="13.5" thickBot="1" x14ac:dyDescent="0.25">
      <c r="A313" s="48" t="s">
        <v>134</v>
      </c>
      <c r="B313" s="224" t="s">
        <v>133</v>
      </c>
      <c r="C313" s="48" t="s">
        <v>39</v>
      </c>
      <c r="D313" s="226">
        <v>35087</v>
      </c>
      <c r="E313" s="225">
        <v>51513</v>
      </c>
      <c r="F313" s="225">
        <v>12329</v>
      </c>
      <c r="G313" s="225">
        <v>14967</v>
      </c>
      <c r="H313" s="225">
        <v>78809</v>
      </c>
      <c r="I313" s="225">
        <v>551023</v>
      </c>
      <c r="J313" s="225">
        <v>152991</v>
      </c>
      <c r="K313" s="225">
        <v>704014</v>
      </c>
      <c r="L313" s="225">
        <v>168565</v>
      </c>
      <c r="M313" s="225">
        <v>951388</v>
      </c>
      <c r="N313" s="227">
        <f t="shared" si="4"/>
        <v>27.115113859834128</v>
      </c>
    </row>
    <row r="314" spans="1:14" ht="13.5" thickBot="1" x14ac:dyDescent="0.25">
      <c r="A314" s="48" t="s">
        <v>150</v>
      </c>
      <c r="B314" s="224" t="s">
        <v>149</v>
      </c>
      <c r="C314" s="48" t="s">
        <v>39</v>
      </c>
      <c r="D314" s="226">
        <v>38002</v>
      </c>
      <c r="E314" s="225">
        <v>63746</v>
      </c>
      <c r="F314" s="225">
        <v>17593</v>
      </c>
      <c r="G314" s="225">
        <v>40625</v>
      </c>
      <c r="H314" s="225">
        <v>121964</v>
      </c>
      <c r="I314" s="225">
        <v>531873</v>
      </c>
      <c r="J314" s="225">
        <v>107870</v>
      </c>
      <c r="K314" s="225">
        <v>639743</v>
      </c>
      <c r="L314" s="225">
        <v>281961</v>
      </c>
      <c r="M314" s="225">
        <v>1043668</v>
      </c>
      <c r="N314" s="227">
        <f t="shared" si="4"/>
        <v>27.463501920951529</v>
      </c>
    </row>
    <row r="315" spans="1:14" ht="13.5" thickBot="1" x14ac:dyDescent="0.25">
      <c r="A315" s="48" t="s">
        <v>170</v>
      </c>
      <c r="B315" s="224" t="s">
        <v>169</v>
      </c>
      <c r="C315" s="48" t="s">
        <v>39</v>
      </c>
      <c r="D315" s="226">
        <v>43381</v>
      </c>
      <c r="E315" s="225">
        <v>76221</v>
      </c>
      <c r="F315" s="225">
        <v>19345</v>
      </c>
      <c r="G315" s="225">
        <v>50932</v>
      </c>
      <c r="H315" s="225">
        <v>146498</v>
      </c>
      <c r="I315" s="225">
        <v>589185</v>
      </c>
      <c r="J315" s="225">
        <v>153284</v>
      </c>
      <c r="K315" s="225">
        <v>742469</v>
      </c>
      <c r="L315" s="225">
        <v>416857</v>
      </c>
      <c r="M315" s="225">
        <v>1305824</v>
      </c>
      <c r="N315" s="227">
        <f t="shared" si="4"/>
        <v>30.101288582559185</v>
      </c>
    </row>
    <row r="316" spans="1:14" ht="13.5" thickBot="1" x14ac:dyDescent="0.25">
      <c r="A316" s="48" t="s">
        <v>174</v>
      </c>
      <c r="B316" s="224" t="s">
        <v>173</v>
      </c>
      <c r="C316" s="48" t="s">
        <v>39</v>
      </c>
      <c r="D316" s="226">
        <v>35563</v>
      </c>
      <c r="E316" s="225">
        <v>157200</v>
      </c>
      <c r="F316" s="225">
        <v>40025</v>
      </c>
      <c r="G316" s="225">
        <v>60000</v>
      </c>
      <c r="H316" s="225">
        <v>257225</v>
      </c>
      <c r="I316" s="225">
        <v>939676</v>
      </c>
      <c r="J316" s="225">
        <v>231078</v>
      </c>
      <c r="K316" s="225">
        <v>1170754</v>
      </c>
      <c r="L316" s="225">
        <v>350437</v>
      </c>
      <c r="M316" s="225">
        <v>1778416</v>
      </c>
      <c r="N316" s="227">
        <f t="shared" si="4"/>
        <v>50.007479683941177</v>
      </c>
    </row>
    <row r="317" spans="1:14" ht="13.5" thickBot="1" x14ac:dyDescent="0.25">
      <c r="A317" s="48" t="s">
        <v>188</v>
      </c>
      <c r="B317" s="224" t="s">
        <v>187</v>
      </c>
      <c r="C317" s="48" t="s">
        <v>39</v>
      </c>
      <c r="D317" s="226">
        <v>40186</v>
      </c>
      <c r="E317" s="225">
        <v>193137</v>
      </c>
      <c r="F317" s="225">
        <v>0</v>
      </c>
      <c r="G317" s="225">
        <v>76282</v>
      </c>
      <c r="H317" s="225">
        <v>269419</v>
      </c>
      <c r="I317" s="225">
        <v>678717</v>
      </c>
      <c r="J317" s="225">
        <v>232258</v>
      </c>
      <c r="K317" s="225">
        <v>910975</v>
      </c>
      <c r="L317" s="225">
        <v>290599</v>
      </c>
      <c r="M317" s="225">
        <v>1470993</v>
      </c>
      <c r="N317" s="227">
        <f t="shared" si="4"/>
        <v>36.604613547006423</v>
      </c>
    </row>
    <row r="318" spans="1:14" ht="13.5" thickBot="1" x14ac:dyDescent="0.25">
      <c r="A318" s="48" t="s">
        <v>190</v>
      </c>
      <c r="B318" s="224" t="s">
        <v>189</v>
      </c>
      <c r="C318" s="48" t="s">
        <v>39</v>
      </c>
      <c r="D318" s="226">
        <v>28263</v>
      </c>
      <c r="E318" s="225">
        <v>38795</v>
      </c>
      <c r="F318" s="225">
        <v>12658</v>
      </c>
      <c r="G318" s="225">
        <v>18812</v>
      </c>
      <c r="H318" s="225">
        <v>70265</v>
      </c>
      <c r="I318" s="225">
        <v>286028</v>
      </c>
      <c r="J318" s="225">
        <v>14379</v>
      </c>
      <c r="K318" s="225">
        <v>300407</v>
      </c>
      <c r="L318" s="225">
        <v>173441</v>
      </c>
      <c r="M318" s="225">
        <v>544113</v>
      </c>
      <c r="N318" s="227">
        <f t="shared" si="4"/>
        <v>19.251777942893536</v>
      </c>
    </row>
    <row r="319" spans="1:14" ht="13.5" thickBot="1" x14ac:dyDescent="0.25">
      <c r="A319" s="48" t="s">
        <v>200</v>
      </c>
      <c r="B319" s="224" t="s">
        <v>199</v>
      </c>
      <c r="C319" s="48" t="s">
        <v>39</v>
      </c>
      <c r="D319" s="226">
        <v>26391</v>
      </c>
      <c r="E319" s="225">
        <v>112989</v>
      </c>
      <c r="F319" s="225">
        <v>32000</v>
      </c>
      <c r="G319" s="225">
        <v>70200</v>
      </c>
      <c r="H319" s="225">
        <v>215189</v>
      </c>
      <c r="I319" s="225">
        <v>924568</v>
      </c>
      <c r="J319" s="225">
        <v>316213</v>
      </c>
      <c r="K319" s="225">
        <v>1240781</v>
      </c>
      <c r="L319" s="225">
        <v>254962</v>
      </c>
      <c r="M319" s="225">
        <v>1710932</v>
      </c>
      <c r="N319" s="227">
        <f t="shared" si="4"/>
        <v>64.8301314842181</v>
      </c>
    </row>
    <row r="320" spans="1:14" ht="13.5" thickBot="1" x14ac:dyDescent="0.25">
      <c r="A320" s="48" t="s">
        <v>218</v>
      </c>
      <c r="B320" s="224" t="s">
        <v>217</v>
      </c>
      <c r="C320" s="48" t="s">
        <v>39</v>
      </c>
      <c r="D320" s="226">
        <v>32799</v>
      </c>
      <c r="E320" s="225">
        <v>69110</v>
      </c>
      <c r="F320" s="225">
        <v>7069</v>
      </c>
      <c r="G320" s="225">
        <v>33625</v>
      </c>
      <c r="H320" s="225">
        <v>109804</v>
      </c>
      <c r="I320" s="225">
        <v>719253</v>
      </c>
      <c r="J320" s="225">
        <v>214512</v>
      </c>
      <c r="K320" s="225">
        <v>933765</v>
      </c>
      <c r="L320" s="225">
        <v>724506</v>
      </c>
      <c r="M320" s="225">
        <v>1768075</v>
      </c>
      <c r="N320" s="227">
        <f t="shared" si="4"/>
        <v>53.906369096618796</v>
      </c>
    </row>
    <row r="321" spans="1:14" ht="13.5" thickBot="1" x14ac:dyDescent="0.25">
      <c r="A321" s="48" t="s">
        <v>228</v>
      </c>
      <c r="B321" s="224" t="s">
        <v>227</v>
      </c>
      <c r="C321" s="48" t="s">
        <v>39</v>
      </c>
      <c r="D321" s="226">
        <v>26168</v>
      </c>
      <c r="E321" s="225">
        <v>82625</v>
      </c>
      <c r="F321" s="225">
        <v>18674</v>
      </c>
      <c r="G321" s="225">
        <v>6791</v>
      </c>
      <c r="H321" s="225">
        <v>108090</v>
      </c>
      <c r="I321" s="225">
        <v>478452</v>
      </c>
      <c r="J321" s="225">
        <v>340042</v>
      </c>
      <c r="K321" s="225">
        <v>818494</v>
      </c>
      <c r="L321" s="225">
        <v>189129</v>
      </c>
      <c r="M321" s="225">
        <v>1115713</v>
      </c>
      <c r="N321" s="227">
        <f t="shared" si="4"/>
        <v>42.63654081320697</v>
      </c>
    </row>
    <row r="322" spans="1:14" ht="13.5" thickBot="1" x14ac:dyDescent="0.25">
      <c r="A322" s="48" t="s">
        <v>240</v>
      </c>
      <c r="B322" s="224" t="s">
        <v>239</v>
      </c>
      <c r="C322" s="48" t="s">
        <v>39</v>
      </c>
      <c r="D322" s="226">
        <v>48579</v>
      </c>
      <c r="E322" s="225">
        <v>140000</v>
      </c>
      <c r="F322" s="225">
        <v>20000</v>
      </c>
      <c r="G322" s="225">
        <v>183834</v>
      </c>
      <c r="H322" s="225">
        <v>343834</v>
      </c>
      <c r="I322" s="225">
        <v>830000</v>
      </c>
      <c r="J322" s="225">
        <v>220000</v>
      </c>
      <c r="K322" s="225">
        <v>1050000</v>
      </c>
      <c r="L322" s="225">
        <v>787666</v>
      </c>
      <c r="M322" s="225">
        <v>2181500</v>
      </c>
      <c r="N322" s="227">
        <f t="shared" si="4"/>
        <v>44.906235204512235</v>
      </c>
    </row>
    <row r="323" spans="1:14" ht="13.5" thickBot="1" x14ac:dyDescent="0.25">
      <c r="A323" s="48" t="s">
        <v>242</v>
      </c>
      <c r="B323" s="224" t="s">
        <v>241</v>
      </c>
      <c r="C323" s="48" t="s">
        <v>39</v>
      </c>
      <c r="D323" s="226">
        <v>32442</v>
      </c>
      <c r="E323" s="225">
        <v>39453</v>
      </c>
      <c r="F323" s="225">
        <v>16275</v>
      </c>
      <c r="G323" s="225">
        <v>8072</v>
      </c>
      <c r="H323" s="225">
        <v>63800</v>
      </c>
      <c r="I323" s="225">
        <v>420362</v>
      </c>
      <c r="J323" s="225">
        <v>270032</v>
      </c>
      <c r="K323" s="225">
        <v>690394</v>
      </c>
      <c r="L323" s="225">
        <v>139360</v>
      </c>
      <c r="M323" s="225">
        <v>893554</v>
      </c>
      <c r="N323" s="227">
        <f t="shared" si="4"/>
        <v>27.543123112015287</v>
      </c>
    </row>
    <row r="324" spans="1:14" ht="13.5" thickBot="1" x14ac:dyDescent="0.25">
      <c r="A324" s="48" t="s">
        <v>300</v>
      </c>
      <c r="B324" s="224" t="s">
        <v>299</v>
      </c>
      <c r="C324" s="48" t="s">
        <v>39</v>
      </c>
      <c r="D324" s="226">
        <v>27692</v>
      </c>
      <c r="E324" s="225">
        <v>33487</v>
      </c>
      <c r="F324" s="225">
        <v>8091</v>
      </c>
      <c r="G324" s="225">
        <v>15900</v>
      </c>
      <c r="H324" s="225">
        <v>57478</v>
      </c>
      <c r="I324" s="225">
        <v>226234</v>
      </c>
      <c r="J324" s="225">
        <v>122449</v>
      </c>
      <c r="K324" s="225">
        <v>348683</v>
      </c>
      <c r="L324" s="225">
        <v>151451</v>
      </c>
      <c r="M324" s="225">
        <v>557612</v>
      </c>
      <c r="N324" s="227">
        <f t="shared" ref="N324:N387" si="5">M324/D324</f>
        <v>20.136212624584719</v>
      </c>
    </row>
    <row r="325" spans="1:14" ht="13.5" thickBot="1" x14ac:dyDescent="0.25">
      <c r="A325" s="48" t="s">
        <v>308</v>
      </c>
      <c r="B325" s="224" t="s">
        <v>307</v>
      </c>
      <c r="C325" s="48" t="s">
        <v>39</v>
      </c>
      <c r="D325" s="226">
        <v>46985</v>
      </c>
      <c r="E325" s="225">
        <v>91123</v>
      </c>
      <c r="F325" s="225">
        <v>33214</v>
      </c>
      <c r="G325" s="225">
        <v>54181</v>
      </c>
      <c r="H325" s="225">
        <v>178518</v>
      </c>
      <c r="I325" s="225">
        <v>585820</v>
      </c>
      <c r="J325" s="225">
        <v>159617</v>
      </c>
      <c r="K325" s="225">
        <v>745437</v>
      </c>
      <c r="L325" s="225">
        <v>256096</v>
      </c>
      <c r="M325" s="225">
        <v>1180051</v>
      </c>
      <c r="N325" s="227">
        <f t="shared" si="5"/>
        <v>25.115483664999466</v>
      </c>
    </row>
    <row r="326" spans="1:14" ht="13.5" thickBot="1" x14ac:dyDescent="0.25">
      <c r="A326" s="48" t="s">
        <v>328</v>
      </c>
      <c r="B326" s="224" t="s">
        <v>327</v>
      </c>
      <c r="C326" s="48" t="s">
        <v>39</v>
      </c>
      <c r="D326" s="226">
        <v>40898</v>
      </c>
      <c r="E326" s="225">
        <v>65020</v>
      </c>
      <c r="F326" s="225">
        <v>16619</v>
      </c>
      <c r="G326" s="225">
        <v>19469</v>
      </c>
      <c r="H326" s="225">
        <v>101108</v>
      </c>
      <c r="I326" s="225">
        <v>917940</v>
      </c>
      <c r="J326" s="225">
        <v>431787</v>
      </c>
      <c r="K326" s="225">
        <v>1349727</v>
      </c>
      <c r="L326" s="225">
        <v>300308</v>
      </c>
      <c r="M326" s="225">
        <v>1751143</v>
      </c>
      <c r="N326" s="227">
        <f t="shared" si="5"/>
        <v>42.817326030612747</v>
      </c>
    </row>
    <row r="327" spans="1:14" ht="13.5" thickBot="1" x14ac:dyDescent="0.25">
      <c r="A327" s="48" t="s">
        <v>386</v>
      </c>
      <c r="B327" s="224" t="s">
        <v>385</v>
      </c>
      <c r="C327" s="48" t="s">
        <v>39</v>
      </c>
      <c r="D327" s="226">
        <v>41786</v>
      </c>
      <c r="E327" s="225">
        <v>130093</v>
      </c>
      <c r="F327" s="225">
        <v>9383</v>
      </c>
      <c r="G327" s="225">
        <v>21080</v>
      </c>
      <c r="H327" s="225">
        <v>160556</v>
      </c>
      <c r="I327" s="225">
        <v>317497</v>
      </c>
      <c r="J327" s="225">
        <v>96957</v>
      </c>
      <c r="K327" s="225">
        <v>414454</v>
      </c>
      <c r="L327" s="225">
        <v>595009</v>
      </c>
      <c r="M327" s="225">
        <v>1170019</v>
      </c>
      <c r="N327" s="227">
        <f t="shared" si="5"/>
        <v>28.000263246063273</v>
      </c>
    </row>
    <row r="328" spans="1:14" ht="13.5" thickBot="1" x14ac:dyDescent="0.25">
      <c r="A328" s="48" t="s">
        <v>431</v>
      </c>
      <c r="B328" s="224" t="s">
        <v>430</v>
      </c>
      <c r="C328" s="48" t="s">
        <v>39</v>
      </c>
      <c r="D328" s="226">
        <v>40771</v>
      </c>
      <c r="E328" s="225">
        <v>79209</v>
      </c>
      <c r="F328" s="225">
        <v>11305</v>
      </c>
      <c r="G328" s="225">
        <v>44294</v>
      </c>
      <c r="H328" s="225">
        <v>134808</v>
      </c>
      <c r="I328" s="225">
        <v>458525</v>
      </c>
      <c r="J328" s="225">
        <v>116027</v>
      </c>
      <c r="K328" s="225">
        <v>574552</v>
      </c>
      <c r="L328" s="225">
        <v>198866</v>
      </c>
      <c r="M328" s="225">
        <v>908226</v>
      </c>
      <c r="N328" s="227">
        <f t="shared" si="5"/>
        <v>22.276274803168921</v>
      </c>
    </row>
    <row r="329" spans="1:14" ht="13.5" thickBot="1" x14ac:dyDescent="0.25">
      <c r="A329" s="48" t="s">
        <v>437</v>
      </c>
      <c r="B329" s="224" t="s">
        <v>436</v>
      </c>
      <c r="C329" s="48" t="s">
        <v>39</v>
      </c>
      <c r="D329" s="226">
        <v>38144</v>
      </c>
      <c r="E329" s="225">
        <v>35213</v>
      </c>
      <c r="F329" s="225">
        <v>2431</v>
      </c>
      <c r="G329" s="225">
        <v>8579</v>
      </c>
      <c r="H329" s="225">
        <v>46223</v>
      </c>
      <c r="I329" s="225">
        <v>159458</v>
      </c>
      <c r="J329" s="225">
        <v>37276</v>
      </c>
      <c r="K329" s="225">
        <v>196734</v>
      </c>
      <c r="L329" s="225">
        <v>11041</v>
      </c>
      <c r="M329" s="225">
        <v>253998</v>
      </c>
      <c r="N329" s="227">
        <f t="shared" si="5"/>
        <v>6.6589240771812079</v>
      </c>
    </row>
    <row r="330" spans="1:14" ht="13.5" thickBot="1" x14ac:dyDescent="0.25">
      <c r="A330" s="48" t="s">
        <v>448</v>
      </c>
      <c r="B330" s="224" t="s">
        <v>447</v>
      </c>
      <c r="C330" s="48" t="s">
        <v>39</v>
      </c>
      <c r="D330" s="226">
        <v>35540</v>
      </c>
      <c r="E330" s="225">
        <v>87192</v>
      </c>
      <c r="F330" s="225">
        <v>21850</v>
      </c>
      <c r="G330" s="225">
        <v>81226</v>
      </c>
      <c r="H330" s="225">
        <v>190268</v>
      </c>
      <c r="I330" s="225">
        <v>995874</v>
      </c>
      <c r="J330" s="225">
        <v>316999</v>
      </c>
      <c r="K330" s="225">
        <v>1312873</v>
      </c>
      <c r="L330" s="225">
        <v>793629</v>
      </c>
      <c r="M330" s="225">
        <v>2296770</v>
      </c>
      <c r="N330" s="227">
        <f t="shared" si="5"/>
        <v>64.624929656724817</v>
      </c>
    </row>
    <row r="331" spans="1:14" ht="13.5" thickBot="1" x14ac:dyDescent="0.25">
      <c r="A331" s="48" t="s">
        <v>464</v>
      </c>
      <c r="B331" s="224" t="s">
        <v>463</v>
      </c>
      <c r="C331" s="48" t="s">
        <v>39</v>
      </c>
      <c r="D331" s="226">
        <v>29694</v>
      </c>
      <c r="E331" s="225">
        <v>50168</v>
      </c>
      <c r="F331" s="225">
        <v>3006</v>
      </c>
      <c r="G331" s="225">
        <v>27133</v>
      </c>
      <c r="H331" s="225">
        <v>80307</v>
      </c>
      <c r="I331" s="225">
        <v>338768</v>
      </c>
      <c r="J331" s="225">
        <v>222160</v>
      </c>
      <c r="K331" s="225">
        <v>560928</v>
      </c>
      <c r="L331" s="225">
        <v>46885</v>
      </c>
      <c r="M331" s="225">
        <v>688120</v>
      </c>
      <c r="N331" s="227">
        <f t="shared" si="5"/>
        <v>23.173705125614603</v>
      </c>
    </row>
    <row r="332" spans="1:14" ht="13.5" thickBot="1" x14ac:dyDescent="0.25">
      <c r="A332" s="48" t="s">
        <v>484</v>
      </c>
      <c r="B332" s="224" t="s">
        <v>483</v>
      </c>
      <c r="C332" s="48" t="s">
        <v>39</v>
      </c>
      <c r="D332" s="226">
        <v>28646</v>
      </c>
      <c r="E332" s="225">
        <v>66272</v>
      </c>
      <c r="F332" s="225">
        <v>24519</v>
      </c>
      <c r="G332" s="225">
        <v>37584</v>
      </c>
      <c r="H332" s="225">
        <v>128375</v>
      </c>
      <c r="I332" s="225">
        <v>578501</v>
      </c>
      <c r="J332" s="225">
        <v>140429</v>
      </c>
      <c r="K332" s="225">
        <v>718930</v>
      </c>
      <c r="L332" s="225">
        <v>399389</v>
      </c>
      <c r="M332" s="225">
        <v>1246694</v>
      </c>
      <c r="N332" s="227">
        <f t="shared" si="5"/>
        <v>43.520700970467082</v>
      </c>
    </row>
    <row r="333" spans="1:14" ht="13.5" thickBot="1" x14ac:dyDescent="0.25">
      <c r="A333" s="48" t="s">
        <v>538</v>
      </c>
      <c r="B333" s="224" t="s">
        <v>537</v>
      </c>
      <c r="C333" s="48" t="s">
        <v>39</v>
      </c>
      <c r="D333" s="226">
        <v>34467</v>
      </c>
      <c r="E333" s="225">
        <v>113319</v>
      </c>
      <c r="F333" s="225">
        <v>51350</v>
      </c>
      <c r="G333" s="225">
        <v>134850</v>
      </c>
      <c r="H333" s="225">
        <v>299519</v>
      </c>
      <c r="I333" s="225">
        <v>1347045</v>
      </c>
      <c r="J333" s="225">
        <v>383011</v>
      </c>
      <c r="K333" s="225">
        <v>1730056</v>
      </c>
      <c r="L333" s="225">
        <v>757556</v>
      </c>
      <c r="M333" s="225">
        <v>2787131</v>
      </c>
      <c r="N333" s="227">
        <f t="shared" si="5"/>
        <v>80.863753735457109</v>
      </c>
    </row>
    <row r="334" spans="1:14" ht="13.5" thickBot="1" x14ac:dyDescent="0.25">
      <c r="A334" s="48" t="s">
        <v>544</v>
      </c>
      <c r="B334" s="224" t="s">
        <v>543</v>
      </c>
      <c r="C334" s="48" t="s">
        <v>39</v>
      </c>
      <c r="D334" s="226">
        <v>29319</v>
      </c>
      <c r="E334" s="225">
        <v>47850</v>
      </c>
      <c r="F334" s="225">
        <v>7437</v>
      </c>
      <c r="G334" s="225">
        <v>6389</v>
      </c>
      <c r="H334" s="225">
        <v>61676</v>
      </c>
      <c r="I334" s="225">
        <v>355350</v>
      </c>
      <c r="J334" s="225">
        <v>243018</v>
      </c>
      <c r="K334" s="225">
        <v>598368</v>
      </c>
      <c r="L334" s="225">
        <v>178456</v>
      </c>
      <c r="M334" s="225">
        <v>838500</v>
      </c>
      <c r="N334" s="227">
        <f t="shared" si="5"/>
        <v>28.599201882738157</v>
      </c>
    </row>
    <row r="335" spans="1:14" ht="13.5" thickBot="1" x14ac:dyDescent="0.25">
      <c r="A335" s="48" t="s">
        <v>550</v>
      </c>
      <c r="B335" s="224" t="s">
        <v>549</v>
      </c>
      <c r="C335" s="48" t="s">
        <v>39</v>
      </c>
      <c r="D335" s="226">
        <v>35394</v>
      </c>
      <c r="E335" s="225">
        <v>106473</v>
      </c>
      <c r="F335" s="225">
        <v>52526</v>
      </c>
      <c r="G335" s="225">
        <v>94932</v>
      </c>
      <c r="H335" s="225">
        <v>253931</v>
      </c>
      <c r="I335" s="225">
        <v>1205269</v>
      </c>
      <c r="J335" s="225">
        <v>312024</v>
      </c>
      <c r="K335" s="225">
        <v>1517293</v>
      </c>
      <c r="L335" s="225">
        <v>413713</v>
      </c>
      <c r="M335" s="225">
        <v>2184937</v>
      </c>
      <c r="N335" s="227">
        <f t="shared" si="5"/>
        <v>61.731847205741083</v>
      </c>
    </row>
    <row r="336" spans="1:14" ht="13.5" thickBot="1" x14ac:dyDescent="0.25">
      <c r="A336" s="48" t="s">
        <v>578</v>
      </c>
      <c r="B336" s="224" t="s">
        <v>577</v>
      </c>
      <c r="C336" s="48" t="s">
        <v>39</v>
      </c>
      <c r="D336" s="226">
        <v>36441</v>
      </c>
      <c r="E336" s="225">
        <v>64737</v>
      </c>
      <c r="F336" s="225">
        <v>20832</v>
      </c>
      <c r="G336" s="225">
        <v>19405</v>
      </c>
      <c r="H336" s="225">
        <v>104974</v>
      </c>
      <c r="I336" s="225">
        <v>900753</v>
      </c>
      <c r="J336" s="225">
        <v>435440</v>
      </c>
      <c r="K336" s="225">
        <v>1336193</v>
      </c>
      <c r="L336" s="225">
        <v>396403</v>
      </c>
      <c r="M336" s="225">
        <v>1837570</v>
      </c>
      <c r="N336" s="227">
        <f t="shared" si="5"/>
        <v>50.425893910704978</v>
      </c>
    </row>
    <row r="337" spans="1:14" ht="13.5" thickBot="1" x14ac:dyDescent="0.25">
      <c r="A337" s="48" t="s">
        <v>588</v>
      </c>
      <c r="B337" s="224" t="s">
        <v>587</v>
      </c>
      <c r="C337" s="48" t="s">
        <v>39</v>
      </c>
      <c r="D337" s="226">
        <v>36656</v>
      </c>
      <c r="E337" s="225">
        <v>292762</v>
      </c>
      <c r="F337" s="225">
        <v>65526</v>
      </c>
      <c r="G337" s="225">
        <v>94776</v>
      </c>
      <c r="H337" s="225">
        <v>453064</v>
      </c>
      <c r="I337" s="225">
        <v>1771307</v>
      </c>
      <c r="J337" s="225">
        <v>471485</v>
      </c>
      <c r="K337" s="225">
        <v>2242792</v>
      </c>
      <c r="L337" s="225">
        <v>1278636</v>
      </c>
      <c r="M337" s="225">
        <v>3974492</v>
      </c>
      <c r="N337" s="227">
        <f t="shared" si="5"/>
        <v>108.42677869925797</v>
      </c>
    </row>
    <row r="338" spans="1:14" ht="13.5" thickBot="1" x14ac:dyDescent="0.25">
      <c r="A338" s="48" t="s">
        <v>616</v>
      </c>
      <c r="B338" s="224" t="s">
        <v>615</v>
      </c>
      <c r="C338" s="48" t="s">
        <v>39</v>
      </c>
      <c r="D338" s="226">
        <v>48362</v>
      </c>
      <c r="E338" s="225">
        <v>124201</v>
      </c>
      <c r="F338" s="225">
        <v>35600</v>
      </c>
      <c r="G338" s="225">
        <v>51569</v>
      </c>
      <c r="H338" s="225">
        <v>211370</v>
      </c>
      <c r="I338" s="225">
        <v>873318</v>
      </c>
      <c r="J338" s="225">
        <v>325324</v>
      </c>
      <c r="K338" s="225">
        <v>1198642</v>
      </c>
      <c r="L338" s="225">
        <v>469390</v>
      </c>
      <c r="M338" s="225">
        <v>1879402</v>
      </c>
      <c r="N338" s="227">
        <f t="shared" si="5"/>
        <v>38.861130639758485</v>
      </c>
    </row>
    <row r="339" spans="1:14" ht="13.5" thickBot="1" x14ac:dyDescent="0.25">
      <c r="A339" s="48" t="s">
        <v>640</v>
      </c>
      <c r="B339" s="224" t="s">
        <v>639</v>
      </c>
      <c r="C339" s="48" t="s">
        <v>39</v>
      </c>
      <c r="D339" s="226">
        <v>33839</v>
      </c>
      <c r="E339" s="225">
        <v>89867</v>
      </c>
      <c r="F339" s="225">
        <v>51849</v>
      </c>
      <c r="G339" s="225">
        <v>124957</v>
      </c>
      <c r="H339" s="225">
        <v>266673</v>
      </c>
      <c r="I339" s="225">
        <v>920233</v>
      </c>
      <c r="J339" s="225">
        <v>678476</v>
      </c>
      <c r="K339" s="225">
        <v>1598709</v>
      </c>
      <c r="L339" s="225">
        <v>321429</v>
      </c>
      <c r="M339" s="225">
        <v>2186811</v>
      </c>
      <c r="N339" s="227">
        <f t="shared" si="5"/>
        <v>64.62398416028843</v>
      </c>
    </row>
    <row r="340" spans="1:14" ht="13.5" thickBot="1" x14ac:dyDescent="0.25">
      <c r="A340" s="48" t="s">
        <v>642</v>
      </c>
      <c r="B340" s="224" t="s">
        <v>641</v>
      </c>
      <c r="C340" s="48" t="s">
        <v>39</v>
      </c>
      <c r="D340" s="226">
        <v>39868</v>
      </c>
      <c r="E340" s="225">
        <v>38294</v>
      </c>
      <c r="F340" s="225">
        <v>9433</v>
      </c>
      <c r="G340" s="225">
        <v>15992</v>
      </c>
      <c r="H340" s="225">
        <v>63719</v>
      </c>
      <c r="I340" s="225">
        <v>234834</v>
      </c>
      <c r="J340" s="225">
        <v>120450</v>
      </c>
      <c r="K340" s="225">
        <v>355284</v>
      </c>
      <c r="L340" s="225">
        <v>210042</v>
      </c>
      <c r="M340" s="225">
        <v>629045</v>
      </c>
      <c r="N340" s="227">
        <f t="shared" si="5"/>
        <v>15.778193037022174</v>
      </c>
    </row>
    <row r="341" spans="1:14" ht="13.5" thickBot="1" x14ac:dyDescent="0.25">
      <c r="A341" s="48" t="s">
        <v>646</v>
      </c>
      <c r="B341" s="224" t="s">
        <v>645</v>
      </c>
      <c r="C341" s="48" t="s">
        <v>39</v>
      </c>
      <c r="D341" s="226">
        <v>47299</v>
      </c>
      <c r="E341" s="225">
        <v>56911</v>
      </c>
      <c r="F341" s="225">
        <v>13279</v>
      </c>
      <c r="G341" s="225">
        <v>15589</v>
      </c>
      <c r="H341" s="225">
        <v>85779</v>
      </c>
      <c r="I341" s="225">
        <v>662036</v>
      </c>
      <c r="J341" s="225">
        <v>236536</v>
      </c>
      <c r="K341" s="225">
        <v>898572</v>
      </c>
      <c r="L341" s="225">
        <v>302655</v>
      </c>
      <c r="M341" s="225">
        <v>1287006</v>
      </c>
      <c r="N341" s="227">
        <f t="shared" si="5"/>
        <v>27.210004439840166</v>
      </c>
    </row>
    <row r="342" spans="1:14" ht="13.5" thickBot="1" x14ac:dyDescent="0.25">
      <c r="A342" s="48" t="s">
        <v>664</v>
      </c>
      <c r="B342" s="224" t="s">
        <v>663</v>
      </c>
      <c r="C342" s="48" t="s">
        <v>39</v>
      </c>
      <c r="D342" s="226">
        <v>26376</v>
      </c>
      <c r="E342" s="225">
        <v>118475</v>
      </c>
      <c r="F342" s="225">
        <v>43529</v>
      </c>
      <c r="G342" s="225">
        <v>79914</v>
      </c>
      <c r="H342" s="225">
        <v>241918</v>
      </c>
      <c r="I342" s="225">
        <v>1030385</v>
      </c>
      <c r="J342" s="225">
        <v>173974</v>
      </c>
      <c r="K342" s="225">
        <v>1204359</v>
      </c>
      <c r="L342" s="225">
        <v>448718</v>
      </c>
      <c r="M342" s="225">
        <v>1894995</v>
      </c>
      <c r="N342" s="227">
        <f t="shared" si="5"/>
        <v>71.84542766151047</v>
      </c>
    </row>
    <row r="343" spans="1:14" ht="13.5" thickBot="1" x14ac:dyDescent="0.25">
      <c r="A343" s="48" t="s">
        <v>688</v>
      </c>
      <c r="B343" s="224" t="s">
        <v>687</v>
      </c>
      <c r="C343" s="48" t="s">
        <v>39</v>
      </c>
      <c r="D343" s="226">
        <v>27920</v>
      </c>
      <c r="E343" s="225">
        <v>70792</v>
      </c>
      <c r="F343" s="225">
        <v>12008</v>
      </c>
      <c r="G343" s="225">
        <v>25103</v>
      </c>
      <c r="H343" s="225">
        <v>107903</v>
      </c>
      <c r="I343" s="225">
        <v>557293</v>
      </c>
      <c r="J343" s="225">
        <v>92739</v>
      </c>
      <c r="K343" s="225">
        <v>650032</v>
      </c>
      <c r="L343" s="225">
        <v>67240</v>
      </c>
      <c r="M343" s="225">
        <v>825175</v>
      </c>
      <c r="N343" s="227">
        <f t="shared" si="5"/>
        <v>29.554978510028654</v>
      </c>
    </row>
    <row r="344" spans="1:14" ht="13.5" thickBot="1" x14ac:dyDescent="0.25">
      <c r="A344" s="48" t="s">
        <v>698</v>
      </c>
      <c r="B344" s="224" t="s">
        <v>697</v>
      </c>
      <c r="C344" s="48" t="s">
        <v>39</v>
      </c>
      <c r="D344" s="226">
        <v>30047</v>
      </c>
      <c r="E344" s="225">
        <v>36519</v>
      </c>
      <c r="F344" s="225">
        <v>17516</v>
      </c>
      <c r="G344" s="225">
        <v>11904</v>
      </c>
      <c r="H344" s="225">
        <v>65939</v>
      </c>
      <c r="I344" s="225">
        <v>189075</v>
      </c>
      <c r="J344" s="225">
        <v>87898</v>
      </c>
      <c r="K344" s="225">
        <v>276973</v>
      </c>
      <c r="L344" s="225">
        <v>242336</v>
      </c>
      <c r="M344" s="225">
        <v>585248</v>
      </c>
      <c r="N344" s="227">
        <f t="shared" si="5"/>
        <v>19.477751522614572</v>
      </c>
    </row>
    <row r="345" spans="1:14" ht="13.5" thickBot="1" x14ac:dyDescent="0.25">
      <c r="A345" s="48" t="s">
        <v>716</v>
      </c>
      <c r="B345" s="224" t="s">
        <v>715</v>
      </c>
      <c r="C345" s="48" t="s">
        <v>39</v>
      </c>
      <c r="D345" s="226">
        <v>43031</v>
      </c>
      <c r="E345" s="225">
        <v>86492</v>
      </c>
      <c r="F345" s="225">
        <v>11375</v>
      </c>
      <c r="G345" s="225">
        <v>2850</v>
      </c>
      <c r="H345" s="225">
        <v>100717</v>
      </c>
      <c r="I345" s="225">
        <v>566827</v>
      </c>
      <c r="J345" s="225">
        <v>136501</v>
      </c>
      <c r="K345" s="225">
        <v>703328</v>
      </c>
      <c r="L345" s="225">
        <v>313600</v>
      </c>
      <c r="M345" s="225">
        <v>1117645</v>
      </c>
      <c r="N345" s="227">
        <f t="shared" si="5"/>
        <v>25.973019451093396</v>
      </c>
    </row>
    <row r="346" spans="1:14" ht="13.5" thickBot="1" x14ac:dyDescent="0.25">
      <c r="A346" s="48" t="s">
        <v>760</v>
      </c>
      <c r="B346" s="224" t="s">
        <v>759</v>
      </c>
      <c r="C346" s="48" t="s">
        <v>39</v>
      </c>
      <c r="D346" s="226">
        <v>44265</v>
      </c>
      <c r="E346" s="225">
        <v>140399</v>
      </c>
      <c r="F346" s="225">
        <v>44578</v>
      </c>
      <c r="G346" s="225">
        <v>48646</v>
      </c>
      <c r="H346" s="225">
        <v>233623</v>
      </c>
      <c r="I346" s="225">
        <v>1079114</v>
      </c>
      <c r="J346" s="225">
        <v>362164</v>
      </c>
      <c r="K346" s="225">
        <v>1441278</v>
      </c>
      <c r="L346" s="225">
        <v>372890</v>
      </c>
      <c r="M346" s="225">
        <v>2047791</v>
      </c>
      <c r="N346" s="227">
        <f t="shared" si="5"/>
        <v>46.262080650626906</v>
      </c>
    </row>
    <row r="347" spans="1:14" ht="13.5" thickBot="1" x14ac:dyDescent="0.25">
      <c r="A347" s="48" t="s">
        <v>800</v>
      </c>
      <c r="B347" s="224" t="s">
        <v>799</v>
      </c>
      <c r="C347" s="48" t="s">
        <v>39</v>
      </c>
      <c r="D347" s="226">
        <v>30019</v>
      </c>
      <c r="E347" s="225">
        <v>103996</v>
      </c>
      <c r="F347" s="225">
        <v>44276</v>
      </c>
      <c r="G347" s="225">
        <v>14634</v>
      </c>
      <c r="H347" s="225">
        <v>162906</v>
      </c>
      <c r="I347" s="225">
        <v>587098</v>
      </c>
      <c r="J347" s="225">
        <v>114854</v>
      </c>
      <c r="K347" s="225">
        <v>701952</v>
      </c>
      <c r="L347" s="225">
        <v>261555</v>
      </c>
      <c r="M347" s="225">
        <v>1126413</v>
      </c>
      <c r="N347" s="227">
        <f t="shared" si="5"/>
        <v>37.523335221026684</v>
      </c>
    </row>
    <row r="348" spans="1:14" ht="13.5" thickBot="1" x14ac:dyDescent="0.25">
      <c r="A348" s="48" t="s">
        <v>53</v>
      </c>
      <c r="B348" s="224" t="s">
        <v>52</v>
      </c>
      <c r="C348" s="48" t="s">
        <v>54</v>
      </c>
      <c r="D348" s="226">
        <v>163590</v>
      </c>
      <c r="E348" s="225">
        <v>805358</v>
      </c>
      <c r="F348" s="225">
        <v>582793</v>
      </c>
      <c r="G348" s="225">
        <v>268843</v>
      </c>
      <c r="H348" s="225">
        <v>1656994</v>
      </c>
      <c r="I348" s="225">
        <v>7971783</v>
      </c>
      <c r="J348" s="225">
        <v>2517594</v>
      </c>
      <c r="K348" s="225">
        <v>10489377</v>
      </c>
      <c r="L348" s="225">
        <v>3625533</v>
      </c>
      <c r="M348" s="225">
        <v>15771904</v>
      </c>
      <c r="N348" s="227">
        <f t="shared" si="5"/>
        <v>96.411174277156306</v>
      </c>
    </row>
    <row r="349" spans="1:14" ht="13.5" thickBot="1" x14ac:dyDescent="0.25">
      <c r="A349" s="48" t="s">
        <v>78</v>
      </c>
      <c r="B349" s="224" t="s">
        <v>77</v>
      </c>
      <c r="C349" s="48" t="s">
        <v>54</v>
      </c>
      <c r="D349" s="226">
        <v>107681</v>
      </c>
      <c r="E349" s="225">
        <v>373763</v>
      </c>
      <c r="F349" s="225">
        <v>54876</v>
      </c>
      <c r="G349" s="225">
        <v>217633</v>
      </c>
      <c r="H349" s="225">
        <v>646272</v>
      </c>
      <c r="I349" s="225">
        <v>2430364</v>
      </c>
      <c r="J349" s="225">
        <v>879490</v>
      </c>
      <c r="K349" s="225">
        <v>3309854</v>
      </c>
      <c r="L349" s="225">
        <v>1085166</v>
      </c>
      <c r="M349" s="225">
        <v>5041292</v>
      </c>
      <c r="N349" s="227">
        <f t="shared" si="5"/>
        <v>46.816912918713605</v>
      </c>
    </row>
    <row r="350" spans="1:14" ht="13.5" thickBot="1" x14ac:dyDescent="0.25">
      <c r="A350" s="48" t="s">
        <v>140</v>
      </c>
      <c r="B350" s="224" t="s">
        <v>139</v>
      </c>
      <c r="C350" s="48" t="s">
        <v>54</v>
      </c>
      <c r="D350" s="226">
        <v>90173</v>
      </c>
      <c r="E350" s="225">
        <v>365914</v>
      </c>
      <c r="F350" s="225">
        <v>128882</v>
      </c>
      <c r="G350" s="225">
        <v>348090</v>
      </c>
      <c r="H350" s="225">
        <v>842886</v>
      </c>
      <c r="I350" s="225">
        <v>2713010</v>
      </c>
      <c r="J350" s="225">
        <v>537137</v>
      </c>
      <c r="K350" s="225">
        <v>3250147</v>
      </c>
      <c r="L350" s="225">
        <v>1846246</v>
      </c>
      <c r="M350" s="225">
        <v>5939279</v>
      </c>
      <c r="N350" s="227">
        <f t="shared" si="5"/>
        <v>65.865380989875021</v>
      </c>
    </row>
    <row r="351" spans="1:14" ht="13.5" thickBot="1" x14ac:dyDescent="0.25">
      <c r="A351" s="48" t="s">
        <v>142</v>
      </c>
      <c r="B351" s="224" t="s">
        <v>141</v>
      </c>
      <c r="C351" s="48" t="s">
        <v>54</v>
      </c>
      <c r="D351" s="226">
        <v>238859</v>
      </c>
      <c r="E351" s="225">
        <v>636251</v>
      </c>
      <c r="F351" s="225">
        <v>279247</v>
      </c>
      <c r="G351" s="225">
        <v>769404</v>
      </c>
      <c r="H351" s="225">
        <v>1684902</v>
      </c>
      <c r="I351" s="225">
        <v>5867572</v>
      </c>
      <c r="J351" s="225">
        <v>1683764</v>
      </c>
      <c r="K351" s="225">
        <v>7551336</v>
      </c>
      <c r="L351" s="225">
        <v>2851190</v>
      </c>
      <c r="M351" s="225">
        <v>12087428</v>
      </c>
      <c r="N351" s="227">
        <f t="shared" si="5"/>
        <v>50.604867306653716</v>
      </c>
    </row>
    <row r="352" spans="1:14" ht="13.5" thickBot="1" x14ac:dyDescent="0.25">
      <c r="A352" s="48" t="s">
        <v>172</v>
      </c>
      <c r="B352" s="224" t="s">
        <v>171</v>
      </c>
      <c r="C352" s="48" t="s">
        <v>54</v>
      </c>
      <c r="D352" s="226">
        <v>51640</v>
      </c>
      <c r="E352" s="225">
        <v>147481</v>
      </c>
      <c r="F352" s="225">
        <v>22604</v>
      </c>
      <c r="G352" s="225">
        <v>59930</v>
      </c>
      <c r="H352" s="225">
        <v>230015</v>
      </c>
      <c r="I352" s="225">
        <v>1185499</v>
      </c>
      <c r="J352" s="225">
        <v>393866</v>
      </c>
      <c r="K352" s="225">
        <v>1579365</v>
      </c>
      <c r="L352" s="225">
        <v>514912</v>
      </c>
      <c r="M352" s="225">
        <v>2324292</v>
      </c>
      <c r="N352" s="227">
        <f t="shared" si="5"/>
        <v>45.00952749806352</v>
      </c>
    </row>
    <row r="353" spans="1:14" ht="13.5" thickBot="1" x14ac:dyDescent="0.25">
      <c r="A353" s="48" t="s">
        <v>178</v>
      </c>
      <c r="B353" s="224" t="s">
        <v>177</v>
      </c>
      <c r="C353" s="48" t="s">
        <v>54</v>
      </c>
      <c r="D353" s="226">
        <v>169833</v>
      </c>
      <c r="E353" s="225">
        <v>405300</v>
      </c>
      <c r="F353" s="225">
        <v>273600</v>
      </c>
      <c r="G353" s="225">
        <v>294942</v>
      </c>
      <c r="H353" s="225">
        <v>973842</v>
      </c>
      <c r="I353" s="225">
        <v>2765696</v>
      </c>
      <c r="J353" s="225">
        <v>577637</v>
      </c>
      <c r="K353" s="225">
        <v>3343333</v>
      </c>
      <c r="L353" s="225">
        <v>1946008</v>
      </c>
      <c r="M353" s="225">
        <v>6263183</v>
      </c>
      <c r="N353" s="227">
        <f t="shared" si="5"/>
        <v>36.878480625084642</v>
      </c>
    </row>
    <row r="354" spans="1:14" ht="13.5" thickBot="1" x14ac:dyDescent="0.25">
      <c r="A354" s="48" t="s">
        <v>212</v>
      </c>
      <c r="B354" s="224" t="s">
        <v>211</v>
      </c>
      <c r="C354" s="48" t="s">
        <v>54</v>
      </c>
      <c r="D354" s="226">
        <v>57774</v>
      </c>
      <c r="E354" s="225">
        <v>121915</v>
      </c>
      <c r="F354" s="225">
        <v>30478</v>
      </c>
      <c r="G354" s="225">
        <v>29425</v>
      </c>
      <c r="H354" s="225">
        <v>181818</v>
      </c>
      <c r="I354" s="225">
        <v>878127</v>
      </c>
      <c r="J354" s="225">
        <v>288661</v>
      </c>
      <c r="K354" s="225">
        <v>1166788</v>
      </c>
      <c r="L354" s="225">
        <v>510999</v>
      </c>
      <c r="M354" s="225">
        <v>1859605</v>
      </c>
      <c r="N354" s="227">
        <f t="shared" si="5"/>
        <v>32.187575726105166</v>
      </c>
    </row>
    <row r="355" spans="1:14" ht="13.5" thickBot="1" x14ac:dyDescent="0.25">
      <c r="A355" s="48" t="s">
        <v>214</v>
      </c>
      <c r="B355" s="224" t="s">
        <v>213</v>
      </c>
      <c r="C355" s="48" t="s">
        <v>54</v>
      </c>
      <c r="D355" s="226">
        <v>98153</v>
      </c>
      <c r="E355" s="225">
        <v>224500</v>
      </c>
      <c r="F355" s="225">
        <v>103312</v>
      </c>
      <c r="G355" s="225">
        <v>172188</v>
      </c>
      <c r="H355" s="225">
        <v>500000</v>
      </c>
      <c r="I355" s="225">
        <v>2611223</v>
      </c>
      <c r="J355" s="225">
        <v>1220571</v>
      </c>
      <c r="K355" s="225">
        <v>3831794</v>
      </c>
      <c r="L355" s="225">
        <v>3477725</v>
      </c>
      <c r="M355" s="225">
        <v>7809519</v>
      </c>
      <c r="N355" s="227">
        <f t="shared" si="5"/>
        <v>79.564750950047369</v>
      </c>
    </row>
    <row r="356" spans="1:14" ht="13.5" thickBot="1" x14ac:dyDescent="0.25">
      <c r="A356" s="48" t="s">
        <v>222</v>
      </c>
      <c r="B356" s="224" t="s">
        <v>221</v>
      </c>
      <c r="C356" s="48" t="s">
        <v>54</v>
      </c>
      <c r="D356" s="226">
        <v>713777</v>
      </c>
      <c r="E356" s="225">
        <v>531423</v>
      </c>
      <c r="F356" s="225">
        <v>289394</v>
      </c>
      <c r="G356" s="225">
        <v>258817</v>
      </c>
      <c r="H356" s="225">
        <v>1079634</v>
      </c>
      <c r="I356" s="225">
        <v>13008287</v>
      </c>
      <c r="J356" s="225">
        <v>7012584</v>
      </c>
      <c r="K356" s="225">
        <v>20020871</v>
      </c>
      <c r="L356" s="225">
        <v>12210851</v>
      </c>
      <c r="M356" s="225">
        <v>33311356</v>
      </c>
      <c r="N356" s="227">
        <f t="shared" si="5"/>
        <v>46.669136158772275</v>
      </c>
    </row>
    <row r="357" spans="1:14" ht="13.5" thickBot="1" x14ac:dyDescent="0.25">
      <c r="A357" s="48" t="s">
        <v>266</v>
      </c>
      <c r="B357" s="224" t="s">
        <v>265</v>
      </c>
      <c r="C357" s="48" t="s">
        <v>54</v>
      </c>
      <c r="D357" s="226">
        <v>90112</v>
      </c>
      <c r="E357" s="225">
        <v>228682</v>
      </c>
      <c r="F357" s="225">
        <v>132914</v>
      </c>
      <c r="G357" s="225">
        <v>161036</v>
      </c>
      <c r="H357" s="225">
        <v>522632</v>
      </c>
      <c r="I357" s="225">
        <v>2600186</v>
      </c>
      <c r="J357" s="225">
        <v>1125036</v>
      </c>
      <c r="K357" s="225">
        <v>3725222</v>
      </c>
      <c r="L357" s="225">
        <v>1271794</v>
      </c>
      <c r="M357" s="225">
        <v>5519648</v>
      </c>
      <c r="N357" s="227">
        <f t="shared" si="5"/>
        <v>61.253196022727273</v>
      </c>
    </row>
    <row r="358" spans="1:14" ht="13.5" thickBot="1" x14ac:dyDescent="0.25">
      <c r="A358" s="48" t="s">
        <v>278</v>
      </c>
      <c r="B358" s="224" t="s">
        <v>277</v>
      </c>
      <c r="C358" s="48" t="s">
        <v>54</v>
      </c>
      <c r="D358" s="226">
        <v>102434</v>
      </c>
      <c r="E358" s="225">
        <v>34839</v>
      </c>
      <c r="F358" s="225">
        <v>19477</v>
      </c>
      <c r="G358" s="225">
        <v>218892</v>
      </c>
      <c r="H358" s="225">
        <v>273208</v>
      </c>
      <c r="I358" s="225">
        <v>1657548</v>
      </c>
      <c r="J358" s="225">
        <v>577810</v>
      </c>
      <c r="K358" s="225">
        <v>2235358</v>
      </c>
      <c r="L358" s="225">
        <v>992986</v>
      </c>
      <c r="M358" s="225">
        <v>3501552</v>
      </c>
      <c r="N358" s="227">
        <f t="shared" si="5"/>
        <v>34.183493761836893</v>
      </c>
    </row>
    <row r="359" spans="1:14" ht="13.5" thickBot="1" x14ac:dyDescent="0.25">
      <c r="A359" s="48" t="s">
        <v>304</v>
      </c>
      <c r="B359" s="224" t="s">
        <v>303</v>
      </c>
      <c r="C359" s="48" t="s">
        <v>54</v>
      </c>
      <c r="D359" s="226">
        <v>332567</v>
      </c>
      <c r="E359" s="225">
        <v>788749</v>
      </c>
      <c r="F359" s="225">
        <v>887618</v>
      </c>
      <c r="G359" s="225">
        <v>21300</v>
      </c>
      <c r="H359" s="225">
        <v>1697667</v>
      </c>
      <c r="I359" s="225">
        <v>3447349</v>
      </c>
      <c r="J359" s="225">
        <v>4018719</v>
      </c>
      <c r="K359" s="225">
        <v>7466068</v>
      </c>
      <c r="L359" s="225">
        <v>1392787</v>
      </c>
      <c r="M359" s="225">
        <v>10556522</v>
      </c>
      <c r="N359" s="227">
        <f t="shared" si="5"/>
        <v>31.74254210429778</v>
      </c>
    </row>
    <row r="360" spans="1:14" ht="13.5" thickBot="1" x14ac:dyDescent="0.25">
      <c r="A360" s="48" t="s">
        <v>318</v>
      </c>
      <c r="B360" s="224" t="s">
        <v>317</v>
      </c>
      <c r="C360" s="48" t="s">
        <v>54</v>
      </c>
      <c r="D360" s="226">
        <v>76707</v>
      </c>
      <c r="E360" s="225">
        <v>146071</v>
      </c>
      <c r="F360" s="225">
        <v>41231</v>
      </c>
      <c r="G360" s="225">
        <v>123041</v>
      </c>
      <c r="H360" s="225">
        <v>310343</v>
      </c>
      <c r="I360" s="225">
        <v>1429439</v>
      </c>
      <c r="J360" s="225">
        <v>1036277</v>
      </c>
      <c r="K360" s="225">
        <v>2465716</v>
      </c>
      <c r="L360" s="225">
        <v>543757</v>
      </c>
      <c r="M360" s="225">
        <v>3319816</v>
      </c>
      <c r="N360" s="227">
        <f t="shared" si="5"/>
        <v>43.27917921441329</v>
      </c>
    </row>
    <row r="361" spans="1:14" ht="13.5" thickBot="1" x14ac:dyDescent="0.25">
      <c r="A361" s="48" t="s">
        <v>322</v>
      </c>
      <c r="B361" s="224" t="s">
        <v>321</v>
      </c>
      <c r="C361" s="48" t="s">
        <v>54</v>
      </c>
      <c r="D361" s="226">
        <v>188040</v>
      </c>
      <c r="E361" s="225">
        <v>481267</v>
      </c>
      <c r="F361" s="225">
        <v>130098</v>
      </c>
      <c r="G361" s="225">
        <v>796689</v>
      </c>
      <c r="H361" s="225">
        <v>1408054</v>
      </c>
      <c r="I361" s="225">
        <v>5158485</v>
      </c>
      <c r="J361" s="225">
        <v>1663084</v>
      </c>
      <c r="K361" s="225">
        <v>6821569</v>
      </c>
      <c r="L361" s="225">
        <v>3106398</v>
      </c>
      <c r="M361" s="225">
        <v>11336021</v>
      </c>
      <c r="N361" s="227">
        <f t="shared" si="5"/>
        <v>60.285157413316313</v>
      </c>
    </row>
    <row r="362" spans="1:14" ht="13.5" thickBot="1" x14ac:dyDescent="0.25">
      <c r="A362" s="48" t="s">
        <v>326</v>
      </c>
      <c r="B362" s="224" t="s">
        <v>325</v>
      </c>
      <c r="C362" s="48" t="s">
        <v>54</v>
      </c>
      <c r="D362" s="226">
        <v>51133</v>
      </c>
      <c r="E362" s="225">
        <v>257635</v>
      </c>
      <c r="F362" s="225">
        <v>152942</v>
      </c>
      <c r="G362" s="225">
        <v>199529</v>
      </c>
      <c r="H362" s="225">
        <v>610106</v>
      </c>
      <c r="I362" s="225">
        <v>2274793</v>
      </c>
      <c r="J362" s="225">
        <v>787893</v>
      </c>
      <c r="K362" s="225">
        <v>3062686</v>
      </c>
      <c r="L362" s="225">
        <v>1296122</v>
      </c>
      <c r="M362" s="225">
        <v>4968914</v>
      </c>
      <c r="N362" s="227">
        <f t="shared" si="5"/>
        <v>97.176265816595929</v>
      </c>
    </row>
    <row r="363" spans="1:14" ht="13.5" thickBot="1" x14ac:dyDescent="0.25">
      <c r="A363" s="48" t="s">
        <v>352</v>
      </c>
      <c r="B363" s="224" t="s">
        <v>351</v>
      </c>
      <c r="C363" s="48" t="s">
        <v>54</v>
      </c>
      <c r="D363" s="226">
        <v>102423</v>
      </c>
      <c r="E363" s="225">
        <v>179809</v>
      </c>
      <c r="F363" s="225">
        <v>53016</v>
      </c>
      <c r="G363" s="225">
        <v>461174</v>
      </c>
      <c r="H363" s="225">
        <v>693999</v>
      </c>
      <c r="I363" s="225">
        <v>2426668</v>
      </c>
      <c r="J363" s="225">
        <v>999673</v>
      </c>
      <c r="K363" s="225">
        <v>3426341</v>
      </c>
      <c r="L363" s="225">
        <v>882469</v>
      </c>
      <c r="M363" s="225">
        <v>5002809</v>
      </c>
      <c r="N363" s="227">
        <f t="shared" si="5"/>
        <v>48.844585688761313</v>
      </c>
    </row>
    <row r="364" spans="1:14" ht="13.5" thickBot="1" x14ac:dyDescent="0.25">
      <c r="A364" s="48" t="s">
        <v>374</v>
      </c>
      <c r="B364" s="224" t="s">
        <v>373</v>
      </c>
      <c r="C364" s="48" t="s">
        <v>54</v>
      </c>
      <c r="D364" s="226">
        <v>52529</v>
      </c>
      <c r="E364" s="225">
        <v>109476</v>
      </c>
      <c r="F364" s="225">
        <v>54359</v>
      </c>
      <c r="G364" s="225">
        <v>147394</v>
      </c>
      <c r="H364" s="225">
        <v>311229</v>
      </c>
      <c r="I364" s="225">
        <v>1006185</v>
      </c>
      <c r="J364" s="225">
        <v>284800</v>
      </c>
      <c r="K364" s="225">
        <v>1290985</v>
      </c>
      <c r="L364" s="225">
        <v>545899</v>
      </c>
      <c r="M364" s="225">
        <v>2148113</v>
      </c>
      <c r="N364" s="227">
        <f t="shared" si="5"/>
        <v>40.893849111919131</v>
      </c>
    </row>
    <row r="365" spans="1:14" ht="13.5" thickBot="1" x14ac:dyDescent="0.25">
      <c r="A365" s="48" t="s">
        <v>394</v>
      </c>
      <c r="B365" s="224" t="s">
        <v>393</v>
      </c>
      <c r="C365" s="48" t="s">
        <v>54</v>
      </c>
      <c r="D365" s="226">
        <v>160248</v>
      </c>
      <c r="E365" s="225">
        <v>366514</v>
      </c>
      <c r="F365" s="225">
        <v>190822</v>
      </c>
      <c r="G365" s="225">
        <v>532262</v>
      </c>
      <c r="H365" s="225">
        <v>1089598</v>
      </c>
      <c r="I365" s="225">
        <v>3898643</v>
      </c>
      <c r="J365" s="225">
        <v>1281905</v>
      </c>
      <c r="K365" s="225">
        <v>5180548</v>
      </c>
      <c r="L365" s="225">
        <v>1678051</v>
      </c>
      <c r="M365" s="225">
        <v>7948197</v>
      </c>
      <c r="N365" s="227">
        <f t="shared" si="5"/>
        <v>49.599352254006291</v>
      </c>
    </row>
    <row r="366" spans="1:14" ht="13.5" thickBot="1" x14ac:dyDescent="0.25">
      <c r="A366" s="48" t="s">
        <v>402</v>
      </c>
      <c r="B366" s="224" t="s">
        <v>401</v>
      </c>
      <c r="C366" s="48" t="s">
        <v>54</v>
      </c>
      <c r="D366" s="226">
        <v>123979</v>
      </c>
      <c r="E366" s="225">
        <v>556308</v>
      </c>
      <c r="F366" s="225">
        <v>406644</v>
      </c>
      <c r="G366" s="225">
        <v>184913</v>
      </c>
      <c r="H366" s="225">
        <v>1147865</v>
      </c>
      <c r="I366" s="225">
        <v>5621140</v>
      </c>
      <c r="J366" s="225">
        <v>2618784</v>
      </c>
      <c r="K366" s="225">
        <v>8239924</v>
      </c>
      <c r="L366" s="225">
        <v>2390601</v>
      </c>
      <c r="M366" s="225">
        <v>11778390</v>
      </c>
      <c r="N366" s="227">
        <f t="shared" si="5"/>
        <v>95.003105364618207</v>
      </c>
    </row>
    <row r="367" spans="1:14" ht="13.5" thickBot="1" x14ac:dyDescent="0.25">
      <c r="A367" s="48" t="s">
        <v>406</v>
      </c>
      <c r="B367" s="224" t="s">
        <v>405</v>
      </c>
      <c r="C367" s="48" t="s">
        <v>54</v>
      </c>
      <c r="D367" s="226">
        <v>395660</v>
      </c>
      <c r="E367" s="225">
        <v>1203235</v>
      </c>
      <c r="F367" s="225">
        <v>884032</v>
      </c>
      <c r="G367" s="225">
        <v>1611377</v>
      </c>
      <c r="H367" s="225">
        <v>3698644</v>
      </c>
      <c r="I367" s="225">
        <v>11751783</v>
      </c>
      <c r="J367" s="225">
        <v>3727249</v>
      </c>
      <c r="K367" s="225">
        <v>15479032</v>
      </c>
      <c r="L367" s="225">
        <v>4406979</v>
      </c>
      <c r="M367" s="225">
        <v>23584655</v>
      </c>
      <c r="N367" s="227">
        <f t="shared" si="5"/>
        <v>59.608388515392001</v>
      </c>
    </row>
    <row r="368" spans="1:14" ht="13.5" thickBot="1" x14ac:dyDescent="0.25">
      <c r="A368" s="48" t="s">
        <v>417</v>
      </c>
      <c r="B368" s="224" t="s">
        <v>416</v>
      </c>
      <c r="C368" s="48" t="s">
        <v>54</v>
      </c>
      <c r="D368" s="226">
        <v>60006</v>
      </c>
      <c r="E368" s="225">
        <v>112764</v>
      </c>
      <c r="F368" s="225">
        <v>48982</v>
      </c>
      <c r="G368" s="225">
        <v>28397</v>
      </c>
      <c r="H368" s="225">
        <v>190143</v>
      </c>
      <c r="I368" s="225">
        <v>765264</v>
      </c>
      <c r="J368" s="225">
        <v>344328</v>
      </c>
      <c r="K368" s="225">
        <v>1109592</v>
      </c>
      <c r="L368" s="225">
        <v>628321</v>
      </c>
      <c r="M368" s="225">
        <v>1928056</v>
      </c>
      <c r="N368" s="227">
        <f t="shared" si="5"/>
        <v>32.131053561310537</v>
      </c>
    </row>
    <row r="369" spans="1:14" ht="13.5" thickBot="1" x14ac:dyDescent="0.25">
      <c r="A369" s="48" t="s">
        <v>443</v>
      </c>
      <c r="B369" s="224" t="s">
        <v>442</v>
      </c>
      <c r="C369" s="48" t="s">
        <v>54</v>
      </c>
      <c r="D369" s="226">
        <v>96942</v>
      </c>
      <c r="E369" s="225">
        <v>214662</v>
      </c>
      <c r="F369" s="225">
        <v>42000</v>
      </c>
      <c r="G369" s="225">
        <v>58611</v>
      </c>
      <c r="H369" s="225">
        <v>315273</v>
      </c>
      <c r="I369" s="225">
        <v>1590032</v>
      </c>
      <c r="J369" s="225">
        <v>656039</v>
      </c>
      <c r="K369" s="225">
        <v>2246071</v>
      </c>
      <c r="L369" s="225">
        <v>498525</v>
      </c>
      <c r="M369" s="225">
        <v>3059869</v>
      </c>
      <c r="N369" s="227">
        <f t="shared" si="5"/>
        <v>31.563914505580655</v>
      </c>
    </row>
    <row r="370" spans="1:14" ht="13.5" thickBot="1" x14ac:dyDescent="0.25">
      <c r="A370" s="48" t="s">
        <v>508</v>
      </c>
      <c r="B370" s="224" t="s">
        <v>507</v>
      </c>
      <c r="C370" s="48" t="s">
        <v>54</v>
      </c>
      <c r="D370" s="226">
        <v>149955</v>
      </c>
      <c r="E370" s="225">
        <v>401131</v>
      </c>
      <c r="F370" s="225">
        <v>178614</v>
      </c>
      <c r="G370" s="225">
        <v>205978</v>
      </c>
      <c r="H370" s="225">
        <v>785723</v>
      </c>
      <c r="I370" s="225">
        <v>4279852</v>
      </c>
      <c r="J370" s="225">
        <v>1423973</v>
      </c>
      <c r="K370" s="225">
        <v>5703825</v>
      </c>
      <c r="L370" s="225">
        <v>1436143</v>
      </c>
      <c r="M370" s="225">
        <v>7925691</v>
      </c>
      <c r="N370" s="227">
        <f t="shared" si="5"/>
        <v>52.853796138841652</v>
      </c>
    </row>
    <row r="371" spans="1:14" ht="13.5" thickBot="1" x14ac:dyDescent="0.25">
      <c r="A371" s="48" t="s">
        <v>522</v>
      </c>
      <c r="B371" s="224" t="s">
        <v>521</v>
      </c>
      <c r="C371" s="48" t="s">
        <v>54</v>
      </c>
      <c r="D371" s="226">
        <v>105852</v>
      </c>
      <c r="E371" s="225">
        <v>240639</v>
      </c>
      <c r="F371" s="225">
        <v>0</v>
      </c>
      <c r="G371" s="225">
        <v>191744</v>
      </c>
      <c r="H371" s="225">
        <v>432383</v>
      </c>
      <c r="I371" s="225">
        <v>1660188</v>
      </c>
      <c r="J371" s="225">
        <v>667607</v>
      </c>
      <c r="K371" s="225">
        <v>2327795</v>
      </c>
      <c r="L371" s="225">
        <v>1994101</v>
      </c>
      <c r="M371" s="225">
        <v>4754279</v>
      </c>
      <c r="N371" s="227">
        <f t="shared" si="5"/>
        <v>44.9143993500359</v>
      </c>
    </row>
    <row r="372" spans="1:14" ht="13.5" thickBot="1" x14ac:dyDescent="0.25">
      <c r="A372" s="48" t="s">
        <v>542</v>
      </c>
      <c r="B372" s="224" t="s">
        <v>541</v>
      </c>
      <c r="C372" s="48" t="s">
        <v>54</v>
      </c>
      <c r="D372" s="226">
        <v>55374</v>
      </c>
      <c r="E372" s="225">
        <v>197160</v>
      </c>
      <c r="F372" s="225">
        <v>142547</v>
      </c>
      <c r="G372" s="225">
        <v>54193</v>
      </c>
      <c r="H372" s="225">
        <v>393900</v>
      </c>
      <c r="I372" s="225">
        <v>1594572</v>
      </c>
      <c r="J372" s="225">
        <v>364822</v>
      </c>
      <c r="K372" s="225">
        <v>1959394</v>
      </c>
      <c r="L372" s="225">
        <v>654586</v>
      </c>
      <c r="M372" s="225">
        <v>3007880</v>
      </c>
      <c r="N372" s="227">
        <f t="shared" si="5"/>
        <v>54.319355654278183</v>
      </c>
    </row>
    <row r="373" spans="1:14" ht="13.5" thickBot="1" x14ac:dyDescent="0.25">
      <c r="A373" s="48" t="s">
        <v>590</v>
      </c>
      <c r="B373" s="224" t="s">
        <v>589</v>
      </c>
      <c r="C373" s="48" t="s">
        <v>54</v>
      </c>
      <c r="D373" s="226">
        <v>59515</v>
      </c>
      <c r="E373" s="225">
        <v>23906</v>
      </c>
      <c r="F373" s="225">
        <v>15637</v>
      </c>
      <c r="G373" s="225">
        <v>31960</v>
      </c>
      <c r="H373" s="225">
        <v>71503</v>
      </c>
      <c r="I373" s="225">
        <v>432534</v>
      </c>
      <c r="J373" s="225">
        <v>79901</v>
      </c>
      <c r="K373" s="225">
        <v>512435</v>
      </c>
      <c r="L373" s="225">
        <v>416728</v>
      </c>
      <c r="M373" s="225">
        <v>1000666</v>
      </c>
      <c r="N373" s="227">
        <f t="shared" si="5"/>
        <v>16.813677224229185</v>
      </c>
    </row>
    <row r="374" spans="1:14" ht="13.5" thickBot="1" x14ac:dyDescent="0.25">
      <c r="A374" s="48" t="s">
        <v>594</v>
      </c>
      <c r="B374" s="224" t="s">
        <v>593</v>
      </c>
      <c r="C374" s="48" t="s">
        <v>54</v>
      </c>
      <c r="D374" s="226">
        <v>52170</v>
      </c>
      <c r="E374" s="225">
        <v>273296</v>
      </c>
      <c r="F374" s="225">
        <v>79791</v>
      </c>
      <c r="G374" s="225">
        <v>199264</v>
      </c>
      <c r="H374" s="225">
        <v>552351</v>
      </c>
      <c r="I374" s="225">
        <v>1352304</v>
      </c>
      <c r="J374" s="225">
        <v>475223</v>
      </c>
      <c r="K374" s="225">
        <v>1827527</v>
      </c>
      <c r="L374" s="225">
        <v>843683</v>
      </c>
      <c r="M374" s="225">
        <v>3223561</v>
      </c>
      <c r="N374" s="227">
        <f t="shared" si="5"/>
        <v>61.789553383170407</v>
      </c>
    </row>
    <row r="375" spans="1:14" ht="13.5" thickBot="1" x14ac:dyDescent="0.25">
      <c r="A375" s="48" t="s">
        <v>604</v>
      </c>
      <c r="B375" s="224" t="s">
        <v>603</v>
      </c>
      <c r="C375" s="48" t="s">
        <v>54</v>
      </c>
      <c r="D375" s="226">
        <v>124690</v>
      </c>
      <c r="E375" s="225">
        <v>204562</v>
      </c>
      <c r="F375" s="225">
        <v>28001</v>
      </c>
      <c r="G375" s="225">
        <v>154528</v>
      </c>
      <c r="H375" s="225">
        <v>387091</v>
      </c>
      <c r="I375" s="225">
        <v>1820379</v>
      </c>
      <c r="J375" s="225">
        <v>550410</v>
      </c>
      <c r="K375" s="225">
        <v>2370789</v>
      </c>
      <c r="L375" s="225">
        <v>2453146</v>
      </c>
      <c r="M375" s="225">
        <v>5211026</v>
      </c>
      <c r="N375" s="227">
        <f t="shared" si="5"/>
        <v>41.791851792445264</v>
      </c>
    </row>
    <row r="376" spans="1:14" ht="13.5" thickBot="1" x14ac:dyDescent="0.25">
      <c r="A376" s="48" t="s">
        <v>638</v>
      </c>
      <c r="B376" s="224" t="s">
        <v>637</v>
      </c>
      <c r="C376" s="48" t="s">
        <v>54</v>
      </c>
      <c r="D376" s="226">
        <v>100485</v>
      </c>
      <c r="E376" s="225">
        <v>315682</v>
      </c>
      <c r="F376" s="225">
        <v>117472</v>
      </c>
      <c r="G376" s="225">
        <v>239658</v>
      </c>
      <c r="H376" s="225">
        <v>672812</v>
      </c>
      <c r="I376" s="225">
        <v>2561760</v>
      </c>
      <c r="J376" s="225">
        <v>591609</v>
      </c>
      <c r="K376" s="225">
        <v>3153369</v>
      </c>
      <c r="L376" s="225">
        <v>720321</v>
      </c>
      <c r="M376" s="225">
        <v>4546502</v>
      </c>
      <c r="N376" s="227">
        <f t="shared" si="5"/>
        <v>45.245578942130663</v>
      </c>
    </row>
    <row r="377" spans="1:14" ht="13.5" thickBot="1" x14ac:dyDescent="0.25">
      <c r="A377" s="48" t="s">
        <v>648</v>
      </c>
      <c r="B377" s="224" t="s">
        <v>647</v>
      </c>
      <c r="C377" s="48" t="s">
        <v>54</v>
      </c>
      <c r="D377" s="226">
        <v>57236</v>
      </c>
      <c r="E377" s="225">
        <v>102880</v>
      </c>
      <c r="F377" s="225">
        <v>129560</v>
      </c>
      <c r="G377" s="225">
        <v>112030</v>
      </c>
      <c r="H377" s="225">
        <v>344470</v>
      </c>
      <c r="I377" s="225">
        <v>996910</v>
      </c>
      <c r="J377" s="225">
        <v>285830</v>
      </c>
      <c r="K377" s="225">
        <v>1282740</v>
      </c>
      <c r="L377" s="225">
        <v>406920</v>
      </c>
      <c r="M377" s="225">
        <v>2034130</v>
      </c>
      <c r="N377" s="227">
        <f t="shared" si="5"/>
        <v>35.53934586623803</v>
      </c>
    </row>
    <row r="378" spans="1:14" ht="13.5" thickBot="1" x14ac:dyDescent="0.25">
      <c r="A378" s="48" t="s">
        <v>654</v>
      </c>
      <c r="B378" s="224" t="s">
        <v>653</v>
      </c>
      <c r="C378" s="48" t="s">
        <v>54</v>
      </c>
      <c r="D378" s="226">
        <v>160312</v>
      </c>
      <c r="E378" s="225">
        <v>265015</v>
      </c>
      <c r="F378" s="225">
        <v>91293</v>
      </c>
      <c r="G378" s="225">
        <v>166068</v>
      </c>
      <c r="H378" s="225">
        <v>522376</v>
      </c>
      <c r="I378" s="225">
        <v>2562124</v>
      </c>
      <c r="J378" s="225">
        <v>734838</v>
      </c>
      <c r="K378" s="225">
        <v>3296962</v>
      </c>
      <c r="L378" s="225">
        <v>874444</v>
      </c>
      <c r="M378" s="225">
        <v>4693782</v>
      </c>
      <c r="N378" s="227">
        <f t="shared" si="5"/>
        <v>29.279043365437396</v>
      </c>
    </row>
    <row r="379" spans="1:14" ht="13.5" thickBot="1" x14ac:dyDescent="0.25">
      <c r="A379" s="48" t="s">
        <v>656</v>
      </c>
      <c r="B379" s="224" t="s">
        <v>655</v>
      </c>
      <c r="C379" s="48" t="s">
        <v>54</v>
      </c>
      <c r="D379" s="226">
        <v>59715</v>
      </c>
      <c r="E379" s="225">
        <v>91329</v>
      </c>
      <c r="F379" s="225">
        <v>17507</v>
      </c>
      <c r="G379" s="225">
        <v>21382</v>
      </c>
      <c r="H379" s="225">
        <v>130218</v>
      </c>
      <c r="I379" s="225">
        <v>642096</v>
      </c>
      <c r="J379" s="225">
        <v>400559</v>
      </c>
      <c r="K379" s="225">
        <v>1042655</v>
      </c>
      <c r="L379" s="225">
        <v>307970</v>
      </c>
      <c r="M379" s="225">
        <v>1480843</v>
      </c>
      <c r="N379" s="227">
        <f t="shared" si="5"/>
        <v>24.798509587205896</v>
      </c>
    </row>
    <row r="380" spans="1:14" ht="13.5" thickBot="1" x14ac:dyDescent="0.25">
      <c r="A380" s="48" t="s">
        <v>684</v>
      </c>
      <c r="B380" s="224" t="s">
        <v>683</v>
      </c>
      <c r="C380" s="48" t="s">
        <v>54</v>
      </c>
      <c r="D380" s="226">
        <v>73804</v>
      </c>
      <c r="E380" s="225">
        <v>121725</v>
      </c>
      <c r="F380" s="225">
        <v>17279</v>
      </c>
      <c r="G380" s="225">
        <v>26083</v>
      </c>
      <c r="H380" s="225">
        <v>165087</v>
      </c>
      <c r="I380" s="225">
        <v>668738</v>
      </c>
      <c r="J380" s="225">
        <v>111308</v>
      </c>
      <c r="K380" s="225">
        <v>780046</v>
      </c>
      <c r="L380" s="225">
        <v>177238</v>
      </c>
      <c r="M380" s="225">
        <v>1122371</v>
      </c>
      <c r="N380" s="227">
        <f t="shared" si="5"/>
        <v>15.207454880494282</v>
      </c>
    </row>
    <row r="381" spans="1:14" ht="13.5" thickBot="1" x14ac:dyDescent="0.25">
      <c r="A381" s="48" t="s">
        <v>696</v>
      </c>
      <c r="B381" s="224" t="s">
        <v>695</v>
      </c>
      <c r="C381" s="48" t="s">
        <v>54</v>
      </c>
      <c r="D381" s="226">
        <v>75814</v>
      </c>
      <c r="E381" s="225">
        <v>170450</v>
      </c>
      <c r="F381" s="225">
        <v>80650</v>
      </c>
      <c r="G381" s="225">
        <v>29250</v>
      </c>
      <c r="H381" s="225">
        <v>280350</v>
      </c>
      <c r="I381" s="225">
        <v>2044341</v>
      </c>
      <c r="J381" s="225">
        <v>1160957</v>
      </c>
      <c r="K381" s="225">
        <v>3205298</v>
      </c>
      <c r="L381" s="225">
        <v>1418794</v>
      </c>
      <c r="M381" s="225">
        <v>4904442</v>
      </c>
      <c r="N381" s="227">
        <f t="shared" si="5"/>
        <v>64.690452950642367</v>
      </c>
    </row>
    <row r="382" spans="1:14" ht="13.5" thickBot="1" x14ac:dyDescent="0.25">
      <c r="A382" s="48" t="s">
        <v>710</v>
      </c>
      <c r="B382" s="224" t="s">
        <v>709</v>
      </c>
      <c r="C382" s="48" t="s">
        <v>54</v>
      </c>
      <c r="D382" s="226">
        <v>129699</v>
      </c>
      <c r="E382" s="225">
        <v>189774</v>
      </c>
      <c r="F382" s="225">
        <v>43861</v>
      </c>
      <c r="G382" s="225">
        <v>27822</v>
      </c>
      <c r="H382" s="225">
        <v>261457</v>
      </c>
      <c r="I382" s="225">
        <v>1482106</v>
      </c>
      <c r="J382" s="225">
        <v>809810</v>
      </c>
      <c r="K382" s="225">
        <v>2291916</v>
      </c>
      <c r="L382" s="225">
        <v>263181</v>
      </c>
      <c r="M382" s="225">
        <v>2816554</v>
      </c>
      <c r="N382" s="227">
        <f t="shared" si="5"/>
        <v>21.716081080039167</v>
      </c>
    </row>
    <row r="383" spans="1:14" ht="13.5" thickBot="1" x14ac:dyDescent="0.25">
      <c r="A383" s="48" t="s">
        <v>726</v>
      </c>
      <c r="B383" s="224" t="s">
        <v>725</v>
      </c>
      <c r="C383" s="48" t="s">
        <v>54</v>
      </c>
      <c r="D383" s="226">
        <v>63131</v>
      </c>
      <c r="E383" s="225">
        <v>78827</v>
      </c>
      <c r="F383" s="225">
        <v>16091</v>
      </c>
      <c r="G383" s="225">
        <v>30620</v>
      </c>
      <c r="H383" s="225">
        <v>125538</v>
      </c>
      <c r="I383" s="225">
        <v>497354</v>
      </c>
      <c r="J383" s="225">
        <v>136527</v>
      </c>
      <c r="K383" s="225">
        <v>633881</v>
      </c>
      <c r="L383" s="225">
        <v>354700</v>
      </c>
      <c r="M383" s="225">
        <v>1114119</v>
      </c>
      <c r="N383" s="227">
        <f t="shared" si="5"/>
        <v>17.647732492753164</v>
      </c>
    </row>
    <row r="384" spans="1:14" ht="13.5" thickBot="1" x14ac:dyDescent="0.25">
      <c r="A384" s="48" t="s">
        <v>752</v>
      </c>
      <c r="B384" s="224" t="s">
        <v>751</v>
      </c>
      <c r="C384" s="48" t="s">
        <v>54</v>
      </c>
      <c r="D384" s="226">
        <v>97396</v>
      </c>
      <c r="E384" s="225">
        <v>273408</v>
      </c>
      <c r="F384" s="225">
        <v>219580</v>
      </c>
      <c r="G384" s="225">
        <v>135001</v>
      </c>
      <c r="H384" s="225">
        <v>627989</v>
      </c>
      <c r="I384" s="225">
        <v>2302685</v>
      </c>
      <c r="J384" s="225">
        <v>963170</v>
      </c>
      <c r="K384" s="225">
        <v>3265855</v>
      </c>
      <c r="L384" s="225">
        <v>1383173</v>
      </c>
      <c r="M384" s="225">
        <v>5277017</v>
      </c>
      <c r="N384" s="227">
        <f t="shared" si="5"/>
        <v>54.181044396073759</v>
      </c>
    </row>
    <row r="385" spans="1:14" ht="13.5" thickBot="1" x14ac:dyDescent="0.25">
      <c r="A385" s="48" t="s">
        <v>754</v>
      </c>
      <c r="B385" s="224" t="s">
        <v>1614</v>
      </c>
      <c r="C385" s="48" t="s">
        <v>54</v>
      </c>
      <c r="D385" s="226">
        <v>72726</v>
      </c>
      <c r="E385" s="225">
        <v>64345</v>
      </c>
      <c r="F385" s="225">
        <v>5400</v>
      </c>
      <c r="G385" s="225">
        <v>23740</v>
      </c>
      <c r="H385" s="225">
        <v>93485</v>
      </c>
      <c r="I385" s="225">
        <v>347243</v>
      </c>
      <c r="J385" s="225">
        <v>106224</v>
      </c>
      <c r="K385" s="225">
        <v>453467</v>
      </c>
      <c r="L385" s="225">
        <v>262902</v>
      </c>
      <c r="M385" s="225">
        <v>809854</v>
      </c>
      <c r="N385" s="227">
        <f t="shared" si="5"/>
        <v>11.135687374529054</v>
      </c>
    </row>
    <row r="386" spans="1:14" ht="13.5" thickBot="1" x14ac:dyDescent="0.25">
      <c r="A386" s="48" t="s">
        <v>756</v>
      </c>
      <c r="B386" s="224" t="s">
        <v>755</v>
      </c>
      <c r="C386" s="48" t="s">
        <v>54</v>
      </c>
      <c r="D386" s="226">
        <v>80980</v>
      </c>
      <c r="E386" s="225">
        <v>280500</v>
      </c>
      <c r="F386" s="225">
        <v>113900</v>
      </c>
      <c r="G386" s="225">
        <v>200600</v>
      </c>
      <c r="H386" s="225">
        <v>595000</v>
      </c>
      <c r="I386" s="225">
        <v>1521982</v>
      </c>
      <c r="J386" s="225">
        <v>586797</v>
      </c>
      <c r="K386" s="225">
        <v>2108779</v>
      </c>
      <c r="L386" s="225">
        <v>1600558</v>
      </c>
      <c r="M386" s="225">
        <v>4304337</v>
      </c>
      <c r="N386" s="227">
        <f t="shared" si="5"/>
        <v>53.153087182020251</v>
      </c>
    </row>
    <row r="387" spans="1:14" ht="13.5" thickBot="1" x14ac:dyDescent="0.25">
      <c r="A387" s="48" t="s">
        <v>778</v>
      </c>
      <c r="B387" s="224" t="s">
        <v>777</v>
      </c>
      <c r="C387" s="48" t="s">
        <v>54</v>
      </c>
      <c r="D387" s="226">
        <v>134056</v>
      </c>
      <c r="E387" s="225">
        <v>251644</v>
      </c>
      <c r="F387" s="225">
        <v>55379</v>
      </c>
      <c r="G387" s="225">
        <v>43437</v>
      </c>
      <c r="H387" s="225">
        <v>350460</v>
      </c>
      <c r="I387" s="225">
        <v>1291986</v>
      </c>
      <c r="J387" s="225">
        <v>1178342</v>
      </c>
      <c r="K387" s="225">
        <v>2470328</v>
      </c>
      <c r="L387" s="225">
        <v>1076146</v>
      </c>
      <c r="M387" s="225">
        <v>3896934</v>
      </c>
      <c r="N387" s="227">
        <f t="shared" si="5"/>
        <v>29.069448588649518</v>
      </c>
    </row>
    <row r="388" spans="1:14" ht="13.5" thickBot="1" x14ac:dyDescent="0.25">
      <c r="A388" s="48" t="s">
        <v>780</v>
      </c>
      <c r="B388" s="224" t="s">
        <v>779</v>
      </c>
      <c r="C388" s="48" t="s">
        <v>54</v>
      </c>
      <c r="D388" s="226">
        <v>71997</v>
      </c>
      <c r="E388" s="225">
        <v>91386</v>
      </c>
      <c r="F388" s="225">
        <v>14103</v>
      </c>
      <c r="G388" s="225">
        <v>62660</v>
      </c>
      <c r="H388" s="225">
        <v>168149</v>
      </c>
      <c r="I388" s="225">
        <v>1096667</v>
      </c>
      <c r="J388" s="225">
        <v>548594</v>
      </c>
      <c r="K388" s="225">
        <v>1645261</v>
      </c>
      <c r="L388" s="225">
        <v>156833</v>
      </c>
      <c r="M388" s="225">
        <v>1970243</v>
      </c>
      <c r="N388" s="227">
        <f t="shared" ref="N388:N392" si="6">M388/D388</f>
        <v>27.365626345542175</v>
      </c>
    </row>
    <row r="389" spans="1:14" ht="13.5" thickBot="1" x14ac:dyDescent="0.25">
      <c r="A389" s="48" t="s">
        <v>788</v>
      </c>
      <c r="B389" s="224" t="s">
        <v>787</v>
      </c>
      <c r="C389" s="48" t="s">
        <v>54</v>
      </c>
      <c r="D389" s="226">
        <v>71755</v>
      </c>
      <c r="E389" s="225">
        <v>468336</v>
      </c>
      <c r="F389" s="225">
        <v>241247</v>
      </c>
      <c r="G389" s="225">
        <v>586894</v>
      </c>
      <c r="H389" s="225">
        <v>1296477</v>
      </c>
      <c r="I389" s="225">
        <v>1860195</v>
      </c>
      <c r="J389" s="225">
        <v>421689</v>
      </c>
      <c r="K389" s="225">
        <v>2281884</v>
      </c>
      <c r="L389" s="225">
        <v>1391696</v>
      </c>
      <c r="M389" s="225">
        <v>4970057</v>
      </c>
      <c r="N389" s="227">
        <f t="shared" si="6"/>
        <v>69.264260330290568</v>
      </c>
    </row>
    <row r="390" spans="1:14" ht="13.5" thickBot="1" x14ac:dyDescent="0.25">
      <c r="A390" s="48" t="s">
        <v>808</v>
      </c>
      <c r="B390" s="224" t="s">
        <v>807</v>
      </c>
      <c r="C390" s="48" t="s">
        <v>54</v>
      </c>
      <c r="D390" s="226">
        <v>89779</v>
      </c>
      <c r="E390" s="225">
        <v>465328</v>
      </c>
      <c r="F390" s="225">
        <v>120571</v>
      </c>
      <c r="G390" s="225">
        <v>270003</v>
      </c>
      <c r="H390" s="225">
        <v>855902</v>
      </c>
      <c r="I390" s="225">
        <v>2287719</v>
      </c>
      <c r="J390" s="225">
        <v>860821</v>
      </c>
      <c r="K390" s="225">
        <v>3148540</v>
      </c>
      <c r="L390" s="225">
        <v>1212323</v>
      </c>
      <c r="M390" s="225">
        <v>5216765</v>
      </c>
      <c r="N390" s="227">
        <f t="shared" si="6"/>
        <v>58.106739883491684</v>
      </c>
    </row>
    <row r="391" spans="1:14" ht="13.5" thickBot="1" x14ac:dyDescent="0.25">
      <c r="A391" s="48" t="s">
        <v>810</v>
      </c>
      <c r="B391" s="224" t="s">
        <v>809</v>
      </c>
      <c r="C391" s="48" t="s">
        <v>54</v>
      </c>
      <c r="D391" s="226">
        <v>84094</v>
      </c>
      <c r="E391" s="225">
        <v>107505</v>
      </c>
      <c r="F391" s="225">
        <v>30552</v>
      </c>
      <c r="G391" s="225">
        <v>85784</v>
      </c>
      <c r="H391" s="225">
        <v>223841</v>
      </c>
      <c r="I391" s="225">
        <v>1229162</v>
      </c>
      <c r="J391" s="225">
        <v>498634</v>
      </c>
      <c r="K391" s="225">
        <v>1727796</v>
      </c>
      <c r="L391" s="225">
        <v>609887</v>
      </c>
      <c r="M391" s="225">
        <v>2561524</v>
      </c>
      <c r="N391" s="227">
        <f t="shared" si="6"/>
        <v>30.460246866601661</v>
      </c>
    </row>
    <row r="392" spans="1:14" ht="13.5" thickBot="1" x14ac:dyDescent="0.25">
      <c r="A392" s="48" t="s">
        <v>816</v>
      </c>
      <c r="B392" s="231" t="s">
        <v>815</v>
      </c>
      <c r="C392" s="48" t="s">
        <v>54</v>
      </c>
      <c r="D392" s="226">
        <v>82974</v>
      </c>
      <c r="E392" s="225">
        <v>118205</v>
      </c>
      <c r="F392" s="225">
        <v>71940</v>
      </c>
      <c r="G392" s="225">
        <v>257005</v>
      </c>
      <c r="H392" s="225">
        <v>447150</v>
      </c>
      <c r="I392" s="225">
        <v>2020943</v>
      </c>
      <c r="J392" s="225">
        <v>666055</v>
      </c>
      <c r="K392" s="225">
        <v>2686998</v>
      </c>
      <c r="L392" s="225">
        <v>1193339</v>
      </c>
      <c r="M392" s="225">
        <v>4327487</v>
      </c>
      <c r="N392" s="227">
        <f t="shared" si="6"/>
        <v>52.154735218261145</v>
      </c>
    </row>
    <row r="393" spans="1:14" ht="18.75" thickBot="1" x14ac:dyDescent="0.3">
      <c r="A393" s="60"/>
      <c r="B393" s="113" t="s">
        <v>1599</v>
      </c>
      <c r="C393" s="233">
        <f>SUBTOTAL(103,Table9[Library Class])</f>
        <v>389</v>
      </c>
    </row>
    <row r="394" spans="1:14" ht="18.75" thickBot="1" x14ac:dyDescent="0.3">
      <c r="C394" s="113" t="s">
        <v>1620</v>
      </c>
      <c r="D394" s="234">
        <f>SUBTOTAL(109,Table9[Total Population Served])</f>
        <v>9842571</v>
      </c>
      <c r="E394" s="235">
        <f>SUBTOTAL(109,Table9[Print Materials Expenditure])</f>
        <v>23372608.649999999</v>
      </c>
      <c r="F394" s="235">
        <f>SUBTOTAL(109,Table9[Other Materials Expenditure])</f>
        <v>9289298.5899999999</v>
      </c>
      <c r="G394" s="235">
        <f>SUBTOTAL(109,Table9[Electronic Materials Expenditure])</f>
        <v>14447668.77</v>
      </c>
      <c r="H394" s="235">
        <f>SUBTOTAL(109,Table9[Total Collection Expenditures])</f>
        <v>47109576.009999998</v>
      </c>
      <c r="I394" s="235">
        <f>SUBTOTAL(109,Table9[Salaries and Wages])</f>
        <v>201764723.06</v>
      </c>
      <c r="J394" s="235">
        <f>SUBTOTAL(109,Table9[Employee Benefits])</f>
        <v>69257342.560000002</v>
      </c>
      <c r="K394" s="235">
        <f>SUBTOTAL(109,Table9[Total Staff Expenditures])</f>
        <v>271022065.62</v>
      </c>
      <c r="L394" s="235">
        <f>SUBTOTAL(109,Table9[Other Operating Expenditures])</f>
        <v>114112214.91</v>
      </c>
      <c r="M394" s="235">
        <f>SUBTOTAL(109,Table9[Total Operating Expenditures])</f>
        <v>432243856.54000002</v>
      </c>
      <c r="N394" s="236"/>
    </row>
    <row r="395" spans="1:14" ht="18.75" thickBot="1" x14ac:dyDescent="0.3">
      <c r="C395" s="113" t="s">
        <v>1621</v>
      </c>
      <c r="D395" s="234">
        <f>SUBTOTAL(101,Table9[Total Population Served])</f>
        <v>25302.239074550129</v>
      </c>
      <c r="E395" s="235">
        <f>SUBTOTAL(101,Table9[Print Materials Expenditure])</f>
        <v>60083.826863753209</v>
      </c>
      <c r="F395" s="235">
        <f>SUBTOTAL(101,Table9[Other Materials Expenditure])</f>
        <v>23879.944961439589</v>
      </c>
      <c r="G395" s="235">
        <f>SUBTOTAL(101,Table9[Electronic Materials Expenditure])</f>
        <v>37140.536683804625</v>
      </c>
      <c r="H395" s="235">
        <f>SUBTOTAL(101,Table9[Total Collection Expenditures])</f>
        <v>121104.30850899742</v>
      </c>
      <c r="I395" s="235">
        <f>SUBTOTAL(101,Table9[Salaries and Wages])</f>
        <v>518675.38061696658</v>
      </c>
      <c r="J395" s="235">
        <f>SUBTOTAL(101,Table9[Employee Benefits])</f>
        <v>178039.44102827765</v>
      </c>
      <c r="K395" s="235">
        <f>SUBTOTAL(101,Table9[Total Staff Expenditures])</f>
        <v>696714.82164524426</v>
      </c>
      <c r="L395" s="235">
        <f>SUBTOTAL(101,Table9[Other Operating Expenditures])</f>
        <v>293347.59616966581</v>
      </c>
      <c r="M395" s="235">
        <f>SUBTOTAL(101,Table9[Total Operating Expenditures])</f>
        <v>1111166.7263239075</v>
      </c>
      <c r="N395" s="237">
        <f>SUBTOTAL(101,Table9[Total Operating Expenditures Per Capita])</f>
        <v>37.628748246804946</v>
      </c>
    </row>
    <row r="398" spans="1:14" ht="15" x14ac:dyDescent="0.25">
      <c r="A398" s="369" t="s">
        <v>3736</v>
      </c>
    </row>
  </sheetData>
  <sortState xmlns:xlrd2="http://schemas.microsoft.com/office/spreadsheetml/2017/richdata2" ref="A4:N392">
    <sortCondition ref="B4:B392"/>
  </sortState>
  <hyperlinks>
    <hyperlink ref="F1" location="'Table Of Contents'!A1" display="Return to Table of Contents" xr:uid="{FCA45439-20E0-4E13-93FB-CE5523F9E020}"/>
  </hyperlinks>
  <pageMargins left="0.7" right="0.7" top="0.75" bottom="0.75" header="0.3" footer="0.3"/>
  <pageSetup orientation="portrait" horizontalDpi="200" verticalDpi="20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BCAFF-0339-4EC2-900D-A5D0EF105CE5}">
  <sheetPr>
    <tabColor rgb="FF8CC6D4"/>
  </sheetPr>
  <dimension ref="A1:N397"/>
  <sheetViews>
    <sheetView workbookViewId="0">
      <pane xSplit="2" ySplit="3" topLeftCell="C4" activePane="bottomRight" state="frozen"/>
      <selection pane="topRight" activeCell="C1" sqref="C1"/>
      <selection pane="bottomLeft" activeCell="A2" sqref="A2"/>
      <selection pane="bottomRight" activeCell="C1" sqref="C1"/>
    </sheetView>
  </sheetViews>
  <sheetFormatPr defaultRowHeight="12.75" x14ac:dyDescent="0.2"/>
  <cols>
    <col min="2" max="2" width="52.42578125" customWidth="1"/>
    <col min="3" max="3" width="25.7109375" customWidth="1"/>
    <col min="4" max="5" width="14.28515625" customWidth="1"/>
    <col min="6" max="6" width="15.42578125" customWidth="1"/>
    <col min="7" max="7" width="17.7109375" customWidth="1"/>
    <col min="8" max="8" width="15.85546875" customWidth="1"/>
    <col min="9" max="9" width="17.85546875" customWidth="1"/>
    <col min="10" max="10" width="15.5703125" customWidth="1"/>
    <col min="11" max="11" width="20" customWidth="1"/>
    <col min="12" max="12" width="16.85546875" customWidth="1"/>
    <col min="13" max="13" width="17.28515625" customWidth="1"/>
    <col min="14" max="14" width="17.5703125" customWidth="1"/>
  </cols>
  <sheetData>
    <row r="1" spans="1:14" ht="18.75" x14ac:dyDescent="0.3">
      <c r="A1" s="362" t="s">
        <v>3729</v>
      </c>
      <c r="B1" s="365"/>
      <c r="D1" s="364" t="s">
        <v>3733</v>
      </c>
      <c r="G1" s="360" t="s">
        <v>3727</v>
      </c>
    </row>
    <row r="3" spans="1:14" s="243" customFormat="1" ht="77.25" customHeight="1" thickBot="1" x14ac:dyDescent="0.3">
      <c r="A3" s="242" t="s">
        <v>1</v>
      </c>
      <c r="B3" s="242" t="s">
        <v>0</v>
      </c>
      <c r="C3" s="242" t="s">
        <v>4</v>
      </c>
      <c r="D3" s="242" t="s">
        <v>1602</v>
      </c>
      <c r="E3" s="242" t="s">
        <v>3037</v>
      </c>
      <c r="F3" s="242" t="s">
        <v>3038</v>
      </c>
      <c r="G3" s="242" t="s">
        <v>3039</v>
      </c>
      <c r="H3" s="242" t="s">
        <v>3040</v>
      </c>
      <c r="I3" s="242" t="s">
        <v>3041</v>
      </c>
      <c r="J3" s="242" t="s">
        <v>3042</v>
      </c>
      <c r="K3" s="242" t="s">
        <v>3043</v>
      </c>
      <c r="L3" s="242" t="s">
        <v>3044</v>
      </c>
      <c r="M3" s="242" t="s">
        <v>3045</v>
      </c>
      <c r="N3" s="242" t="s">
        <v>3046</v>
      </c>
    </row>
    <row r="4" spans="1:14" ht="13.5" thickBot="1" x14ac:dyDescent="0.25">
      <c r="A4" s="48" t="s">
        <v>33</v>
      </c>
      <c r="B4" s="224" t="s">
        <v>32</v>
      </c>
      <c r="C4" s="48" t="s">
        <v>34</v>
      </c>
      <c r="D4" s="226">
        <v>1285</v>
      </c>
      <c r="E4" s="208">
        <v>0</v>
      </c>
      <c r="F4" s="208">
        <v>0</v>
      </c>
      <c r="G4" s="208">
        <v>0</v>
      </c>
      <c r="H4" s="208">
        <v>0</v>
      </c>
      <c r="I4" s="208">
        <v>0</v>
      </c>
      <c r="J4" s="208">
        <v>0</v>
      </c>
      <c r="K4" s="208">
        <v>0</v>
      </c>
      <c r="L4" s="208">
        <v>0</v>
      </c>
      <c r="M4" s="208">
        <v>0</v>
      </c>
      <c r="N4" s="208">
        <v>0</v>
      </c>
    </row>
    <row r="5" spans="1:14" ht="13.5" thickBot="1" x14ac:dyDescent="0.25">
      <c r="A5" s="48" t="s">
        <v>58</v>
      </c>
      <c r="B5" s="224" t="s">
        <v>57</v>
      </c>
      <c r="C5" s="48" t="s">
        <v>34</v>
      </c>
      <c r="D5" s="226">
        <v>3248</v>
      </c>
      <c r="E5" s="208">
        <v>0</v>
      </c>
      <c r="F5" s="208">
        <v>0</v>
      </c>
      <c r="G5" s="208">
        <v>0</v>
      </c>
      <c r="H5" s="208">
        <v>0</v>
      </c>
      <c r="I5" s="208">
        <v>0</v>
      </c>
      <c r="J5" s="208">
        <v>0</v>
      </c>
      <c r="K5" s="208">
        <v>0</v>
      </c>
      <c r="L5" s="208">
        <v>24240</v>
      </c>
      <c r="M5" s="208">
        <v>0</v>
      </c>
      <c r="N5" s="208">
        <v>24240</v>
      </c>
    </row>
    <row r="6" spans="1:14" ht="13.5" thickBot="1" x14ac:dyDescent="0.25">
      <c r="A6" s="48" t="s">
        <v>80</v>
      </c>
      <c r="B6" s="224" t="s">
        <v>79</v>
      </c>
      <c r="C6" s="48" t="s">
        <v>34</v>
      </c>
      <c r="D6" s="226">
        <v>657</v>
      </c>
      <c r="E6" s="208">
        <v>0</v>
      </c>
      <c r="F6" s="208">
        <v>0</v>
      </c>
      <c r="G6" s="208">
        <v>0</v>
      </c>
      <c r="H6" s="208">
        <v>0</v>
      </c>
      <c r="I6" s="208">
        <v>0</v>
      </c>
      <c r="J6" s="208">
        <v>0</v>
      </c>
      <c r="K6" s="208">
        <v>0</v>
      </c>
      <c r="L6" s="208">
        <v>0</v>
      </c>
      <c r="M6" s="208">
        <v>0</v>
      </c>
      <c r="N6" s="208">
        <v>0</v>
      </c>
    </row>
    <row r="7" spans="1:14" ht="13.5" thickBot="1" x14ac:dyDescent="0.25">
      <c r="A7" s="48" t="s">
        <v>82</v>
      </c>
      <c r="B7" s="224" t="s">
        <v>81</v>
      </c>
      <c r="C7" s="48" t="s">
        <v>34</v>
      </c>
      <c r="D7" s="226">
        <v>3769</v>
      </c>
      <c r="E7" s="208">
        <v>0</v>
      </c>
      <c r="F7" s="208">
        <v>0</v>
      </c>
      <c r="G7" s="208">
        <v>0</v>
      </c>
      <c r="H7" s="208">
        <v>0</v>
      </c>
      <c r="I7" s="208">
        <v>0</v>
      </c>
      <c r="J7" s="208">
        <v>650</v>
      </c>
      <c r="K7" s="208">
        <v>0</v>
      </c>
      <c r="L7" s="208">
        <v>0</v>
      </c>
      <c r="M7" s="208">
        <v>0</v>
      </c>
      <c r="N7" s="208">
        <v>650</v>
      </c>
    </row>
    <row r="8" spans="1:14" ht="13.5" thickBot="1" x14ac:dyDescent="0.25">
      <c r="A8" s="48" t="s">
        <v>86</v>
      </c>
      <c r="B8" s="224" t="s">
        <v>85</v>
      </c>
      <c r="C8" s="48" t="s">
        <v>34</v>
      </c>
      <c r="D8" s="226">
        <v>3150</v>
      </c>
      <c r="E8" s="208">
        <v>0</v>
      </c>
      <c r="F8" s="208">
        <v>0</v>
      </c>
      <c r="G8" s="208">
        <v>0</v>
      </c>
      <c r="H8" s="208">
        <v>0</v>
      </c>
      <c r="I8" s="208">
        <v>0</v>
      </c>
      <c r="J8" s="203">
        <v>0</v>
      </c>
      <c r="K8" s="203">
        <v>0</v>
      </c>
      <c r="L8" s="203">
        <v>0</v>
      </c>
      <c r="M8" s="203">
        <v>0</v>
      </c>
      <c r="N8" s="203">
        <v>0</v>
      </c>
    </row>
    <row r="9" spans="1:14" ht="13.5" thickBot="1" x14ac:dyDescent="0.25">
      <c r="A9" s="48" t="s">
        <v>90</v>
      </c>
      <c r="B9" s="224" t="s">
        <v>89</v>
      </c>
      <c r="C9" s="48" t="s">
        <v>34</v>
      </c>
      <c r="D9" s="226">
        <v>3811</v>
      </c>
      <c r="E9" s="208">
        <v>0</v>
      </c>
      <c r="F9" s="208">
        <v>0</v>
      </c>
      <c r="G9" s="208">
        <v>0</v>
      </c>
      <c r="H9" s="208">
        <v>171000</v>
      </c>
      <c r="I9" s="208">
        <v>171000</v>
      </c>
      <c r="J9" s="208">
        <v>0</v>
      </c>
      <c r="K9" s="208">
        <v>1978</v>
      </c>
      <c r="L9" s="208">
        <v>0</v>
      </c>
      <c r="M9" s="208">
        <v>52237</v>
      </c>
      <c r="N9" s="208">
        <v>54215</v>
      </c>
    </row>
    <row r="10" spans="1:14" ht="13.5" thickBot="1" x14ac:dyDescent="0.25">
      <c r="A10" s="48" t="s">
        <v>92</v>
      </c>
      <c r="B10" s="224" t="s">
        <v>91</v>
      </c>
      <c r="C10" s="48" t="s">
        <v>34</v>
      </c>
      <c r="D10" s="226">
        <v>3623</v>
      </c>
      <c r="E10" s="208">
        <v>0</v>
      </c>
      <c r="F10" s="208">
        <v>0</v>
      </c>
      <c r="G10" s="208">
        <v>0</v>
      </c>
      <c r="H10" s="208">
        <v>0</v>
      </c>
      <c r="I10" s="208">
        <v>0</v>
      </c>
      <c r="J10" s="208">
        <v>0</v>
      </c>
      <c r="K10" s="208">
        <v>0</v>
      </c>
      <c r="L10" s="208">
        <v>0</v>
      </c>
      <c r="M10" s="208">
        <v>0</v>
      </c>
      <c r="N10" s="208">
        <v>0</v>
      </c>
    </row>
    <row r="11" spans="1:14" ht="13.5" thickBot="1" x14ac:dyDescent="0.25">
      <c r="A11" s="48" t="s">
        <v>100</v>
      </c>
      <c r="B11" s="224" t="s">
        <v>99</v>
      </c>
      <c r="C11" s="48" t="s">
        <v>34</v>
      </c>
      <c r="D11" s="226">
        <v>2937</v>
      </c>
      <c r="E11" s="208">
        <v>0</v>
      </c>
      <c r="F11" s="208">
        <v>2352</v>
      </c>
      <c r="G11" s="208">
        <v>0</v>
      </c>
      <c r="H11" s="208">
        <v>0</v>
      </c>
      <c r="I11" s="208">
        <v>2352</v>
      </c>
      <c r="J11" s="208">
        <v>2706</v>
      </c>
      <c r="K11" s="208">
        <v>604</v>
      </c>
      <c r="L11" s="208">
        <v>0</v>
      </c>
      <c r="M11" s="208">
        <v>0</v>
      </c>
      <c r="N11" s="208">
        <v>3310</v>
      </c>
    </row>
    <row r="12" spans="1:14" ht="13.5" thickBot="1" x14ac:dyDescent="0.25">
      <c r="A12" s="48" t="s">
        <v>132</v>
      </c>
      <c r="B12" s="224" t="s">
        <v>131</v>
      </c>
      <c r="C12" s="48" t="s">
        <v>34</v>
      </c>
      <c r="D12" s="226">
        <v>2611</v>
      </c>
      <c r="E12" s="208">
        <v>0</v>
      </c>
      <c r="F12" s="208">
        <v>0</v>
      </c>
      <c r="G12" s="208">
        <v>0</v>
      </c>
      <c r="H12" s="208">
        <v>0</v>
      </c>
      <c r="I12" s="208">
        <v>0</v>
      </c>
      <c r="J12" s="208">
        <v>90</v>
      </c>
      <c r="K12" s="208">
        <v>1100</v>
      </c>
      <c r="L12" s="208">
        <v>0</v>
      </c>
      <c r="M12" s="208">
        <v>0</v>
      </c>
      <c r="N12" s="208">
        <v>1190</v>
      </c>
    </row>
    <row r="13" spans="1:14" ht="13.5" thickBot="1" x14ac:dyDescent="0.25">
      <c r="A13" s="48" t="s">
        <v>146</v>
      </c>
      <c r="B13" s="224" t="s">
        <v>145</v>
      </c>
      <c r="C13" s="48" t="s">
        <v>34</v>
      </c>
      <c r="D13" s="226">
        <v>722</v>
      </c>
      <c r="E13" s="208">
        <v>0</v>
      </c>
      <c r="F13" s="208">
        <v>0</v>
      </c>
      <c r="G13" s="208">
        <v>0</v>
      </c>
      <c r="H13" s="208">
        <v>0</v>
      </c>
      <c r="I13" s="208">
        <v>0</v>
      </c>
      <c r="J13" s="208">
        <v>0</v>
      </c>
      <c r="K13" s="208">
        <v>0</v>
      </c>
      <c r="L13" s="208">
        <v>0</v>
      </c>
      <c r="M13" s="208">
        <v>0</v>
      </c>
      <c r="N13" s="208">
        <v>0</v>
      </c>
    </row>
    <row r="14" spans="1:14" ht="13.5" thickBot="1" x14ac:dyDescent="0.25">
      <c r="A14" s="48" t="s">
        <v>156</v>
      </c>
      <c r="B14" s="224" t="s">
        <v>155</v>
      </c>
      <c r="C14" s="48" t="s">
        <v>34</v>
      </c>
      <c r="D14" s="226">
        <v>3995</v>
      </c>
      <c r="E14" s="208">
        <v>0</v>
      </c>
      <c r="F14" s="208">
        <v>0</v>
      </c>
      <c r="G14" s="208">
        <v>0</v>
      </c>
      <c r="H14" s="208">
        <v>0</v>
      </c>
      <c r="I14" s="208">
        <v>0</v>
      </c>
      <c r="J14" s="203">
        <v>0</v>
      </c>
      <c r="K14" s="203">
        <v>0</v>
      </c>
      <c r="L14" s="203">
        <v>0</v>
      </c>
      <c r="M14" s="203">
        <v>0</v>
      </c>
      <c r="N14" s="203">
        <v>0</v>
      </c>
    </row>
    <row r="15" spans="1:14" ht="13.5" thickBot="1" x14ac:dyDescent="0.25">
      <c r="A15" s="48" t="s">
        <v>164</v>
      </c>
      <c r="B15" s="224" t="s">
        <v>163</v>
      </c>
      <c r="C15" s="48" t="s">
        <v>34</v>
      </c>
      <c r="D15" s="226">
        <v>1854</v>
      </c>
      <c r="E15" s="208">
        <v>0</v>
      </c>
      <c r="F15" s="208">
        <v>0</v>
      </c>
      <c r="G15" s="208">
        <v>2465</v>
      </c>
      <c r="H15" s="208">
        <v>0</v>
      </c>
      <c r="I15" s="208">
        <v>2465</v>
      </c>
      <c r="J15" s="208">
        <v>0</v>
      </c>
      <c r="K15" s="208">
        <v>4930</v>
      </c>
      <c r="L15" s="208">
        <v>0</v>
      </c>
      <c r="M15" s="208">
        <v>0</v>
      </c>
      <c r="N15" s="208">
        <v>4930</v>
      </c>
    </row>
    <row r="16" spans="1:14" ht="13.5" thickBot="1" x14ac:dyDescent="0.25">
      <c r="A16" s="48" t="s">
        <v>176</v>
      </c>
      <c r="B16" s="224" t="s">
        <v>175</v>
      </c>
      <c r="C16" s="48" t="s">
        <v>34</v>
      </c>
      <c r="D16" s="226">
        <v>3604</v>
      </c>
      <c r="E16" s="208">
        <v>0</v>
      </c>
      <c r="F16" s="208">
        <v>0</v>
      </c>
      <c r="G16" s="208">
        <v>0</v>
      </c>
      <c r="H16" s="208">
        <v>0</v>
      </c>
      <c r="I16" s="208">
        <v>0</v>
      </c>
      <c r="J16" s="208">
        <v>0</v>
      </c>
      <c r="K16" s="208">
        <v>0</v>
      </c>
      <c r="L16" s="208">
        <v>0</v>
      </c>
      <c r="M16" s="208">
        <v>0</v>
      </c>
      <c r="N16" s="208">
        <v>0</v>
      </c>
    </row>
    <row r="17" spans="1:14" ht="13.5" thickBot="1" x14ac:dyDescent="0.25">
      <c r="A17" s="48" t="s">
        <v>184</v>
      </c>
      <c r="B17" s="224" t="s">
        <v>183</v>
      </c>
      <c r="C17" s="48" t="s">
        <v>34</v>
      </c>
      <c r="D17" s="226">
        <v>3803</v>
      </c>
      <c r="E17" s="208">
        <v>0</v>
      </c>
      <c r="F17" s="208">
        <v>0</v>
      </c>
      <c r="G17" s="208">
        <v>89462</v>
      </c>
      <c r="H17" s="208">
        <v>0</v>
      </c>
      <c r="I17" s="208">
        <v>89462</v>
      </c>
      <c r="J17" s="208">
        <v>0</v>
      </c>
      <c r="K17" s="208">
        <v>0</v>
      </c>
      <c r="L17" s="208">
        <v>6743</v>
      </c>
      <c r="M17" s="208">
        <v>0</v>
      </c>
      <c r="N17" s="208">
        <v>6743</v>
      </c>
    </row>
    <row r="18" spans="1:14" ht="13.5" thickBot="1" x14ac:dyDescent="0.25">
      <c r="A18" s="48" t="s">
        <v>186</v>
      </c>
      <c r="B18" s="224" t="s">
        <v>185</v>
      </c>
      <c r="C18" s="48" t="s">
        <v>34</v>
      </c>
      <c r="D18" s="226">
        <v>2373</v>
      </c>
      <c r="E18" s="208">
        <v>0</v>
      </c>
      <c r="F18" s="208">
        <v>0</v>
      </c>
      <c r="G18" s="208">
        <v>0</v>
      </c>
      <c r="H18" s="208">
        <v>0</v>
      </c>
      <c r="I18" s="208">
        <v>0</v>
      </c>
      <c r="J18" s="208">
        <v>0</v>
      </c>
      <c r="K18" s="208">
        <v>36225</v>
      </c>
      <c r="L18" s="208">
        <v>521516</v>
      </c>
      <c r="M18" s="208">
        <v>0</v>
      </c>
      <c r="N18" s="208">
        <v>557741</v>
      </c>
    </row>
    <row r="19" spans="1:14" ht="13.5" thickBot="1" x14ac:dyDescent="0.25">
      <c r="A19" s="48" t="s">
        <v>202</v>
      </c>
      <c r="B19" s="224" t="s">
        <v>201</v>
      </c>
      <c r="C19" s="48" t="s">
        <v>34</v>
      </c>
      <c r="D19" s="226">
        <v>3953</v>
      </c>
      <c r="E19" s="208">
        <v>0</v>
      </c>
      <c r="F19" s="208">
        <v>0</v>
      </c>
      <c r="G19" s="208">
        <v>0</v>
      </c>
      <c r="H19" s="208">
        <v>0</v>
      </c>
      <c r="I19" s="208">
        <v>0</v>
      </c>
      <c r="J19" s="203">
        <v>0</v>
      </c>
      <c r="K19" s="203">
        <v>0</v>
      </c>
      <c r="L19" s="203">
        <v>0</v>
      </c>
      <c r="M19" s="208">
        <v>2764</v>
      </c>
      <c r="N19" s="208">
        <v>2764</v>
      </c>
    </row>
    <row r="20" spans="1:14" ht="13.5" thickBot="1" x14ac:dyDescent="0.25">
      <c r="A20" s="48" t="s">
        <v>204</v>
      </c>
      <c r="B20" s="224" t="s">
        <v>203</v>
      </c>
      <c r="C20" s="48" t="s">
        <v>34</v>
      </c>
      <c r="D20" s="226">
        <v>3228</v>
      </c>
      <c r="E20" s="208">
        <v>0</v>
      </c>
      <c r="F20" s="208">
        <v>0</v>
      </c>
      <c r="G20" s="208">
        <v>0</v>
      </c>
      <c r="H20" s="208">
        <v>0</v>
      </c>
      <c r="I20" s="208">
        <v>0</v>
      </c>
      <c r="J20" s="208">
        <v>0</v>
      </c>
      <c r="K20" s="208">
        <v>0</v>
      </c>
      <c r="L20" s="208">
        <v>0</v>
      </c>
      <c r="M20" s="208">
        <v>0</v>
      </c>
      <c r="N20" s="208">
        <v>0</v>
      </c>
    </row>
    <row r="21" spans="1:14" ht="13.5" thickBot="1" x14ac:dyDescent="0.25">
      <c r="A21" s="48" t="s">
        <v>206</v>
      </c>
      <c r="B21" s="224" t="s">
        <v>205</v>
      </c>
      <c r="C21" s="48" t="s">
        <v>34</v>
      </c>
      <c r="D21" s="226">
        <v>3453</v>
      </c>
      <c r="E21" s="208">
        <v>0</v>
      </c>
      <c r="F21" s="208">
        <v>0</v>
      </c>
      <c r="G21" s="208">
        <v>0</v>
      </c>
      <c r="H21" s="208">
        <v>1000</v>
      </c>
      <c r="I21" s="208">
        <v>1000</v>
      </c>
      <c r="J21" s="208">
        <v>0</v>
      </c>
      <c r="K21" s="208">
        <v>6727</v>
      </c>
      <c r="L21" s="208">
        <v>0</v>
      </c>
      <c r="M21" s="208">
        <v>0</v>
      </c>
      <c r="N21" s="208">
        <v>6727</v>
      </c>
    </row>
    <row r="22" spans="1:14" ht="13.5" thickBot="1" x14ac:dyDescent="0.25">
      <c r="A22" s="48" t="s">
        <v>208</v>
      </c>
      <c r="B22" s="224" t="s">
        <v>207</v>
      </c>
      <c r="C22" s="48" t="s">
        <v>34</v>
      </c>
      <c r="D22" s="226">
        <v>1236</v>
      </c>
      <c r="E22" s="208">
        <v>0</v>
      </c>
      <c r="F22" s="208">
        <v>0</v>
      </c>
      <c r="G22" s="208">
        <v>0</v>
      </c>
      <c r="H22" s="208">
        <v>0</v>
      </c>
      <c r="I22" s="208">
        <v>0</v>
      </c>
      <c r="J22" s="208">
        <v>0</v>
      </c>
      <c r="K22" s="208">
        <v>3665</v>
      </c>
      <c r="L22" s="208">
        <v>454</v>
      </c>
      <c r="M22" s="208">
        <v>226</v>
      </c>
      <c r="N22" s="208">
        <v>4345</v>
      </c>
    </row>
    <row r="23" spans="1:14" ht="13.5" thickBot="1" x14ac:dyDescent="0.25">
      <c r="A23" s="48" t="s">
        <v>210</v>
      </c>
      <c r="B23" s="224" t="s">
        <v>209</v>
      </c>
      <c r="C23" s="48" t="s">
        <v>34</v>
      </c>
      <c r="D23" s="226">
        <v>3179</v>
      </c>
      <c r="E23" s="208">
        <v>0</v>
      </c>
      <c r="F23" s="208">
        <v>0</v>
      </c>
      <c r="G23" s="208">
        <v>0</v>
      </c>
      <c r="H23" s="208">
        <v>0</v>
      </c>
      <c r="I23" s="208">
        <v>0</v>
      </c>
      <c r="J23" s="208">
        <v>0</v>
      </c>
      <c r="K23" s="208">
        <v>0</v>
      </c>
      <c r="L23" s="208">
        <v>0</v>
      </c>
      <c r="M23" s="208">
        <v>0</v>
      </c>
      <c r="N23" s="208">
        <v>0</v>
      </c>
    </row>
    <row r="24" spans="1:14" ht="13.5" thickBot="1" x14ac:dyDescent="0.25">
      <c r="A24" s="48" t="s">
        <v>256</v>
      </c>
      <c r="B24" s="224" t="s">
        <v>255</v>
      </c>
      <c r="C24" s="48" t="s">
        <v>34</v>
      </c>
      <c r="D24" s="226">
        <v>2769</v>
      </c>
      <c r="E24" s="208">
        <v>0</v>
      </c>
      <c r="F24" s="208">
        <v>0</v>
      </c>
      <c r="G24" s="208">
        <v>0</v>
      </c>
      <c r="H24" s="208">
        <v>0</v>
      </c>
      <c r="I24" s="208">
        <v>0</v>
      </c>
      <c r="J24" s="208">
        <v>0</v>
      </c>
      <c r="K24" s="208">
        <v>0</v>
      </c>
      <c r="L24" s="208">
        <v>0</v>
      </c>
      <c r="M24" s="208">
        <v>0</v>
      </c>
      <c r="N24" s="208">
        <v>0</v>
      </c>
    </row>
    <row r="25" spans="1:14" ht="13.5" thickBot="1" x14ac:dyDescent="0.25">
      <c r="A25" s="48" t="s">
        <v>258</v>
      </c>
      <c r="B25" s="224" t="s">
        <v>257</v>
      </c>
      <c r="C25" s="48" t="s">
        <v>34</v>
      </c>
      <c r="D25" s="226">
        <v>3738</v>
      </c>
      <c r="E25" s="208">
        <v>0</v>
      </c>
      <c r="F25" s="208">
        <v>0</v>
      </c>
      <c r="G25" s="208">
        <v>0</v>
      </c>
      <c r="H25" s="208">
        <v>0</v>
      </c>
      <c r="I25" s="208">
        <v>0</v>
      </c>
      <c r="J25" s="208">
        <v>0</v>
      </c>
      <c r="K25" s="208">
        <v>0</v>
      </c>
      <c r="L25" s="208">
        <v>0</v>
      </c>
      <c r="M25" s="208">
        <v>0</v>
      </c>
      <c r="N25" s="208">
        <v>0</v>
      </c>
    </row>
    <row r="26" spans="1:14" ht="13.5" thickBot="1" x14ac:dyDescent="0.25">
      <c r="A26" s="48" t="s">
        <v>264</v>
      </c>
      <c r="B26" s="224" t="s">
        <v>263</v>
      </c>
      <c r="C26" s="48" t="s">
        <v>34</v>
      </c>
      <c r="D26" s="226">
        <v>3112</v>
      </c>
      <c r="E26" s="208">
        <v>0</v>
      </c>
      <c r="F26" s="208">
        <v>0</v>
      </c>
      <c r="G26" s="208">
        <v>0</v>
      </c>
      <c r="H26" s="208">
        <v>0</v>
      </c>
      <c r="I26" s="208">
        <v>0</v>
      </c>
      <c r="J26" s="208">
        <v>2763</v>
      </c>
      <c r="K26" s="208">
        <v>0</v>
      </c>
      <c r="L26" s="208">
        <v>28225</v>
      </c>
      <c r="M26" s="208">
        <v>3082</v>
      </c>
      <c r="N26" s="208">
        <v>34070</v>
      </c>
    </row>
    <row r="27" spans="1:14" ht="13.5" thickBot="1" x14ac:dyDescent="0.25">
      <c r="A27" s="48" t="s">
        <v>272</v>
      </c>
      <c r="B27" s="224" t="s">
        <v>271</v>
      </c>
      <c r="C27" s="48" t="s">
        <v>34</v>
      </c>
      <c r="D27" s="226">
        <v>2791</v>
      </c>
      <c r="E27" s="208">
        <v>0</v>
      </c>
      <c r="F27" s="208">
        <v>0</v>
      </c>
      <c r="G27" s="208">
        <v>0</v>
      </c>
      <c r="H27" s="208">
        <v>0</v>
      </c>
      <c r="I27" s="208">
        <v>0</v>
      </c>
      <c r="J27" s="208">
        <v>3551</v>
      </c>
      <c r="K27" s="208">
        <v>0</v>
      </c>
      <c r="L27" s="208">
        <v>5927</v>
      </c>
      <c r="M27" s="208">
        <v>0</v>
      </c>
      <c r="N27" s="208">
        <v>9478</v>
      </c>
    </row>
    <row r="28" spans="1:14" ht="13.5" thickBot="1" x14ac:dyDescent="0.25">
      <c r="A28" s="48" t="s">
        <v>286</v>
      </c>
      <c r="B28" s="224" t="s">
        <v>285</v>
      </c>
      <c r="C28" s="48" t="s">
        <v>34</v>
      </c>
      <c r="D28" s="226">
        <v>3150</v>
      </c>
      <c r="E28" s="208">
        <v>0</v>
      </c>
      <c r="F28" s="208">
        <v>0</v>
      </c>
      <c r="G28" s="208">
        <v>0</v>
      </c>
      <c r="H28" s="208">
        <v>0</v>
      </c>
      <c r="I28" s="208">
        <v>0</v>
      </c>
      <c r="J28" s="208">
        <v>0</v>
      </c>
      <c r="K28" s="208">
        <v>962</v>
      </c>
      <c r="L28" s="208">
        <v>29913</v>
      </c>
      <c r="M28" s="208">
        <v>0</v>
      </c>
      <c r="N28" s="208">
        <v>30875</v>
      </c>
    </row>
    <row r="29" spans="1:14" ht="13.5" thickBot="1" x14ac:dyDescent="0.25">
      <c r="A29" s="48" t="s">
        <v>298</v>
      </c>
      <c r="B29" s="224" t="s">
        <v>297</v>
      </c>
      <c r="C29" s="48" t="s">
        <v>34</v>
      </c>
      <c r="D29" s="226">
        <v>3043</v>
      </c>
      <c r="E29" s="208">
        <v>0</v>
      </c>
      <c r="F29" s="208">
        <v>0</v>
      </c>
      <c r="G29" s="208">
        <v>0</v>
      </c>
      <c r="H29" s="208">
        <v>0</v>
      </c>
      <c r="I29" s="208">
        <v>0</v>
      </c>
      <c r="J29" s="208">
        <v>2807</v>
      </c>
      <c r="K29" s="208">
        <v>4560</v>
      </c>
      <c r="L29" s="208">
        <v>0</v>
      </c>
      <c r="M29" s="208">
        <v>0</v>
      </c>
      <c r="N29" s="208">
        <v>7367</v>
      </c>
    </row>
    <row r="30" spans="1:14" ht="13.5" thickBot="1" x14ac:dyDescent="0.25">
      <c r="A30" s="48" t="s">
        <v>306</v>
      </c>
      <c r="B30" s="224" t="s">
        <v>305</v>
      </c>
      <c r="C30" s="48" t="s">
        <v>34</v>
      </c>
      <c r="D30" s="226">
        <v>2047</v>
      </c>
      <c r="E30" s="208">
        <v>0</v>
      </c>
      <c r="F30" s="208">
        <v>0</v>
      </c>
      <c r="G30" s="208">
        <v>0</v>
      </c>
      <c r="H30" s="208">
        <v>0</v>
      </c>
      <c r="I30" s="208">
        <v>0</v>
      </c>
      <c r="J30" s="208">
        <v>0</v>
      </c>
      <c r="K30" s="208">
        <v>0</v>
      </c>
      <c r="L30" s="208">
        <v>0</v>
      </c>
      <c r="M30" s="208">
        <v>0</v>
      </c>
      <c r="N30" s="208">
        <v>0</v>
      </c>
    </row>
    <row r="31" spans="1:14" ht="13.5" thickBot="1" x14ac:dyDescent="0.25">
      <c r="A31" s="48" t="s">
        <v>314</v>
      </c>
      <c r="B31" s="224" t="s">
        <v>313</v>
      </c>
      <c r="C31" s="48" t="s">
        <v>34</v>
      </c>
      <c r="D31" s="226">
        <v>3650</v>
      </c>
      <c r="E31" s="208">
        <v>0</v>
      </c>
      <c r="F31" s="208">
        <v>76500</v>
      </c>
      <c r="G31" s="208">
        <v>71000</v>
      </c>
      <c r="H31" s="208">
        <v>491896</v>
      </c>
      <c r="I31" s="208">
        <v>639396</v>
      </c>
      <c r="J31" s="208">
        <v>0</v>
      </c>
      <c r="K31" s="208">
        <v>0</v>
      </c>
      <c r="L31" s="208">
        <v>0</v>
      </c>
      <c r="M31" s="208">
        <v>925422</v>
      </c>
      <c r="N31" s="208">
        <v>925422</v>
      </c>
    </row>
    <row r="32" spans="1:14" ht="13.5" thickBot="1" x14ac:dyDescent="0.25">
      <c r="A32" s="48" t="s">
        <v>316</v>
      </c>
      <c r="B32" s="224" t="s">
        <v>315</v>
      </c>
      <c r="C32" s="48" t="s">
        <v>34</v>
      </c>
      <c r="D32" s="226">
        <v>1828</v>
      </c>
      <c r="E32" s="208">
        <v>0</v>
      </c>
      <c r="F32" s="208">
        <v>725</v>
      </c>
      <c r="G32" s="208">
        <v>0</v>
      </c>
      <c r="H32" s="208">
        <v>0</v>
      </c>
      <c r="I32" s="208">
        <v>725</v>
      </c>
      <c r="J32" s="208">
        <v>0</v>
      </c>
      <c r="K32" s="208">
        <v>457</v>
      </c>
      <c r="L32" s="208">
        <v>75</v>
      </c>
      <c r="M32" s="208">
        <v>0</v>
      </c>
      <c r="N32" s="208">
        <v>532</v>
      </c>
    </row>
    <row r="33" spans="1:14" ht="13.5" thickBot="1" x14ac:dyDescent="0.25">
      <c r="A33" s="48" t="s">
        <v>364</v>
      </c>
      <c r="B33" s="224" t="s">
        <v>363</v>
      </c>
      <c r="C33" s="48" t="s">
        <v>34</v>
      </c>
      <c r="D33" s="226">
        <v>3926</v>
      </c>
      <c r="E33" s="208">
        <v>0</v>
      </c>
      <c r="F33" s="208">
        <v>0</v>
      </c>
      <c r="G33" s="208">
        <v>0</v>
      </c>
      <c r="H33" s="208">
        <v>0</v>
      </c>
      <c r="I33" s="208">
        <v>0</v>
      </c>
      <c r="J33" s="208">
        <v>0</v>
      </c>
      <c r="K33" s="208">
        <v>0</v>
      </c>
      <c r="L33" s="208">
        <v>0</v>
      </c>
      <c r="M33" s="208">
        <v>0</v>
      </c>
      <c r="N33" s="208">
        <v>0</v>
      </c>
    </row>
    <row r="34" spans="1:14" ht="13.5" thickBot="1" x14ac:dyDescent="0.25">
      <c r="A34" s="48" t="s">
        <v>380</v>
      </c>
      <c r="B34" s="224" t="s">
        <v>379</v>
      </c>
      <c r="C34" s="48" t="s">
        <v>34</v>
      </c>
      <c r="D34" s="226">
        <v>3038</v>
      </c>
      <c r="E34" s="208">
        <v>0</v>
      </c>
      <c r="F34" s="208">
        <v>0</v>
      </c>
      <c r="G34" s="208">
        <v>0</v>
      </c>
      <c r="H34" s="208">
        <v>9000</v>
      </c>
      <c r="I34" s="208">
        <v>9000</v>
      </c>
      <c r="J34" s="208">
        <v>0</v>
      </c>
      <c r="K34" s="208">
        <v>4140</v>
      </c>
      <c r="L34" s="208">
        <v>0</v>
      </c>
      <c r="M34" s="208">
        <v>0</v>
      </c>
      <c r="N34" s="208">
        <v>4140</v>
      </c>
    </row>
    <row r="35" spans="1:14" ht="13.5" thickBot="1" x14ac:dyDescent="0.25">
      <c r="A35" s="48" t="s">
        <v>412</v>
      </c>
      <c r="B35" s="224" t="s">
        <v>411</v>
      </c>
      <c r="C35" s="48" t="s">
        <v>34</v>
      </c>
      <c r="D35" s="226">
        <v>3730</v>
      </c>
      <c r="E35" s="208">
        <v>0</v>
      </c>
      <c r="F35" s="208">
        <v>0</v>
      </c>
      <c r="G35" s="208">
        <v>0</v>
      </c>
      <c r="H35" s="208">
        <v>0</v>
      </c>
      <c r="I35" s="208">
        <v>0</v>
      </c>
      <c r="J35" s="208">
        <v>0</v>
      </c>
      <c r="K35" s="208">
        <v>0</v>
      </c>
      <c r="L35" s="208">
        <v>0</v>
      </c>
      <c r="M35" s="208">
        <v>0</v>
      </c>
      <c r="N35" s="208">
        <v>0</v>
      </c>
    </row>
    <row r="36" spans="1:14" ht="13.5" thickBot="1" x14ac:dyDescent="0.25">
      <c r="A36" s="48" t="s">
        <v>419</v>
      </c>
      <c r="B36" s="224" t="s">
        <v>418</v>
      </c>
      <c r="C36" s="48" t="s">
        <v>34</v>
      </c>
      <c r="D36" s="226">
        <v>2735</v>
      </c>
      <c r="E36" s="208">
        <v>0</v>
      </c>
      <c r="F36" s="208">
        <v>0</v>
      </c>
      <c r="G36" s="208">
        <v>0</v>
      </c>
      <c r="H36" s="208">
        <v>0</v>
      </c>
      <c r="I36" s="208">
        <v>0</v>
      </c>
      <c r="J36" s="208">
        <v>635</v>
      </c>
      <c r="K36" s="208">
        <v>743</v>
      </c>
      <c r="L36" s="208">
        <v>0</v>
      </c>
      <c r="M36" s="208">
        <v>0</v>
      </c>
      <c r="N36" s="208">
        <v>1378</v>
      </c>
    </row>
    <row r="37" spans="1:14" ht="13.5" thickBot="1" x14ac:dyDescent="0.25">
      <c r="A37" s="48" t="s">
        <v>421</v>
      </c>
      <c r="B37" s="224" t="s">
        <v>420</v>
      </c>
      <c r="C37" s="48" t="s">
        <v>34</v>
      </c>
      <c r="D37" s="226">
        <v>1900</v>
      </c>
      <c r="E37" s="208">
        <v>0</v>
      </c>
      <c r="F37" s="208">
        <v>0</v>
      </c>
      <c r="G37" s="208">
        <v>0</v>
      </c>
      <c r="H37" s="208">
        <v>0</v>
      </c>
      <c r="I37" s="208">
        <v>0</v>
      </c>
      <c r="J37" s="208">
        <v>2500</v>
      </c>
      <c r="K37" s="208">
        <v>0</v>
      </c>
      <c r="L37" s="208">
        <v>5000</v>
      </c>
      <c r="M37" s="208">
        <v>0</v>
      </c>
      <c r="N37" s="208">
        <v>7500</v>
      </c>
    </row>
    <row r="38" spans="1:14" ht="13.5" thickBot="1" x14ac:dyDescent="0.25">
      <c r="A38" s="48" t="s">
        <v>425</v>
      </c>
      <c r="B38" s="224" t="s">
        <v>424</v>
      </c>
      <c r="C38" s="48" t="s">
        <v>34</v>
      </c>
      <c r="D38" s="226">
        <v>2027</v>
      </c>
      <c r="E38" s="208">
        <v>0</v>
      </c>
      <c r="F38" s="208">
        <v>0</v>
      </c>
      <c r="G38" s="208">
        <v>0</v>
      </c>
      <c r="H38" s="208">
        <v>0</v>
      </c>
      <c r="I38" s="208">
        <v>0</v>
      </c>
      <c r="J38" s="208">
        <v>0</v>
      </c>
      <c r="K38" s="208">
        <v>0</v>
      </c>
      <c r="L38" s="208">
        <v>0</v>
      </c>
      <c r="M38" s="208">
        <v>0</v>
      </c>
      <c r="N38" s="208">
        <v>0</v>
      </c>
    </row>
    <row r="39" spans="1:14" ht="13.5" thickBot="1" x14ac:dyDescent="0.25">
      <c r="A39" s="48" t="s">
        <v>435</v>
      </c>
      <c r="B39" s="224" t="s">
        <v>434</v>
      </c>
      <c r="C39" s="48" t="s">
        <v>34</v>
      </c>
      <c r="D39" s="226">
        <v>2835</v>
      </c>
      <c r="E39" s="208">
        <v>0</v>
      </c>
      <c r="F39" s="208">
        <v>0</v>
      </c>
      <c r="G39" s="208">
        <v>0</v>
      </c>
      <c r="H39" s="208">
        <v>0</v>
      </c>
      <c r="I39" s="208">
        <v>0</v>
      </c>
      <c r="J39" s="208">
        <v>3637</v>
      </c>
      <c r="K39" s="203">
        <v>0</v>
      </c>
      <c r="L39" s="208">
        <v>3316</v>
      </c>
      <c r="M39" s="203">
        <v>0</v>
      </c>
      <c r="N39" s="208">
        <v>6953</v>
      </c>
    </row>
    <row r="40" spans="1:14" ht="13.5" thickBot="1" x14ac:dyDescent="0.25">
      <c r="A40" s="48" t="s">
        <v>441</v>
      </c>
      <c r="B40" s="224" t="s">
        <v>440</v>
      </c>
      <c r="C40" s="48" t="s">
        <v>34</v>
      </c>
      <c r="D40" s="226">
        <v>2372</v>
      </c>
      <c r="E40" s="208">
        <v>0</v>
      </c>
      <c r="F40" s="208">
        <v>0</v>
      </c>
      <c r="G40" s="208">
        <v>0</v>
      </c>
      <c r="H40" s="208">
        <v>0</v>
      </c>
      <c r="I40" s="208">
        <v>0</v>
      </c>
      <c r="J40" s="208">
        <v>0</v>
      </c>
      <c r="K40" s="208">
        <v>0</v>
      </c>
      <c r="L40" s="208">
        <v>56093</v>
      </c>
      <c r="M40" s="208">
        <v>0</v>
      </c>
      <c r="N40" s="208">
        <v>56093</v>
      </c>
    </row>
    <row r="41" spans="1:14" ht="13.5" thickBot="1" x14ac:dyDescent="0.25">
      <c r="A41" s="48" t="s">
        <v>454</v>
      </c>
      <c r="B41" s="224" t="s">
        <v>453</v>
      </c>
      <c r="C41" s="48" t="s">
        <v>34</v>
      </c>
      <c r="D41" s="226">
        <v>3667</v>
      </c>
      <c r="E41" s="208">
        <v>0</v>
      </c>
      <c r="F41" s="208">
        <v>0</v>
      </c>
      <c r="G41" s="208">
        <v>0</v>
      </c>
      <c r="H41" s="208">
        <v>0</v>
      </c>
      <c r="I41" s="208">
        <v>0</v>
      </c>
      <c r="J41" s="208">
        <v>0</v>
      </c>
      <c r="K41" s="208">
        <v>0</v>
      </c>
      <c r="L41" s="208">
        <v>4995</v>
      </c>
      <c r="M41" s="208">
        <v>0</v>
      </c>
      <c r="N41" s="208">
        <v>4995</v>
      </c>
    </row>
    <row r="42" spans="1:14" ht="13.5" thickBot="1" x14ac:dyDescent="0.25">
      <c r="A42" s="48" t="s">
        <v>460</v>
      </c>
      <c r="B42" s="224" t="s">
        <v>459</v>
      </c>
      <c r="C42" s="48" t="s">
        <v>34</v>
      </c>
      <c r="D42" s="226">
        <v>492</v>
      </c>
      <c r="E42" s="208">
        <v>0</v>
      </c>
      <c r="F42" s="208">
        <v>0</v>
      </c>
      <c r="G42" s="208">
        <v>0</v>
      </c>
      <c r="H42" s="208">
        <v>0</v>
      </c>
      <c r="I42" s="208">
        <v>0</v>
      </c>
      <c r="J42" s="208">
        <v>415</v>
      </c>
      <c r="K42" s="208">
        <v>0</v>
      </c>
      <c r="L42" s="208">
        <v>0</v>
      </c>
      <c r="M42" s="208">
        <v>6192</v>
      </c>
      <c r="N42" s="208">
        <v>6607</v>
      </c>
    </row>
    <row r="43" spans="1:14" ht="13.5" thickBot="1" x14ac:dyDescent="0.25">
      <c r="A43" s="48" t="s">
        <v>476</v>
      </c>
      <c r="B43" s="224" t="s">
        <v>475</v>
      </c>
      <c r="C43" s="48" t="s">
        <v>34</v>
      </c>
      <c r="D43" s="226">
        <v>3115</v>
      </c>
      <c r="E43" s="208">
        <v>0</v>
      </c>
      <c r="F43" s="208">
        <v>0</v>
      </c>
      <c r="G43" s="208">
        <v>0</v>
      </c>
      <c r="H43" s="208">
        <v>0</v>
      </c>
      <c r="I43" s="208">
        <v>0</v>
      </c>
      <c r="J43" s="208">
        <v>0</v>
      </c>
      <c r="K43" s="208">
        <v>279</v>
      </c>
      <c r="L43" s="208">
        <v>0</v>
      </c>
      <c r="M43" s="208">
        <v>0</v>
      </c>
      <c r="N43" s="208">
        <v>279</v>
      </c>
    </row>
    <row r="44" spans="1:14" ht="13.5" thickBot="1" x14ac:dyDescent="0.25">
      <c r="A44" s="48" t="s">
        <v>498</v>
      </c>
      <c r="B44" s="224" t="s">
        <v>497</v>
      </c>
      <c r="C44" s="48" t="s">
        <v>34</v>
      </c>
      <c r="D44" s="226">
        <v>3433</v>
      </c>
      <c r="E44" s="208">
        <v>0</v>
      </c>
      <c r="F44" s="208">
        <v>0</v>
      </c>
      <c r="G44" s="208">
        <v>0</v>
      </c>
      <c r="H44" s="208">
        <v>0</v>
      </c>
      <c r="I44" s="208">
        <v>0</v>
      </c>
      <c r="J44" s="208">
        <v>0</v>
      </c>
      <c r="K44" s="208">
        <v>1800</v>
      </c>
      <c r="L44" s="203">
        <v>0</v>
      </c>
      <c r="M44" s="203">
        <v>0</v>
      </c>
      <c r="N44" s="208">
        <v>1800</v>
      </c>
    </row>
    <row r="45" spans="1:14" ht="13.5" thickBot="1" x14ac:dyDescent="0.25">
      <c r="A45" s="48" t="s">
        <v>518</v>
      </c>
      <c r="B45" s="224" t="s">
        <v>517</v>
      </c>
      <c r="C45" s="48" t="s">
        <v>34</v>
      </c>
      <c r="D45" s="226">
        <v>1848</v>
      </c>
      <c r="E45" s="208">
        <v>0</v>
      </c>
      <c r="F45" s="208">
        <v>0</v>
      </c>
      <c r="G45" s="208">
        <v>0</v>
      </c>
      <c r="H45" s="208">
        <v>0</v>
      </c>
      <c r="I45" s="208">
        <v>0</v>
      </c>
      <c r="J45" s="208">
        <v>0</v>
      </c>
      <c r="K45" s="208">
        <v>0</v>
      </c>
      <c r="L45" s="208">
        <v>0</v>
      </c>
      <c r="M45" s="208">
        <v>0</v>
      </c>
      <c r="N45" s="208">
        <v>0</v>
      </c>
    </row>
    <row r="46" spans="1:14" ht="13.5" thickBot="1" x14ac:dyDescent="0.25">
      <c r="A46" s="48" t="s">
        <v>534</v>
      </c>
      <c r="B46" s="224" t="s">
        <v>533</v>
      </c>
      <c r="C46" s="48" t="s">
        <v>34</v>
      </c>
      <c r="D46" s="226">
        <v>3645</v>
      </c>
      <c r="E46" s="208">
        <v>0</v>
      </c>
      <c r="F46" s="208">
        <v>0</v>
      </c>
      <c r="G46" s="208">
        <v>0</v>
      </c>
      <c r="H46" s="208">
        <v>0</v>
      </c>
      <c r="I46" s="208">
        <v>0</v>
      </c>
      <c r="J46" s="208">
        <v>0</v>
      </c>
      <c r="K46" s="208">
        <v>1178</v>
      </c>
      <c r="L46" s="208">
        <v>2749</v>
      </c>
      <c r="M46" s="208">
        <v>8945</v>
      </c>
      <c r="N46" s="208">
        <v>12872</v>
      </c>
    </row>
    <row r="47" spans="1:14" ht="13.5" thickBot="1" x14ac:dyDescent="0.25">
      <c r="A47" s="48" t="s">
        <v>548</v>
      </c>
      <c r="B47" s="224" t="s">
        <v>547</v>
      </c>
      <c r="C47" s="48" t="s">
        <v>34</v>
      </c>
      <c r="D47" s="226">
        <v>3679</v>
      </c>
      <c r="E47" s="208">
        <v>0</v>
      </c>
      <c r="F47" s="208">
        <v>0</v>
      </c>
      <c r="G47" s="208">
        <v>0</v>
      </c>
      <c r="H47" s="208">
        <v>0</v>
      </c>
      <c r="I47" s="208">
        <v>0</v>
      </c>
      <c r="J47" s="203">
        <v>0</v>
      </c>
      <c r="K47" s="203">
        <v>0</v>
      </c>
      <c r="L47" s="203">
        <v>0</v>
      </c>
      <c r="M47" s="203">
        <v>0</v>
      </c>
      <c r="N47" s="208">
        <v>0</v>
      </c>
    </row>
    <row r="48" spans="1:14" ht="13.5" thickBot="1" x14ac:dyDescent="0.25">
      <c r="A48" s="48" t="s">
        <v>552</v>
      </c>
      <c r="B48" s="224" t="s">
        <v>551</v>
      </c>
      <c r="C48" s="48" t="s">
        <v>34</v>
      </c>
      <c r="D48" s="226">
        <v>1830</v>
      </c>
      <c r="E48" s="208">
        <v>0</v>
      </c>
      <c r="F48" s="208">
        <v>0</v>
      </c>
      <c r="G48" s="208">
        <v>0</v>
      </c>
      <c r="H48" s="208">
        <v>0</v>
      </c>
      <c r="I48" s="208">
        <v>0</v>
      </c>
      <c r="J48" s="203">
        <v>0</v>
      </c>
      <c r="K48" s="203">
        <v>0</v>
      </c>
      <c r="L48" s="203">
        <v>0</v>
      </c>
      <c r="M48" s="203">
        <v>0</v>
      </c>
      <c r="N48" s="203">
        <v>0</v>
      </c>
    </row>
    <row r="49" spans="1:14" ht="13.5" thickBot="1" x14ac:dyDescent="0.25">
      <c r="A49" s="48" t="s">
        <v>574</v>
      </c>
      <c r="B49" s="224" t="s">
        <v>573</v>
      </c>
      <c r="C49" s="48" t="s">
        <v>34</v>
      </c>
      <c r="D49" s="226">
        <v>1939</v>
      </c>
      <c r="E49" s="208">
        <v>0</v>
      </c>
      <c r="F49" s="208">
        <v>0</v>
      </c>
      <c r="G49" s="208">
        <v>0</v>
      </c>
      <c r="H49" s="208">
        <v>0</v>
      </c>
      <c r="I49" s="208">
        <v>0</v>
      </c>
      <c r="J49" s="208">
        <v>5648</v>
      </c>
      <c r="K49" s="208">
        <v>0</v>
      </c>
      <c r="L49" s="208">
        <v>16700</v>
      </c>
      <c r="M49" s="208">
        <v>0</v>
      </c>
      <c r="N49" s="208">
        <v>22348</v>
      </c>
    </row>
    <row r="50" spans="1:14" ht="13.5" thickBot="1" x14ac:dyDescent="0.25">
      <c r="A50" s="48" t="s">
        <v>612</v>
      </c>
      <c r="B50" s="224" t="s">
        <v>611</v>
      </c>
      <c r="C50" s="48" t="s">
        <v>34</v>
      </c>
      <c r="D50" s="226">
        <v>3739</v>
      </c>
      <c r="E50" s="208">
        <v>0</v>
      </c>
      <c r="F50" s="208">
        <v>0</v>
      </c>
      <c r="G50" s="208">
        <v>0</v>
      </c>
      <c r="H50" s="208">
        <v>0</v>
      </c>
      <c r="I50" s="208">
        <v>0</v>
      </c>
      <c r="J50" s="208">
        <v>12158</v>
      </c>
      <c r="K50" s="208">
        <v>0</v>
      </c>
      <c r="L50" s="208">
        <v>21577</v>
      </c>
      <c r="M50" s="208">
        <v>0</v>
      </c>
      <c r="N50" s="208">
        <v>33735</v>
      </c>
    </row>
    <row r="51" spans="1:14" ht="13.5" thickBot="1" x14ac:dyDescent="0.25">
      <c r="A51" s="48" t="s">
        <v>622</v>
      </c>
      <c r="B51" s="224" t="s">
        <v>621</v>
      </c>
      <c r="C51" s="48" t="s">
        <v>34</v>
      </c>
      <c r="D51" s="226">
        <v>1508</v>
      </c>
      <c r="E51" s="208">
        <v>0</v>
      </c>
      <c r="F51" s="208">
        <v>0</v>
      </c>
      <c r="G51" s="208">
        <v>0</v>
      </c>
      <c r="H51" s="208">
        <v>0</v>
      </c>
      <c r="I51" s="208">
        <v>0</v>
      </c>
      <c r="J51" s="208">
        <v>0</v>
      </c>
      <c r="K51" s="208">
        <v>0</v>
      </c>
      <c r="L51" s="208">
        <v>0</v>
      </c>
      <c r="M51" s="208">
        <v>0</v>
      </c>
      <c r="N51" s="208">
        <v>0</v>
      </c>
    </row>
    <row r="52" spans="1:14" ht="13.5" thickBot="1" x14ac:dyDescent="0.25">
      <c r="A52" s="48" t="s">
        <v>624</v>
      </c>
      <c r="B52" s="224" t="s">
        <v>623</v>
      </c>
      <c r="C52" s="48" t="s">
        <v>34</v>
      </c>
      <c r="D52" s="226">
        <v>3731</v>
      </c>
      <c r="E52" s="208">
        <v>0</v>
      </c>
      <c r="F52" s="208">
        <v>4500</v>
      </c>
      <c r="G52" s="208">
        <v>0</v>
      </c>
      <c r="H52" s="208">
        <v>0</v>
      </c>
      <c r="I52" s="208">
        <v>4500</v>
      </c>
      <c r="J52" s="203">
        <v>0</v>
      </c>
      <c r="K52" s="208">
        <v>431</v>
      </c>
      <c r="L52" s="203">
        <v>0</v>
      </c>
      <c r="M52" s="203">
        <v>0</v>
      </c>
      <c r="N52" s="208">
        <v>431</v>
      </c>
    </row>
    <row r="53" spans="1:14" ht="13.5" thickBot="1" x14ac:dyDescent="0.25">
      <c r="A53" s="48" t="s">
        <v>628</v>
      </c>
      <c r="B53" s="224" t="s">
        <v>627</v>
      </c>
      <c r="C53" s="48" t="s">
        <v>34</v>
      </c>
      <c r="D53" s="226">
        <v>3674</v>
      </c>
      <c r="E53" s="208">
        <v>0</v>
      </c>
      <c r="F53" s="208">
        <v>0</v>
      </c>
      <c r="G53" s="208">
        <v>0</v>
      </c>
      <c r="H53" s="208">
        <v>0</v>
      </c>
      <c r="I53" s="208">
        <v>0</v>
      </c>
      <c r="J53" s="208">
        <v>4849</v>
      </c>
      <c r="K53" s="208">
        <v>3251</v>
      </c>
      <c r="L53" s="208">
        <v>0</v>
      </c>
      <c r="M53" s="208">
        <v>0</v>
      </c>
      <c r="N53" s="208">
        <v>8100</v>
      </c>
    </row>
    <row r="54" spans="1:14" ht="13.5" thickBot="1" x14ac:dyDescent="0.25">
      <c r="A54" s="48" t="s">
        <v>630</v>
      </c>
      <c r="B54" s="224" t="s">
        <v>629</v>
      </c>
      <c r="C54" s="48" t="s">
        <v>34</v>
      </c>
      <c r="D54" s="226">
        <v>882</v>
      </c>
      <c r="E54" s="208">
        <v>0</v>
      </c>
      <c r="F54" s="208">
        <v>0</v>
      </c>
      <c r="G54" s="208">
        <v>0</v>
      </c>
      <c r="H54" s="208">
        <v>0</v>
      </c>
      <c r="I54" s="208">
        <v>0</v>
      </c>
      <c r="J54" s="208">
        <v>0</v>
      </c>
      <c r="K54" s="208">
        <v>1373</v>
      </c>
      <c r="L54" s="208">
        <v>0</v>
      </c>
      <c r="M54" s="208">
        <v>0</v>
      </c>
      <c r="N54" s="208">
        <v>1373</v>
      </c>
    </row>
    <row r="55" spans="1:14" ht="13.5" thickBot="1" x14ac:dyDescent="0.25">
      <c r="A55" s="48" t="s">
        <v>674</v>
      </c>
      <c r="B55" s="224" t="s">
        <v>673</v>
      </c>
      <c r="C55" s="48" t="s">
        <v>34</v>
      </c>
      <c r="D55" s="226">
        <v>3775</v>
      </c>
      <c r="E55" s="208">
        <v>0</v>
      </c>
      <c r="F55" s="208">
        <v>0</v>
      </c>
      <c r="G55" s="208">
        <v>0</v>
      </c>
      <c r="H55" s="208">
        <v>5273</v>
      </c>
      <c r="I55" s="208">
        <v>5273</v>
      </c>
      <c r="J55" s="208">
        <v>0</v>
      </c>
      <c r="K55" s="208">
        <v>1108</v>
      </c>
      <c r="L55" s="208">
        <v>65</v>
      </c>
      <c r="M55" s="208">
        <v>0</v>
      </c>
      <c r="N55" s="208">
        <v>1173</v>
      </c>
    </row>
    <row r="56" spans="1:14" ht="13.5" thickBot="1" x14ac:dyDescent="0.25">
      <c r="A56" s="48" t="s">
        <v>680</v>
      </c>
      <c r="B56" s="224" t="s">
        <v>679</v>
      </c>
      <c r="C56" s="48" t="s">
        <v>34</v>
      </c>
      <c r="D56" s="226">
        <v>3138</v>
      </c>
      <c r="E56" s="208">
        <v>0</v>
      </c>
      <c r="F56" s="208">
        <v>0</v>
      </c>
      <c r="G56" s="208">
        <v>0</v>
      </c>
      <c r="H56" s="208">
        <v>0</v>
      </c>
      <c r="I56" s="208">
        <v>0</v>
      </c>
      <c r="J56" s="208">
        <v>2073</v>
      </c>
      <c r="K56" s="208">
        <v>351</v>
      </c>
      <c r="L56" s="208">
        <v>1372</v>
      </c>
      <c r="M56" s="208">
        <v>0</v>
      </c>
      <c r="N56" s="208">
        <v>3796</v>
      </c>
    </row>
    <row r="57" spans="1:14" ht="13.5" thickBot="1" x14ac:dyDescent="0.25">
      <c r="A57" s="48" t="s">
        <v>690</v>
      </c>
      <c r="B57" s="224" t="s">
        <v>689</v>
      </c>
      <c r="C57" s="48" t="s">
        <v>34</v>
      </c>
      <c r="D57" s="226">
        <v>3428</v>
      </c>
      <c r="E57" s="208">
        <v>0</v>
      </c>
      <c r="F57" s="208">
        <v>2748</v>
      </c>
      <c r="G57" s="208">
        <v>5500</v>
      </c>
      <c r="H57" s="208">
        <v>0</v>
      </c>
      <c r="I57" s="208">
        <v>8248</v>
      </c>
      <c r="J57" s="208">
        <v>3606</v>
      </c>
      <c r="K57" s="208">
        <v>5000</v>
      </c>
      <c r="L57" s="208">
        <v>18817</v>
      </c>
      <c r="M57" s="208">
        <v>0</v>
      </c>
      <c r="N57" s="208">
        <v>27423</v>
      </c>
    </row>
    <row r="58" spans="1:14" ht="13.5" thickBot="1" x14ac:dyDescent="0.25">
      <c r="A58" s="48" t="s">
        <v>692</v>
      </c>
      <c r="B58" s="224" t="s">
        <v>691</v>
      </c>
      <c r="C58" s="48" t="s">
        <v>34</v>
      </c>
      <c r="D58" s="226">
        <v>1932</v>
      </c>
      <c r="E58" s="208">
        <v>0</v>
      </c>
      <c r="F58" s="208">
        <v>0</v>
      </c>
      <c r="G58" s="208">
        <v>0</v>
      </c>
      <c r="H58" s="208">
        <v>0</v>
      </c>
      <c r="I58" s="208">
        <v>0</v>
      </c>
      <c r="J58" s="208">
        <v>1201</v>
      </c>
      <c r="K58" s="208">
        <v>2207</v>
      </c>
      <c r="L58" s="208">
        <v>2465</v>
      </c>
      <c r="M58" s="208">
        <v>0</v>
      </c>
      <c r="N58" s="208">
        <v>5873</v>
      </c>
    </row>
    <row r="59" spans="1:14" ht="13.5" thickBot="1" x14ac:dyDescent="0.25">
      <c r="A59" s="48" t="s">
        <v>714</v>
      </c>
      <c r="B59" s="224" t="s">
        <v>713</v>
      </c>
      <c r="C59" s="48" t="s">
        <v>34</v>
      </c>
      <c r="D59" s="226">
        <v>2387</v>
      </c>
      <c r="E59" s="208">
        <v>0</v>
      </c>
      <c r="F59" s="208">
        <v>0</v>
      </c>
      <c r="G59" s="208">
        <v>0</v>
      </c>
      <c r="H59" s="208">
        <v>0</v>
      </c>
      <c r="I59" s="208">
        <v>0</v>
      </c>
      <c r="J59" s="208">
        <v>185</v>
      </c>
      <c r="K59" s="208">
        <v>0</v>
      </c>
      <c r="L59" s="208">
        <v>0</v>
      </c>
      <c r="M59" s="208">
        <v>0</v>
      </c>
      <c r="N59" s="208">
        <v>185</v>
      </c>
    </row>
    <row r="60" spans="1:14" ht="13.5" thickBot="1" x14ac:dyDescent="0.25">
      <c r="A60" s="48" t="s">
        <v>732</v>
      </c>
      <c r="B60" s="224" t="s">
        <v>731</v>
      </c>
      <c r="C60" s="48" t="s">
        <v>34</v>
      </c>
      <c r="D60" s="226">
        <v>1873</v>
      </c>
      <c r="E60" s="208">
        <v>0</v>
      </c>
      <c r="F60" s="208">
        <v>0</v>
      </c>
      <c r="G60" s="208">
        <v>0</v>
      </c>
      <c r="H60" s="208">
        <v>0</v>
      </c>
      <c r="I60" s="208">
        <v>0</v>
      </c>
      <c r="J60" s="208">
        <v>0</v>
      </c>
      <c r="K60" s="208">
        <v>1550</v>
      </c>
      <c r="L60" s="208">
        <v>280</v>
      </c>
      <c r="M60" s="208">
        <v>0</v>
      </c>
      <c r="N60" s="208">
        <v>1830</v>
      </c>
    </row>
    <row r="61" spans="1:14" ht="13.5" thickBot="1" x14ac:dyDescent="0.25">
      <c r="A61" s="48" t="s">
        <v>750</v>
      </c>
      <c r="B61" s="224" t="s">
        <v>749</v>
      </c>
      <c r="C61" s="48" t="s">
        <v>34</v>
      </c>
      <c r="D61" s="226">
        <v>2294</v>
      </c>
      <c r="E61" s="208">
        <v>0</v>
      </c>
      <c r="F61" s="208">
        <v>0</v>
      </c>
      <c r="G61" s="208">
        <v>0</v>
      </c>
      <c r="H61" s="208">
        <v>0</v>
      </c>
      <c r="I61" s="208">
        <v>0</v>
      </c>
      <c r="J61" s="208">
        <v>0</v>
      </c>
      <c r="K61" s="208">
        <v>0</v>
      </c>
      <c r="L61" s="208">
        <v>0</v>
      </c>
      <c r="M61" s="208">
        <v>0</v>
      </c>
      <c r="N61" s="208">
        <v>0</v>
      </c>
    </row>
    <row r="62" spans="1:14" ht="13.5" thickBot="1" x14ac:dyDescent="0.25">
      <c r="A62" s="48" t="s">
        <v>762</v>
      </c>
      <c r="B62" s="224" t="s">
        <v>761</v>
      </c>
      <c r="C62" s="48" t="s">
        <v>34</v>
      </c>
      <c r="D62" s="226">
        <v>3895</v>
      </c>
      <c r="E62" s="208">
        <v>0</v>
      </c>
      <c r="F62" s="208">
        <v>0</v>
      </c>
      <c r="G62" s="208">
        <v>0</v>
      </c>
      <c r="H62" s="208">
        <v>0</v>
      </c>
      <c r="I62" s="208">
        <v>0</v>
      </c>
      <c r="J62" s="208">
        <v>0</v>
      </c>
      <c r="K62" s="208">
        <v>0</v>
      </c>
      <c r="L62" s="208">
        <v>0</v>
      </c>
      <c r="M62" s="208">
        <v>0</v>
      </c>
      <c r="N62" s="208">
        <v>0</v>
      </c>
    </row>
    <row r="63" spans="1:14" ht="13.5" thickBot="1" x14ac:dyDescent="0.25">
      <c r="A63" s="48" t="s">
        <v>768</v>
      </c>
      <c r="B63" s="224" t="s">
        <v>767</v>
      </c>
      <c r="C63" s="48" t="s">
        <v>34</v>
      </c>
      <c r="D63" s="226">
        <v>2156</v>
      </c>
      <c r="E63" s="208">
        <v>0</v>
      </c>
      <c r="F63" s="208">
        <v>0</v>
      </c>
      <c r="G63" s="208">
        <v>0</v>
      </c>
      <c r="H63" s="208">
        <v>0</v>
      </c>
      <c r="I63" s="208">
        <v>0</v>
      </c>
      <c r="J63" s="208">
        <v>178</v>
      </c>
      <c r="K63" s="208">
        <v>3785</v>
      </c>
      <c r="L63" s="208">
        <v>450</v>
      </c>
      <c r="M63" s="208">
        <v>303</v>
      </c>
      <c r="N63" s="208">
        <v>4716</v>
      </c>
    </row>
    <row r="64" spans="1:14" ht="13.5" thickBot="1" x14ac:dyDescent="0.25">
      <c r="A64" s="48" t="s">
        <v>770</v>
      </c>
      <c r="B64" s="224" t="s">
        <v>769</v>
      </c>
      <c r="C64" s="48" t="s">
        <v>34</v>
      </c>
      <c r="D64" s="226">
        <v>2475</v>
      </c>
      <c r="E64" s="208">
        <v>0</v>
      </c>
      <c r="F64" s="208">
        <v>0</v>
      </c>
      <c r="G64" s="208">
        <v>0</v>
      </c>
      <c r="H64" s="208">
        <v>0</v>
      </c>
      <c r="I64" s="208">
        <v>0</v>
      </c>
      <c r="J64" s="208">
        <v>0</v>
      </c>
      <c r="K64" s="208">
        <v>0</v>
      </c>
      <c r="L64" s="208">
        <v>0</v>
      </c>
      <c r="M64" s="208">
        <v>0</v>
      </c>
      <c r="N64" s="208">
        <v>0</v>
      </c>
    </row>
    <row r="65" spans="1:14" ht="13.5" thickBot="1" x14ac:dyDescent="0.25">
      <c r="A65" s="48" t="s">
        <v>772</v>
      </c>
      <c r="B65" s="224" t="s">
        <v>771</v>
      </c>
      <c r="C65" s="48" t="s">
        <v>34</v>
      </c>
      <c r="D65" s="226">
        <v>1968</v>
      </c>
      <c r="E65" s="208">
        <v>0</v>
      </c>
      <c r="F65" s="208">
        <v>0</v>
      </c>
      <c r="G65" s="208">
        <v>0</v>
      </c>
      <c r="H65" s="208">
        <v>0</v>
      </c>
      <c r="I65" s="208">
        <v>0</v>
      </c>
      <c r="J65" s="208">
        <v>0</v>
      </c>
      <c r="K65" s="208">
        <v>0</v>
      </c>
      <c r="L65" s="208">
        <v>0</v>
      </c>
      <c r="M65" s="208">
        <v>0</v>
      </c>
      <c r="N65" s="208">
        <v>0</v>
      </c>
    </row>
    <row r="66" spans="1:14" ht="13.5" thickBot="1" x14ac:dyDescent="0.25">
      <c r="A66" s="48" t="s">
        <v>782</v>
      </c>
      <c r="B66" s="224" t="s">
        <v>781</v>
      </c>
      <c r="C66" s="48" t="s">
        <v>34</v>
      </c>
      <c r="D66" s="226">
        <v>2202</v>
      </c>
      <c r="E66" s="208">
        <v>0</v>
      </c>
      <c r="F66" s="208">
        <v>0</v>
      </c>
      <c r="G66" s="208">
        <v>0</v>
      </c>
      <c r="H66" s="208">
        <v>0</v>
      </c>
      <c r="I66" s="208">
        <v>0</v>
      </c>
      <c r="J66" s="208">
        <v>0</v>
      </c>
      <c r="K66" s="208">
        <v>0</v>
      </c>
      <c r="L66" s="208">
        <v>0</v>
      </c>
      <c r="M66" s="208">
        <v>0</v>
      </c>
      <c r="N66" s="208">
        <v>0</v>
      </c>
    </row>
    <row r="67" spans="1:14" ht="13.5" thickBot="1" x14ac:dyDescent="0.25">
      <c r="A67" s="48" t="s">
        <v>794</v>
      </c>
      <c r="B67" s="224" t="s">
        <v>793</v>
      </c>
      <c r="C67" s="48" t="s">
        <v>34</v>
      </c>
      <c r="D67" s="226">
        <v>2913</v>
      </c>
      <c r="E67" s="208">
        <v>0</v>
      </c>
      <c r="F67" s="208">
        <v>0</v>
      </c>
      <c r="G67" s="208">
        <v>0</v>
      </c>
      <c r="H67" s="208">
        <v>0</v>
      </c>
      <c r="I67" s="208">
        <v>0</v>
      </c>
      <c r="J67" s="203">
        <v>0</v>
      </c>
      <c r="K67" s="203">
        <v>0</v>
      </c>
      <c r="L67" s="203">
        <v>0</v>
      </c>
      <c r="M67" s="203">
        <v>0</v>
      </c>
      <c r="N67" s="203">
        <v>0</v>
      </c>
    </row>
    <row r="68" spans="1:14" ht="13.5" thickBot="1" x14ac:dyDescent="0.25">
      <c r="A68" s="48" t="s">
        <v>806</v>
      </c>
      <c r="B68" s="224" t="s">
        <v>805</v>
      </c>
      <c r="C68" s="48" t="s">
        <v>34</v>
      </c>
      <c r="D68" s="226">
        <v>575</v>
      </c>
      <c r="E68" s="208">
        <v>0</v>
      </c>
      <c r="F68" s="208">
        <v>0</v>
      </c>
      <c r="G68" s="208">
        <v>0</v>
      </c>
      <c r="H68" s="208">
        <v>0</v>
      </c>
      <c r="I68" s="208">
        <v>0</v>
      </c>
      <c r="J68" s="208">
        <v>250</v>
      </c>
      <c r="K68" s="208">
        <v>0</v>
      </c>
      <c r="L68" s="208">
        <v>0</v>
      </c>
      <c r="M68" s="208">
        <v>0</v>
      </c>
      <c r="N68" s="208">
        <v>250</v>
      </c>
    </row>
    <row r="69" spans="1:14" ht="13.5" thickBot="1" x14ac:dyDescent="0.25">
      <c r="A69" s="48" t="s">
        <v>814</v>
      </c>
      <c r="B69" s="224" t="s">
        <v>813</v>
      </c>
      <c r="C69" s="48" t="s">
        <v>34</v>
      </c>
      <c r="D69" s="226">
        <v>2738</v>
      </c>
      <c r="E69" s="208">
        <v>0</v>
      </c>
      <c r="F69" s="208">
        <v>0</v>
      </c>
      <c r="G69" s="208">
        <v>0</v>
      </c>
      <c r="H69" s="208">
        <v>0</v>
      </c>
      <c r="I69" s="208">
        <v>0</v>
      </c>
      <c r="J69" s="208">
        <v>1541</v>
      </c>
      <c r="K69" s="208">
        <v>2462</v>
      </c>
      <c r="L69" s="208">
        <v>4741</v>
      </c>
      <c r="M69" s="208">
        <v>0</v>
      </c>
      <c r="N69" s="208">
        <v>8744</v>
      </c>
    </row>
    <row r="70" spans="1:14" ht="13.5" thickBot="1" x14ac:dyDescent="0.25">
      <c r="A70" s="48" t="s">
        <v>14</v>
      </c>
      <c r="B70" s="224" t="s">
        <v>13</v>
      </c>
      <c r="C70" s="48" t="s">
        <v>17</v>
      </c>
      <c r="D70" s="226">
        <v>6351</v>
      </c>
      <c r="E70" s="208">
        <v>0</v>
      </c>
      <c r="F70" s="208">
        <v>0</v>
      </c>
      <c r="G70" s="208">
        <v>0</v>
      </c>
      <c r="H70" s="208">
        <v>0</v>
      </c>
      <c r="I70" s="208">
        <v>0</v>
      </c>
      <c r="J70" s="208">
        <v>0</v>
      </c>
      <c r="K70" s="208">
        <v>769</v>
      </c>
      <c r="L70" s="208">
        <v>0</v>
      </c>
      <c r="M70" s="208">
        <v>0</v>
      </c>
      <c r="N70" s="208">
        <v>769</v>
      </c>
    </row>
    <row r="71" spans="1:14" ht="13.5" thickBot="1" x14ac:dyDescent="0.25">
      <c r="A71" s="48" t="s">
        <v>45</v>
      </c>
      <c r="B71" s="224" t="s">
        <v>44</v>
      </c>
      <c r="C71" s="48" t="s">
        <v>17</v>
      </c>
      <c r="D71" s="226">
        <v>6583</v>
      </c>
      <c r="E71" s="208">
        <v>0</v>
      </c>
      <c r="F71" s="208">
        <v>0</v>
      </c>
      <c r="G71" s="208">
        <v>0</v>
      </c>
      <c r="H71" s="208">
        <v>0</v>
      </c>
      <c r="I71" s="208">
        <v>0</v>
      </c>
      <c r="J71" s="208">
        <v>1297</v>
      </c>
      <c r="K71" s="208">
        <v>990</v>
      </c>
      <c r="L71" s="208">
        <v>0</v>
      </c>
      <c r="M71" s="208">
        <v>0</v>
      </c>
      <c r="N71" s="208">
        <v>2287</v>
      </c>
    </row>
    <row r="72" spans="1:14" ht="13.5" thickBot="1" x14ac:dyDescent="0.25">
      <c r="A72" s="48" t="s">
        <v>56</v>
      </c>
      <c r="B72" s="224" t="s">
        <v>55</v>
      </c>
      <c r="C72" s="48" t="s">
        <v>17</v>
      </c>
      <c r="D72" s="226">
        <v>5379</v>
      </c>
      <c r="E72" s="208">
        <v>0</v>
      </c>
      <c r="F72" s="208">
        <v>0</v>
      </c>
      <c r="G72" s="208">
        <v>0</v>
      </c>
      <c r="H72" s="208">
        <v>0</v>
      </c>
      <c r="I72" s="208">
        <v>0</v>
      </c>
      <c r="J72" s="208">
        <v>4425</v>
      </c>
      <c r="K72" s="208">
        <v>18089</v>
      </c>
      <c r="L72" s="208">
        <v>35838</v>
      </c>
      <c r="M72" s="208">
        <v>0</v>
      </c>
      <c r="N72" s="208">
        <v>58352</v>
      </c>
    </row>
    <row r="73" spans="1:14" ht="13.5" thickBot="1" x14ac:dyDescent="0.25">
      <c r="A73" s="48" t="s">
        <v>60</v>
      </c>
      <c r="B73" s="224" t="s">
        <v>59</v>
      </c>
      <c r="C73" s="48" t="s">
        <v>17</v>
      </c>
      <c r="D73" s="226">
        <v>4265</v>
      </c>
      <c r="E73" s="208">
        <v>0</v>
      </c>
      <c r="F73" s="208">
        <v>0</v>
      </c>
      <c r="G73" s="208">
        <v>0</v>
      </c>
      <c r="H73" s="208">
        <v>0</v>
      </c>
      <c r="I73" s="208">
        <v>0</v>
      </c>
      <c r="J73" s="208">
        <v>0</v>
      </c>
      <c r="K73" s="203">
        <v>0</v>
      </c>
      <c r="L73" s="203">
        <v>0</v>
      </c>
      <c r="M73" s="203">
        <v>0</v>
      </c>
      <c r="N73" s="208">
        <v>0</v>
      </c>
    </row>
    <row r="74" spans="1:14" ht="13.5" thickBot="1" x14ac:dyDescent="0.25">
      <c r="A74" s="48" t="s">
        <v>70</v>
      </c>
      <c r="B74" s="224" t="s">
        <v>69</v>
      </c>
      <c r="C74" s="48" t="s">
        <v>17</v>
      </c>
      <c r="D74" s="226">
        <v>6621</v>
      </c>
      <c r="E74" s="208">
        <v>0</v>
      </c>
      <c r="F74" s="208">
        <v>0</v>
      </c>
      <c r="G74" s="208">
        <v>0</v>
      </c>
      <c r="H74" s="208">
        <v>0</v>
      </c>
      <c r="I74" s="208">
        <v>0</v>
      </c>
      <c r="J74" s="208">
        <v>0</v>
      </c>
      <c r="K74" s="208">
        <v>0</v>
      </c>
      <c r="L74" s="208">
        <v>0</v>
      </c>
      <c r="M74" s="208">
        <v>0</v>
      </c>
      <c r="N74" s="208">
        <v>0</v>
      </c>
    </row>
    <row r="75" spans="1:14" ht="13.5" thickBot="1" x14ac:dyDescent="0.25">
      <c r="A75" s="48" t="s">
        <v>74</v>
      </c>
      <c r="B75" s="224" t="s">
        <v>73</v>
      </c>
      <c r="C75" s="48" t="s">
        <v>17</v>
      </c>
      <c r="D75" s="226">
        <v>4075</v>
      </c>
      <c r="E75" s="208">
        <v>0</v>
      </c>
      <c r="F75" s="208">
        <v>0</v>
      </c>
      <c r="G75" s="208">
        <v>0</v>
      </c>
      <c r="H75" s="208">
        <v>0</v>
      </c>
      <c r="I75" s="208">
        <v>0</v>
      </c>
      <c r="J75" s="208">
        <v>0</v>
      </c>
      <c r="K75" s="208">
        <v>0</v>
      </c>
      <c r="L75" s="208">
        <v>0</v>
      </c>
      <c r="M75" s="208">
        <v>0</v>
      </c>
      <c r="N75" s="208">
        <v>0</v>
      </c>
    </row>
    <row r="76" spans="1:14" ht="13.5" thickBot="1" x14ac:dyDescent="0.25">
      <c r="A76" s="48" t="s">
        <v>98</v>
      </c>
      <c r="B76" s="224" t="s">
        <v>97</v>
      </c>
      <c r="C76" s="48" t="s">
        <v>17</v>
      </c>
      <c r="D76" s="226">
        <v>5414</v>
      </c>
      <c r="E76" s="208">
        <v>0</v>
      </c>
      <c r="F76" s="208">
        <v>0</v>
      </c>
      <c r="G76" s="208">
        <v>0</v>
      </c>
      <c r="H76" s="208">
        <v>0</v>
      </c>
      <c r="I76" s="208">
        <v>0</v>
      </c>
      <c r="J76" s="208">
        <v>0</v>
      </c>
      <c r="K76" s="208">
        <v>0</v>
      </c>
      <c r="L76" s="208">
        <v>0</v>
      </c>
      <c r="M76" s="208">
        <v>0</v>
      </c>
      <c r="N76" s="208">
        <v>0</v>
      </c>
    </row>
    <row r="77" spans="1:14" ht="13.5" thickBot="1" x14ac:dyDescent="0.25">
      <c r="A77" s="48" t="s">
        <v>120</v>
      </c>
      <c r="B77" s="224" t="s">
        <v>119</v>
      </c>
      <c r="C77" s="48" t="s">
        <v>17</v>
      </c>
      <c r="D77" s="226">
        <v>6296</v>
      </c>
      <c r="E77" s="208">
        <v>0</v>
      </c>
      <c r="F77" s="208">
        <v>0</v>
      </c>
      <c r="G77" s="208">
        <v>0</v>
      </c>
      <c r="H77" s="208">
        <v>0</v>
      </c>
      <c r="I77" s="208">
        <v>0</v>
      </c>
      <c r="J77" s="208">
        <v>0</v>
      </c>
      <c r="K77" s="208">
        <v>85530</v>
      </c>
      <c r="L77" s="208">
        <v>134519</v>
      </c>
      <c r="M77" s="208">
        <v>0</v>
      </c>
      <c r="N77" s="208">
        <v>220049</v>
      </c>
    </row>
    <row r="78" spans="1:14" ht="13.5" thickBot="1" x14ac:dyDescent="0.25">
      <c r="A78" s="48" t="s">
        <v>126</v>
      </c>
      <c r="B78" s="224" t="s">
        <v>125</v>
      </c>
      <c r="C78" s="48" t="s">
        <v>17</v>
      </c>
      <c r="D78" s="226">
        <v>4005</v>
      </c>
      <c r="E78" s="208">
        <v>0</v>
      </c>
      <c r="F78" s="208">
        <v>0</v>
      </c>
      <c r="G78" s="208">
        <v>0</v>
      </c>
      <c r="H78" s="208">
        <v>0</v>
      </c>
      <c r="I78" s="208">
        <v>0</v>
      </c>
      <c r="J78" s="208">
        <v>0</v>
      </c>
      <c r="K78" s="208">
        <v>0</v>
      </c>
      <c r="L78" s="208">
        <v>3861</v>
      </c>
      <c r="M78" s="208">
        <v>0</v>
      </c>
      <c r="N78" s="208">
        <v>3861</v>
      </c>
    </row>
    <row r="79" spans="1:14" ht="13.5" thickBot="1" x14ac:dyDescent="0.25">
      <c r="A79" s="48" t="s">
        <v>138</v>
      </c>
      <c r="B79" s="224" t="s">
        <v>137</v>
      </c>
      <c r="C79" s="48" t="s">
        <v>17</v>
      </c>
      <c r="D79" s="226">
        <v>4191</v>
      </c>
      <c r="E79" s="208">
        <v>0</v>
      </c>
      <c r="F79" s="208">
        <v>0</v>
      </c>
      <c r="G79" s="208">
        <v>2371</v>
      </c>
      <c r="H79" s="208">
        <v>0</v>
      </c>
      <c r="I79" s="208">
        <v>2371</v>
      </c>
      <c r="J79" s="208">
        <v>0</v>
      </c>
      <c r="K79" s="208">
        <v>0</v>
      </c>
      <c r="L79" s="208">
        <v>0</v>
      </c>
      <c r="M79" s="208">
        <v>3221</v>
      </c>
      <c r="N79" s="208">
        <v>3221</v>
      </c>
    </row>
    <row r="80" spans="1:14" ht="13.5" thickBot="1" x14ac:dyDescent="0.25">
      <c r="A80" s="48" t="s">
        <v>180</v>
      </c>
      <c r="B80" s="224" t="s">
        <v>179</v>
      </c>
      <c r="C80" s="48" t="s">
        <v>17</v>
      </c>
      <c r="D80" s="226">
        <v>4622</v>
      </c>
      <c r="E80" s="208">
        <v>0</v>
      </c>
      <c r="F80" s="208">
        <v>0</v>
      </c>
      <c r="G80" s="208">
        <v>0</v>
      </c>
      <c r="H80" s="208">
        <v>0</v>
      </c>
      <c r="I80" s="208">
        <v>0</v>
      </c>
      <c r="J80" s="208">
        <v>0</v>
      </c>
      <c r="K80" s="208">
        <v>1201</v>
      </c>
      <c r="L80" s="208">
        <v>0</v>
      </c>
      <c r="M80" s="208">
        <v>0</v>
      </c>
      <c r="N80" s="208">
        <v>1201</v>
      </c>
    </row>
    <row r="81" spans="1:14" ht="13.5" thickBot="1" x14ac:dyDescent="0.25">
      <c r="A81" s="48" t="s">
        <v>194</v>
      </c>
      <c r="B81" s="224" t="s">
        <v>193</v>
      </c>
      <c r="C81" s="48" t="s">
        <v>17</v>
      </c>
      <c r="D81" s="226">
        <v>4986</v>
      </c>
      <c r="E81" s="208">
        <v>0</v>
      </c>
      <c r="F81" s="208">
        <v>0</v>
      </c>
      <c r="G81" s="208">
        <v>0</v>
      </c>
      <c r="H81" s="208">
        <v>0</v>
      </c>
      <c r="I81" s="208">
        <v>0</v>
      </c>
      <c r="J81" s="208">
        <v>0</v>
      </c>
      <c r="K81" s="208">
        <v>942</v>
      </c>
      <c r="L81" s="208">
        <v>0</v>
      </c>
      <c r="M81" s="208">
        <v>0</v>
      </c>
      <c r="N81" s="208">
        <v>942</v>
      </c>
    </row>
    <row r="82" spans="1:14" ht="13.5" thickBot="1" x14ac:dyDescent="0.25">
      <c r="A82" s="48" t="s">
        <v>216</v>
      </c>
      <c r="B82" s="224" t="s">
        <v>215</v>
      </c>
      <c r="C82" s="48" t="s">
        <v>17</v>
      </c>
      <c r="D82" s="226">
        <v>4514</v>
      </c>
      <c r="E82" s="208">
        <v>0</v>
      </c>
      <c r="F82" s="208">
        <v>0</v>
      </c>
      <c r="G82" s="208">
        <v>0</v>
      </c>
      <c r="H82" s="208">
        <v>0</v>
      </c>
      <c r="I82" s="208">
        <v>0</v>
      </c>
      <c r="J82" s="208">
        <v>0</v>
      </c>
      <c r="K82" s="208">
        <v>0</v>
      </c>
      <c r="L82" s="208">
        <v>0</v>
      </c>
      <c r="M82" s="208">
        <v>0</v>
      </c>
      <c r="N82" s="208">
        <v>0</v>
      </c>
    </row>
    <row r="83" spans="1:14" ht="13.5" thickBot="1" x14ac:dyDescent="0.25">
      <c r="A83" s="48" t="s">
        <v>230</v>
      </c>
      <c r="B83" s="224" t="s">
        <v>229</v>
      </c>
      <c r="C83" s="48" t="s">
        <v>17</v>
      </c>
      <c r="D83" s="226">
        <v>6838</v>
      </c>
      <c r="E83" s="208">
        <v>0</v>
      </c>
      <c r="F83" s="208">
        <v>0</v>
      </c>
      <c r="G83" s="208">
        <v>0</v>
      </c>
      <c r="H83" s="208">
        <v>0</v>
      </c>
      <c r="I83" s="208">
        <v>0</v>
      </c>
      <c r="J83" s="208">
        <v>0</v>
      </c>
      <c r="K83" s="208">
        <v>352</v>
      </c>
      <c r="L83" s="208">
        <v>0</v>
      </c>
      <c r="M83" s="208">
        <v>0</v>
      </c>
      <c r="N83" s="208">
        <v>352</v>
      </c>
    </row>
    <row r="84" spans="1:14" ht="13.5" thickBot="1" x14ac:dyDescent="0.25">
      <c r="A84" s="48" t="s">
        <v>236</v>
      </c>
      <c r="B84" s="224" t="s">
        <v>235</v>
      </c>
      <c r="C84" s="48" t="s">
        <v>17</v>
      </c>
      <c r="D84" s="226">
        <v>4869</v>
      </c>
      <c r="E84" s="208">
        <v>0</v>
      </c>
      <c r="F84" s="208">
        <v>0</v>
      </c>
      <c r="G84" s="208">
        <v>0</v>
      </c>
      <c r="H84" s="208">
        <v>0</v>
      </c>
      <c r="I84" s="208">
        <v>0</v>
      </c>
      <c r="J84" s="208">
        <v>0</v>
      </c>
      <c r="K84" s="208">
        <v>0</v>
      </c>
      <c r="L84" s="208">
        <v>0</v>
      </c>
      <c r="M84" s="208">
        <v>0</v>
      </c>
      <c r="N84" s="208">
        <v>0</v>
      </c>
    </row>
    <row r="85" spans="1:14" ht="13.5" thickBot="1" x14ac:dyDescent="0.25">
      <c r="A85" s="48" t="s">
        <v>238</v>
      </c>
      <c r="B85" s="224" t="s">
        <v>237</v>
      </c>
      <c r="C85" s="48" t="s">
        <v>17</v>
      </c>
      <c r="D85" s="226">
        <v>4768</v>
      </c>
      <c r="E85" s="208">
        <v>0</v>
      </c>
      <c r="F85" s="208">
        <v>0</v>
      </c>
      <c r="G85" s="208">
        <v>0</v>
      </c>
      <c r="H85" s="208">
        <v>0</v>
      </c>
      <c r="I85" s="208">
        <v>0</v>
      </c>
      <c r="J85" s="208">
        <v>0</v>
      </c>
      <c r="K85" s="208">
        <v>0</v>
      </c>
      <c r="L85" s="208">
        <v>0</v>
      </c>
      <c r="M85" s="208">
        <v>0</v>
      </c>
      <c r="N85" s="208">
        <v>0</v>
      </c>
    </row>
    <row r="86" spans="1:14" ht="13.5" thickBot="1" x14ac:dyDescent="0.25">
      <c r="A86" s="48" t="s">
        <v>252</v>
      </c>
      <c r="B86" s="224" t="s">
        <v>251</v>
      </c>
      <c r="C86" s="48" t="s">
        <v>17</v>
      </c>
      <c r="D86" s="226">
        <v>5432</v>
      </c>
      <c r="E86" s="208">
        <v>0</v>
      </c>
      <c r="F86" s="208">
        <v>0</v>
      </c>
      <c r="G86" s="208">
        <v>0</v>
      </c>
      <c r="H86" s="208">
        <v>802161</v>
      </c>
      <c r="I86" s="208">
        <v>802161</v>
      </c>
      <c r="J86" s="208">
        <v>0</v>
      </c>
      <c r="K86" s="208">
        <v>0</v>
      </c>
      <c r="L86" s="208">
        <v>10955</v>
      </c>
      <c r="M86" s="208">
        <v>0</v>
      </c>
      <c r="N86" s="208">
        <v>10955</v>
      </c>
    </row>
    <row r="87" spans="1:14" ht="13.5" thickBot="1" x14ac:dyDescent="0.25">
      <c r="A87" s="48" t="s">
        <v>280</v>
      </c>
      <c r="B87" s="224" t="s">
        <v>279</v>
      </c>
      <c r="C87" s="48" t="s">
        <v>17</v>
      </c>
      <c r="D87" s="226">
        <v>6164</v>
      </c>
      <c r="E87" s="208">
        <v>0</v>
      </c>
      <c r="F87" s="208">
        <v>0</v>
      </c>
      <c r="G87" s="208">
        <v>0</v>
      </c>
      <c r="H87" s="208">
        <v>0</v>
      </c>
      <c r="I87" s="208">
        <v>0</v>
      </c>
      <c r="J87" s="208">
        <v>0</v>
      </c>
      <c r="K87" s="208">
        <v>6244</v>
      </c>
      <c r="L87" s="208">
        <v>0</v>
      </c>
      <c r="M87" s="208">
        <v>0</v>
      </c>
      <c r="N87" s="208">
        <v>6244</v>
      </c>
    </row>
    <row r="88" spans="1:14" ht="13.5" thickBot="1" x14ac:dyDescent="0.25">
      <c r="A88" s="48" t="s">
        <v>290</v>
      </c>
      <c r="B88" s="224" t="s">
        <v>289</v>
      </c>
      <c r="C88" s="48" t="s">
        <v>17</v>
      </c>
      <c r="D88" s="226">
        <v>5641</v>
      </c>
      <c r="E88" s="208">
        <v>0</v>
      </c>
      <c r="F88" s="208">
        <v>0</v>
      </c>
      <c r="G88" s="208">
        <v>0</v>
      </c>
      <c r="H88" s="208">
        <v>0</v>
      </c>
      <c r="I88" s="208">
        <v>0</v>
      </c>
      <c r="J88" s="203">
        <v>0</v>
      </c>
      <c r="K88" s="203">
        <v>0</v>
      </c>
      <c r="L88" s="203">
        <v>0</v>
      </c>
      <c r="M88" s="203">
        <v>0</v>
      </c>
      <c r="N88" s="208">
        <v>0</v>
      </c>
    </row>
    <row r="89" spans="1:14" ht="13.5" thickBot="1" x14ac:dyDescent="0.25">
      <c r="A89" s="48" t="s">
        <v>334</v>
      </c>
      <c r="B89" s="224" t="s">
        <v>333</v>
      </c>
      <c r="C89" s="48" t="s">
        <v>17</v>
      </c>
      <c r="D89" s="226">
        <v>6119</v>
      </c>
      <c r="E89" s="208">
        <v>0</v>
      </c>
      <c r="F89" s="208">
        <v>0</v>
      </c>
      <c r="G89" s="208">
        <v>0</v>
      </c>
      <c r="H89" s="208">
        <v>0</v>
      </c>
      <c r="I89" s="208">
        <v>0</v>
      </c>
      <c r="J89" s="208">
        <v>0</v>
      </c>
      <c r="K89" s="208">
        <v>7865</v>
      </c>
      <c r="L89" s="208">
        <v>0</v>
      </c>
      <c r="M89" s="208">
        <v>0</v>
      </c>
      <c r="N89" s="208">
        <v>7865</v>
      </c>
    </row>
    <row r="90" spans="1:14" ht="13.5" thickBot="1" x14ac:dyDescent="0.25">
      <c r="A90" s="48" t="s">
        <v>344</v>
      </c>
      <c r="B90" s="224" t="s">
        <v>343</v>
      </c>
      <c r="C90" s="48" t="s">
        <v>17</v>
      </c>
      <c r="D90" s="226">
        <v>6582</v>
      </c>
      <c r="E90" s="208">
        <v>262947</v>
      </c>
      <c r="F90" s="208">
        <v>0</v>
      </c>
      <c r="G90" s="208">
        <v>0</v>
      </c>
      <c r="H90" s="208">
        <v>281161</v>
      </c>
      <c r="I90" s="208">
        <v>544108</v>
      </c>
      <c r="J90" s="208">
        <v>0</v>
      </c>
      <c r="K90" s="208">
        <v>0</v>
      </c>
      <c r="L90" s="208">
        <v>544108</v>
      </c>
      <c r="M90" s="208">
        <v>0</v>
      </c>
      <c r="N90" s="208">
        <v>544108</v>
      </c>
    </row>
    <row r="91" spans="1:14" ht="13.5" thickBot="1" x14ac:dyDescent="0.25">
      <c r="A91" s="48" t="s">
        <v>354</v>
      </c>
      <c r="B91" s="224" t="s">
        <v>353</v>
      </c>
      <c r="C91" s="48" t="s">
        <v>17</v>
      </c>
      <c r="D91" s="226">
        <v>5933</v>
      </c>
      <c r="E91" s="208">
        <v>0</v>
      </c>
      <c r="F91" s="208">
        <v>0</v>
      </c>
      <c r="G91" s="208">
        <v>13999</v>
      </c>
      <c r="H91" s="208">
        <v>0</v>
      </c>
      <c r="I91" s="208">
        <v>13999</v>
      </c>
      <c r="J91" s="208">
        <v>1411</v>
      </c>
      <c r="K91" s="203">
        <v>0</v>
      </c>
      <c r="L91" s="203">
        <v>0</v>
      </c>
      <c r="M91" s="203">
        <v>0</v>
      </c>
      <c r="N91" s="208">
        <v>1411</v>
      </c>
    </row>
    <row r="92" spans="1:14" ht="13.5" thickBot="1" x14ac:dyDescent="0.25">
      <c r="A92" s="48" t="s">
        <v>362</v>
      </c>
      <c r="B92" s="224" t="s">
        <v>361</v>
      </c>
      <c r="C92" s="48" t="s">
        <v>17</v>
      </c>
      <c r="D92" s="226">
        <v>4220</v>
      </c>
      <c r="E92" s="208">
        <v>0</v>
      </c>
      <c r="F92" s="208">
        <v>0</v>
      </c>
      <c r="G92" s="208">
        <v>0</v>
      </c>
      <c r="H92" s="208">
        <v>0</v>
      </c>
      <c r="I92" s="208">
        <v>0</v>
      </c>
      <c r="J92" s="208">
        <v>3051</v>
      </c>
      <c r="K92" s="208">
        <v>0</v>
      </c>
      <c r="L92" s="208">
        <v>0</v>
      </c>
      <c r="M92" s="208">
        <v>0</v>
      </c>
      <c r="N92" s="208">
        <v>3051</v>
      </c>
    </row>
    <row r="93" spans="1:14" ht="13.5" thickBot="1" x14ac:dyDescent="0.25">
      <c r="A93" s="48" t="s">
        <v>366</v>
      </c>
      <c r="B93" s="224" t="s">
        <v>365</v>
      </c>
      <c r="C93" s="48" t="s">
        <v>17</v>
      </c>
      <c r="D93" s="226">
        <v>4610</v>
      </c>
      <c r="E93" s="208">
        <v>0</v>
      </c>
      <c r="F93" s="208">
        <v>0</v>
      </c>
      <c r="G93" s="208">
        <v>0</v>
      </c>
      <c r="H93" s="208">
        <v>0</v>
      </c>
      <c r="I93" s="208">
        <v>0</v>
      </c>
      <c r="J93" s="208">
        <v>0</v>
      </c>
      <c r="K93" s="208">
        <v>7641</v>
      </c>
      <c r="L93" s="208">
        <v>0</v>
      </c>
      <c r="M93" s="208">
        <v>0</v>
      </c>
      <c r="N93" s="208">
        <v>7641</v>
      </c>
    </row>
    <row r="94" spans="1:14" ht="13.5" thickBot="1" x14ac:dyDescent="0.25">
      <c r="A94" s="48" t="s">
        <v>372</v>
      </c>
      <c r="B94" s="224" t="s">
        <v>371</v>
      </c>
      <c r="C94" s="48" t="s">
        <v>17</v>
      </c>
      <c r="D94" s="226">
        <v>5531</v>
      </c>
      <c r="E94" s="208">
        <v>0</v>
      </c>
      <c r="F94" s="208">
        <v>0</v>
      </c>
      <c r="G94" s="208">
        <v>0</v>
      </c>
      <c r="H94" s="208">
        <v>0</v>
      </c>
      <c r="I94" s="208">
        <v>0</v>
      </c>
      <c r="J94" s="208">
        <v>0</v>
      </c>
      <c r="K94" s="208">
        <v>1796</v>
      </c>
      <c r="L94" s="208">
        <v>2900</v>
      </c>
      <c r="M94" s="208">
        <v>13647</v>
      </c>
      <c r="N94" s="208">
        <v>18343</v>
      </c>
    </row>
    <row r="95" spans="1:14" ht="13.5" thickBot="1" x14ac:dyDescent="0.25">
      <c r="A95" s="48" t="s">
        <v>376</v>
      </c>
      <c r="B95" s="224" t="s">
        <v>375</v>
      </c>
      <c r="C95" s="48" t="s">
        <v>17</v>
      </c>
      <c r="D95" s="226">
        <v>5107</v>
      </c>
      <c r="E95" s="208">
        <v>0</v>
      </c>
      <c r="F95" s="208">
        <v>0</v>
      </c>
      <c r="G95" s="208">
        <v>0</v>
      </c>
      <c r="H95" s="208">
        <v>0</v>
      </c>
      <c r="I95" s="208">
        <v>0</v>
      </c>
      <c r="J95" s="208">
        <v>0</v>
      </c>
      <c r="K95" s="208">
        <v>0</v>
      </c>
      <c r="L95" s="208">
        <v>1989</v>
      </c>
      <c r="M95" s="208">
        <v>0</v>
      </c>
      <c r="N95" s="208">
        <v>1989</v>
      </c>
    </row>
    <row r="96" spans="1:14" ht="13.5" thickBot="1" x14ac:dyDescent="0.25">
      <c r="A96" s="48" t="s">
        <v>382</v>
      </c>
      <c r="B96" s="224" t="s">
        <v>381</v>
      </c>
      <c r="C96" s="48" t="s">
        <v>17</v>
      </c>
      <c r="D96" s="226">
        <v>5784</v>
      </c>
      <c r="E96" s="208">
        <v>0</v>
      </c>
      <c r="F96" s="208">
        <v>0</v>
      </c>
      <c r="G96" s="208">
        <v>0</v>
      </c>
      <c r="H96" s="208">
        <v>2893602</v>
      </c>
      <c r="I96" s="208">
        <v>2893602</v>
      </c>
      <c r="J96" s="208">
        <v>0</v>
      </c>
      <c r="K96" s="208">
        <v>9008</v>
      </c>
      <c r="L96" s="208">
        <v>0</v>
      </c>
      <c r="M96" s="208">
        <v>0</v>
      </c>
      <c r="N96" s="208">
        <v>9008</v>
      </c>
    </row>
    <row r="97" spans="1:14" ht="13.5" thickBot="1" x14ac:dyDescent="0.25">
      <c r="A97" s="48" t="s">
        <v>388</v>
      </c>
      <c r="B97" s="224" t="s">
        <v>387</v>
      </c>
      <c r="C97" s="48" t="s">
        <v>17</v>
      </c>
      <c r="D97" s="226">
        <v>5713</v>
      </c>
      <c r="E97" s="208">
        <v>0</v>
      </c>
      <c r="F97" s="208">
        <v>0</v>
      </c>
      <c r="G97" s="208">
        <v>0</v>
      </c>
      <c r="H97" s="208">
        <v>0</v>
      </c>
      <c r="I97" s="208">
        <v>0</v>
      </c>
      <c r="J97" s="208">
        <v>0</v>
      </c>
      <c r="K97" s="208">
        <v>965</v>
      </c>
      <c r="L97" s="208">
        <v>3605</v>
      </c>
      <c r="M97" s="203">
        <v>0</v>
      </c>
      <c r="N97" s="208">
        <v>4570</v>
      </c>
    </row>
    <row r="98" spans="1:14" ht="13.5" thickBot="1" x14ac:dyDescent="0.25">
      <c r="A98" s="48" t="s">
        <v>392</v>
      </c>
      <c r="B98" s="224" t="s">
        <v>391</v>
      </c>
      <c r="C98" s="48" t="s">
        <v>17</v>
      </c>
      <c r="D98" s="226">
        <v>6443</v>
      </c>
      <c r="E98" s="208">
        <v>0</v>
      </c>
      <c r="F98" s="208">
        <v>0</v>
      </c>
      <c r="G98" s="208">
        <v>0</v>
      </c>
      <c r="H98" s="208">
        <v>0</v>
      </c>
      <c r="I98" s="208">
        <v>0</v>
      </c>
      <c r="J98" s="208">
        <v>0</v>
      </c>
      <c r="K98" s="208">
        <v>3318</v>
      </c>
      <c r="L98" s="208">
        <v>1028</v>
      </c>
      <c r="M98" s="208">
        <v>0</v>
      </c>
      <c r="N98" s="208">
        <v>4346</v>
      </c>
    </row>
    <row r="99" spans="1:14" ht="13.5" thickBot="1" x14ac:dyDescent="0.25">
      <c r="A99" s="48" t="s">
        <v>396</v>
      </c>
      <c r="B99" s="224" t="s">
        <v>395</v>
      </c>
      <c r="C99" s="48" t="s">
        <v>17</v>
      </c>
      <c r="D99" s="226">
        <v>4080</v>
      </c>
      <c r="E99" s="208">
        <v>0</v>
      </c>
      <c r="F99" s="208">
        <v>0</v>
      </c>
      <c r="G99" s="208">
        <v>0</v>
      </c>
      <c r="H99" s="208">
        <v>0</v>
      </c>
      <c r="I99" s="208">
        <v>0</v>
      </c>
      <c r="J99" s="208">
        <v>0</v>
      </c>
      <c r="K99" s="208">
        <v>0</v>
      </c>
      <c r="L99" s="208">
        <v>0</v>
      </c>
      <c r="M99" s="208">
        <v>0</v>
      </c>
      <c r="N99" s="208">
        <v>0</v>
      </c>
    </row>
    <row r="100" spans="1:14" ht="13.5" thickBot="1" x14ac:dyDescent="0.25">
      <c r="A100" s="48" t="s">
        <v>398</v>
      </c>
      <c r="B100" s="224" t="s">
        <v>397</v>
      </c>
      <c r="C100" s="48" t="s">
        <v>17</v>
      </c>
      <c r="D100" s="226">
        <v>5210</v>
      </c>
      <c r="E100" s="208">
        <v>0</v>
      </c>
      <c r="F100" s="208">
        <v>0</v>
      </c>
      <c r="G100" s="208">
        <v>0</v>
      </c>
      <c r="H100" s="208">
        <v>0</v>
      </c>
      <c r="I100" s="208">
        <v>0</v>
      </c>
      <c r="J100" s="208">
        <v>0</v>
      </c>
      <c r="K100" s="208">
        <v>0</v>
      </c>
      <c r="L100" s="208">
        <v>0</v>
      </c>
      <c r="M100" s="208">
        <v>0</v>
      </c>
      <c r="N100" s="208">
        <v>0</v>
      </c>
    </row>
    <row r="101" spans="1:14" ht="13.5" thickBot="1" x14ac:dyDescent="0.25">
      <c r="A101" s="48" t="s">
        <v>400</v>
      </c>
      <c r="B101" s="224" t="s">
        <v>399</v>
      </c>
      <c r="C101" s="48" t="s">
        <v>17</v>
      </c>
      <c r="D101" s="226">
        <v>6997</v>
      </c>
      <c r="E101" s="208">
        <v>0</v>
      </c>
      <c r="F101" s="208">
        <v>0</v>
      </c>
      <c r="G101" s="208">
        <v>0</v>
      </c>
      <c r="H101" s="208">
        <v>0</v>
      </c>
      <c r="I101" s="208">
        <v>0</v>
      </c>
      <c r="J101" s="208">
        <v>0</v>
      </c>
      <c r="K101" s="208">
        <v>0</v>
      </c>
      <c r="L101" s="208">
        <v>0</v>
      </c>
      <c r="M101" s="208">
        <v>0</v>
      </c>
      <c r="N101" s="208">
        <v>0</v>
      </c>
    </row>
    <row r="102" spans="1:14" ht="13.5" thickBot="1" x14ac:dyDescent="0.25">
      <c r="A102" s="48" t="s">
        <v>414</v>
      </c>
      <c r="B102" s="224" t="s">
        <v>413</v>
      </c>
      <c r="C102" s="48" t="s">
        <v>17</v>
      </c>
      <c r="D102" s="226">
        <v>4168</v>
      </c>
      <c r="E102" s="208">
        <v>0</v>
      </c>
      <c r="F102" s="208">
        <v>3340</v>
      </c>
      <c r="G102" s="208">
        <v>0</v>
      </c>
      <c r="H102" s="208">
        <v>0</v>
      </c>
      <c r="I102" s="208">
        <v>3340</v>
      </c>
      <c r="J102" s="208">
        <v>0</v>
      </c>
      <c r="K102" s="208">
        <v>11731</v>
      </c>
      <c r="L102" s="208">
        <v>0</v>
      </c>
      <c r="M102" s="208">
        <v>0</v>
      </c>
      <c r="N102" s="208">
        <v>11731</v>
      </c>
    </row>
    <row r="103" spans="1:14" ht="13.5" thickBot="1" x14ac:dyDescent="0.25">
      <c r="A103" s="48" t="s">
        <v>427</v>
      </c>
      <c r="B103" s="224" t="s">
        <v>426</v>
      </c>
      <c r="C103" s="48" t="s">
        <v>17</v>
      </c>
      <c r="D103" s="226">
        <v>4934</v>
      </c>
      <c r="E103" s="208">
        <v>0</v>
      </c>
      <c r="F103" s="208">
        <v>0</v>
      </c>
      <c r="G103" s="208">
        <v>0</v>
      </c>
      <c r="H103" s="208">
        <v>0</v>
      </c>
      <c r="I103" s="208">
        <v>0</v>
      </c>
      <c r="J103" s="208">
        <v>980</v>
      </c>
      <c r="K103" s="208">
        <v>798</v>
      </c>
      <c r="L103" s="208">
        <v>0</v>
      </c>
      <c r="M103" s="208">
        <v>7179</v>
      </c>
      <c r="N103" s="208">
        <v>8957</v>
      </c>
    </row>
    <row r="104" spans="1:14" ht="13.5" thickBot="1" x14ac:dyDescent="0.25">
      <c r="A104" s="48" t="s">
        <v>429</v>
      </c>
      <c r="B104" s="224" t="s">
        <v>428</v>
      </c>
      <c r="C104" s="48" t="s">
        <v>17</v>
      </c>
      <c r="D104" s="226">
        <v>5857</v>
      </c>
      <c r="E104" s="208">
        <v>0</v>
      </c>
      <c r="F104" s="208">
        <v>0</v>
      </c>
      <c r="G104" s="208">
        <v>0</v>
      </c>
      <c r="H104" s="208">
        <v>0</v>
      </c>
      <c r="I104" s="208">
        <v>0</v>
      </c>
      <c r="J104" s="208">
        <v>6403</v>
      </c>
      <c r="K104" s="208">
        <v>1285</v>
      </c>
      <c r="L104" s="203">
        <v>0</v>
      </c>
      <c r="M104" s="203">
        <v>0</v>
      </c>
      <c r="N104" s="208">
        <v>7688</v>
      </c>
    </row>
    <row r="105" spans="1:14" ht="13.5" thickBot="1" x14ac:dyDescent="0.25">
      <c r="A105" s="48" t="s">
        <v>450</v>
      </c>
      <c r="B105" s="224" t="s">
        <v>449</v>
      </c>
      <c r="C105" s="48" t="s">
        <v>17</v>
      </c>
      <c r="D105" s="226">
        <v>4141</v>
      </c>
      <c r="E105" s="208">
        <v>0</v>
      </c>
      <c r="F105" s="208">
        <v>0</v>
      </c>
      <c r="G105" s="208">
        <v>0</v>
      </c>
      <c r="H105" s="208">
        <v>0</v>
      </c>
      <c r="I105" s="208">
        <v>0</v>
      </c>
      <c r="J105" s="208">
        <v>2337</v>
      </c>
      <c r="K105" s="203">
        <v>0</v>
      </c>
      <c r="L105" s="203">
        <v>0</v>
      </c>
      <c r="M105" s="203">
        <v>0</v>
      </c>
      <c r="N105" s="208">
        <v>2337</v>
      </c>
    </row>
    <row r="106" spans="1:14" ht="13.5" thickBot="1" x14ac:dyDescent="0.25">
      <c r="A106" s="48" t="s">
        <v>456</v>
      </c>
      <c r="B106" s="224" t="s">
        <v>455</v>
      </c>
      <c r="C106" s="48" t="s">
        <v>17</v>
      </c>
      <c r="D106" s="226">
        <v>4197</v>
      </c>
      <c r="E106" s="208">
        <v>0</v>
      </c>
      <c r="F106" s="208">
        <v>0</v>
      </c>
      <c r="G106" s="208">
        <v>0</v>
      </c>
      <c r="H106" s="208">
        <v>0</v>
      </c>
      <c r="I106" s="208">
        <v>0</v>
      </c>
      <c r="J106" s="208">
        <v>0</v>
      </c>
      <c r="K106" s="208">
        <v>0</v>
      </c>
      <c r="L106" s="208">
        <v>0</v>
      </c>
      <c r="M106" s="208">
        <v>0</v>
      </c>
      <c r="N106" s="208">
        <v>0</v>
      </c>
    </row>
    <row r="107" spans="1:14" ht="13.5" thickBot="1" x14ac:dyDescent="0.25">
      <c r="A107" s="48" t="s">
        <v>462</v>
      </c>
      <c r="B107" s="224" t="s">
        <v>461</v>
      </c>
      <c r="C107" s="48" t="s">
        <v>17</v>
      </c>
      <c r="D107" s="226">
        <v>5068</v>
      </c>
      <c r="E107" s="208">
        <v>0</v>
      </c>
      <c r="F107" s="208">
        <v>0</v>
      </c>
      <c r="G107" s="208">
        <v>0</v>
      </c>
      <c r="H107" s="208">
        <v>0</v>
      </c>
      <c r="I107" s="208">
        <v>0</v>
      </c>
      <c r="J107" s="208">
        <v>3218</v>
      </c>
      <c r="K107" s="208">
        <v>0</v>
      </c>
      <c r="L107" s="208">
        <v>5210</v>
      </c>
      <c r="M107" s="208">
        <v>0</v>
      </c>
      <c r="N107" s="208">
        <v>8428</v>
      </c>
    </row>
    <row r="108" spans="1:14" ht="13.5" thickBot="1" x14ac:dyDescent="0.25">
      <c r="A108" s="48" t="s">
        <v>466</v>
      </c>
      <c r="B108" s="224" t="s">
        <v>465</v>
      </c>
      <c r="C108" s="48" t="s">
        <v>17</v>
      </c>
      <c r="D108" s="226">
        <v>4968</v>
      </c>
      <c r="E108" s="208">
        <v>0</v>
      </c>
      <c r="F108" s="208">
        <v>0</v>
      </c>
      <c r="G108" s="208">
        <v>0</v>
      </c>
      <c r="H108" s="208">
        <v>0</v>
      </c>
      <c r="I108" s="208">
        <v>0</v>
      </c>
      <c r="J108" s="208">
        <v>2212</v>
      </c>
      <c r="K108" s="203">
        <v>0</v>
      </c>
      <c r="L108" s="203">
        <v>0</v>
      </c>
      <c r="M108" s="203">
        <v>0</v>
      </c>
      <c r="N108" s="208">
        <v>2212</v>
      </c>
    </row>
    <row r="109" spans="1:14" ht="13.5" thickBot="1" x14ac:dyDescent="0.25">
      <c r="A109" s="48" t="s">
        <v>478</v>
      </c>
      <c r="B109" s="224" t="s">
        <v>477</v>
      </c>
      <c r="C109" s="48" t="s">
        <v>17</v>
      </c>
      <c r="D109" s="226">
        <v>4101</v>
      </c>
      <c r="E109" s="208">
        <v>0</v>
      </c>
      <c r="F109" s="208">
        <v>0</v>
      </c>
      <c r="G109" s="208">
        <v>0</v>
      </c>
      <c r="H109" s="208">
        <v>0</v>
      </c>
      <c r="I109" s="208">
        <v>0</v>
      </c>
      <c r="J109" s="208">
        <v>4976</v>
      </c>
      <c r="K109" s="208">
        <v>0</v>
      </c>
      <c r="L109" s="208">
        <v>14894</v>
      </c>
      <c r="M109" s="208">
        <v>0</v>
      </c>
      <c r="N109" s="208">
        <v>19870</v>
      </c>
    </row>
    <row r="110" spans="1:14" ht="13.5" thickBot="1" x14ac:dyDescent="0.25">
      <c r="A110" s="48" t="s">
        <v>480</v>
      </c>
      <c r="B110" s="224" t="s">
        <v>479</v>
      </c>
      <c r="C110" s="48" t="s">
        <v>17</v>
      </c>
      <c r="D110" s="226">
        <v>5241</v>
      </c>
      <c r="E110" s="208">
        <v>0</v>
      </c>
      <c r="F110" s="208">
        <v>0</v>
      </c>
      <c r="G110" s="208">
        <v>0</v>
      </c>
      <c r="H110" s="208">
        <v>0</v>
      </c>
      <c r="I110" s="208">
        <v>0</v>
      </c>
      <c r="J110" s="208">
        <v>0</v>
      </c>
      <c r="K110" s="208">
        <v>0</v>
      </c>
      <c r="L110" s="208">
        <v>0</v>
      </c>
      <c r="M110" s="208">
        <v>0</v>
      </c>
      <c r="N110" s="208">
        <v>0</v>
      </c>
    </row>
    <row r="111" spans="1:14" ht="13.5" thickBot="1" x14ac:dyDescent="0.25">
      <c r="A111" s="48" t="s">
        <v>488</v>
      </c>
      <c r="B111" s="224" t="s">
        <v>487</v>
      </c>
      <c r="C111" s="48" t="s">
        <v>17</v>
      </c>
      <c r="D111" s="226">
        <v>5160</v>
      </c>
      <c r="E111" s="208">
        <v>0</v>
      </c>
      <c r="F111" s="208">
        <v>0</v>
      </c>
      <c r="G111" s="208">
        <v>0</v>
      </c>
      <c r="H111" s="208">
        <v>0</v>
      </c>
      <c r="I111" s="208">
        <v>0</v>
      </c>
      <c r="J111" s="208">
        <v>0</v>
      </c>
      <c r="K111" s="208">
        <v>0</v>
      </c>
      <c r="L111" s="208">
        <v>0</v>
      </c>
      <c r="M111" s="208">
        <v>0</v>
      </c>
      <c r="N111" s="208">
        <v>0</v>
      </c>
    </row>
    <row r="112" spans="1:14" ht="13.5" thickBot="1" x14ac:dyDescent="0.25">
      <c r="A112" s="48" t="s">
        <v>490</v>
      </c>
      <c r="B112" s="224" t="s">
        <v>489</v>
      </c>
      <c r="C112" s="48" t="s">
        <v>17</v>
      </c>
      <c r="D112" s="226">
        <v>5841</v>
      </c>
      <c r="E112" s="208">
        <v>0</v>
      </c>
      <c r="F112" s="208">
        <v>0</v>
      </c>
      <c r="G112" s="208">
        <v>0</v>
      </c>
      <c r="H112" s="208">
        <v>0</v>
      </c>
      <c r="I112" s="208">
        <v>0</v>
      </c>
      <c r="J112" s="208">
        <v>3386</v>
      </c>
      <c r="K112" s="203">
        <v>0</v>
      </c>
      <c r="L112" s="203">
        <v>0</v>
      </c>
      <c r="M112" s="203">
        <v>0</v>
      </c>
      <c r="N112" s="208">
        <v>3386</v>
      </c>
    </row>
    <row r="113" spans="1:14" ht="13.5" thickBot="1" x14ac:dyDescent="0.25">
      <c r="A113" s="48" t="s">
        <v>494</v>
      </c>
      <c r="B113" s="224" t="s">
        <v>493</v>
      </c>
      <c r="C113" s="48" t="s">
        <v>17</v>
      </c>
      <c r="D113" s="226">
        <v>4730</v>
      </c>
      <c r="E113" s="208">
        <v>0</v>
      </c>
      <c r="F113" s="208">
        <v>0</v>
      </c>
      <c r="G113" s="208">
        <v>1180</v>
      </c>
      <c r="H113" s="208">
        <v>0</v>
      </c>
      <c r="I113" s="208">
        <v>1180</v>
      </c>
      <c r="J113" s="203">
        <v>0</v>
      </c>
      <c r="K113" s="203">
        <v>0</v>
      </c>
      <c r="L113" s="208">
        <v>1180</v>
      </c>
      <c r="M113" s="203">
        <v>0</v>
      </c>
      <c r="N113" s="208">
        <v>1180</v>
      </c>
    </row>
    <row r="114" spans="1:14" ht="13.5" thickBot="1" x14ac:dyDescent="0.25">
      <c r="A114" s="48" t="s">
        <v>512</v>
      </c>
      <c r="B114" s="224" t="s">
        <v>511</v>
      </c>
      <c r="C114" s="48" t="s">
        <v>17</v>
      </c>
      <c r="D114" s="226">
        <v>5072</v>
      </c>
      <c r="E114" s="208">
        <v>0</v>
      </c>
      <c r="F114" s="208">
        <v>0</v>
      </c>
      <c r="G114" s="208">
        <v>93000</v>
      </c>
      <c r="H114" s="208">
        <v>0</v>
      </c>
      <c r="I114" s="208">
        <v>93000</v>
      </c>
      <c r="J114" s="208">
        <v>0</v>
      </c>
      <c r="K114" s="208">
        <v>0</v>
      </c>
      <c r="L114" s="208">
        <v>840</v>
      </c>
      <c r="M114" s="208">
        <v>0</v>
      </c>
      <c r="N114" s="208">
        <v>840</v>
      </c>
    </row>
    <row r="115" spans="1:14" ht="13.5" thickBot="1" x14ac:dyDescent="0.25">
      <c r="A115" s="48" t="s">
        <v>514</v>
      </c>
      <c r="B115" s="224" t="s">
        <v>513</v>
      </c>
      <c r="C115" s="48" t="s">
        <v>17</v>
      </c>
      <c r="D115" s="226">
        <v>6634</v>
      </c>
      <c r="E115" s="208">
        <v>0</v>
      </c>
      <c r="F115" s="208">
        <v>0</v>
      </c>
      <c r="G115" s="208">
        <v>0</v>
      </c>
      <c r="H115" s="208">
        <v>0</v>
      </c>
      <c r="I115" s="208">
        <v>0</v>
      </c>
      <c r="J115" s="208">
        <v>0</v>
      </c>
      <c r="K115" s="208">
        <v>0</v>
      </c>
      <c r="L115" s="208">
        <v>0</v>
      </c>
      <c r="M115" s="208">
        <v>0</v>
      </c>
      <c r="N115" s="208">
        <v>0</v>
      </c>
    </row>
    <row r="116" spans="1:14" ht="13.5" thickBot="1" x14ac:dyDescent="0.25">
      <c r="A116" s="48" t="s">
        <v>526</v>
      </c>
      <c r="B116" s="224" t="s">
        <v>525</v>
      </c>
      <c r="C116" s="48" t="s">
        <v>17</v>
      </c>
      <c r="D116" s="226">
        <v>5302</v>
      </c>
      <c r="E116" s="208">
        <v>0</v>
      </c>
      <c r="F116" s="208">
        <v>0</v>
      </c>
      <c r="G116" s="208">
        <v>0</v>
      </c>
      <c r="H116" s="208">
        <v>0</v>
      </c>
      <c r="I116" s="208">
        <v>0</v>
      </c>
      <c r="J116" s="208">
        <v>0</v>
      </c>
      <c r="K116" s="208">
        <v>0</v>
      </c>
      <c r="L116" s="208">
        <v>0</v>
      </c>
      <c r="M116" s="208">
        <v>0</v>
      </c>
      <c r="N116" s="208">
        <v>0</v>
      </c>
    </row>
    <row r="117" spans="1:14" ht="13.5" thickBot="1" x14ac:dyDescent="0.25">
      <c r="A117" s="48" t="s">
        <v>528</v>
      </c>
      <c r="B117" s="224" t="s">
        <v>527</v>
      </c>
      <c r="C117" s="48" t="s">
        <v>17</v>
      </c>
      <c r="D117" s="226">
        <v>6834</v>
      </c>
      <c r="E117" s="208">
        <v>0</v>
      </c>
      <c r="F117" s="208">
        <v>0</v>
      </c>
      <c r="G117" s="208">
        <v>0</v>
      </c>
      <c r="H117" s="208">
        <v>0</v>
      </c>
      <c r="I117" s="208">
        <v>0</v>
      </c>
      <c r="J117" s="208">
        <v>6751</v>
      </c>
      <c r="K117" s="208">
        <v>13240</v>
      </c>
      <c r="L117" s="208">
        <v>0</v>
      </c>
      <c r="M117" s="208">
        <v>0</v>
      </c>
      <c r="N117" s="208">
        <v>19991</v>
      </c>
    </row>
    <row r="118" spans="1:14" ht="13.5" thickBot="1" x14ac:dyDescent="0.25">
      <c r="A118" s="48" t="s">
        <v>532</v>
      </c>
      <c r="B118" s="224" t="s">
        <v>531</v>
      </c>
      <c r="C118" s="48" t="s">
        <v>17</v>
      </c>
      <c r="D118" s="226">
        <v>4469</v>
      </c>
      <c r="E118" s="208">
        <v>0</v>
      </c>
      <c r="F118" s="208">
        <v>0</v>
      </c>
      <c r="G118" s="208">
        <v>0</v>
      </c>
      <c r="H118" s="208">
        <v>5043</v>
      </c>
      <c r="I118" s="208">
        <v>5043</v>
      </c>
      <c r="J118" s="208">
        <v>156</v>
      </c>
      <c r="K118" s="208">
        <v>8378</v>
      </c>
      <c r="L118" s="208">
        <v>569514</v>
      </c>
      <c r="M118" s="203">
        <v>0</v>
      </c>
      <c r="N118" s="208">
        <v>578048</v>
      </c>
    </row>
    <row r="119" spans="1:14" ht="13.5" thickBot="1" x14ac:dyDescent="0.25">
      <c r="A119" s="48" t="s">
        <v>540</v>
      </c>
      <c r="B119" s="224" t="s">
        <v>539</v>
      </c>
      <c r="C119" s="48" t="s">
        <v>17</v>
      </c>
      <c r="D119" s="226">
        <v>6174</v>
      </c>
      <c r="E119" s="208">
        <v>0</v>
      </c>
      <c r="F119" s="208">
        <v>0</v>
      </c>
      <c r="G119" s="208">
        <v>0</v>
      </c>
      <c r="H119" s="208">
        <v>0</v>
      </c>
      <c r="I119" s="208">
        <v>0</v>
      </c>
      <c r="J119" s="208">
        <v>2510</v>
      </c>
      <c r="K119" s="208">
        <v>5939</v>
      </c>
      <c r="L119" s="208">
        <v>15677</v>
      </c>
      <c r="M119" s="208">
        <v>11575</v>
      </c>
      <c r="N119" s="208">
        <v>35701</v>
      </c>
    </row>
    <row r="120" spans="1:14" ht="13.5" thickBot="1" x14ac:dyDescent="0.25">
      <c r="A120" s="48" t="s">
        <v>560</v>
      </c>
      <c r="B120" s="224" t="s">
        <v>559</v>
      </c>
      <c r="C120" s="48" t="s">
        <v>17</v>
      </c>
      <c r="D120" s="226">
        <v>5305</v>
      </c>
      <c r="E120" s="208">
        <v>0</v>
      </c>
      <c r="F120" s="208">
        <v>0</v>
      </c>
      <c r="G120" s="208">
        <v>0</v>
      </c>
      <c r="H120" s="208">
        <v>0</v>
      </c>
      <c r="I120" s="208">
        <v>0</v>
      </c>
      <c r="J120" s="208">
        <v>0</v>
      </c>
      <c r="K120" s="208">
        <v>0</v>
      </c>
      <c r="L120" s="208">
        <v>7915</v>
      </c>
      <c r="M120" s="203">
        <v>0</v>
      </c>
      <c r="N120" s="208">
        <v>7915</v>
      </c>
    </row>
    <row r="121" spans="1:14" ht="13.5" thickBot="1" x14ac:dyDescent="0.25">
      <c r="A121" s="48" t="s">
        <v>566</v>
      </c>
      <c r="B121" s="224" t="s">
        <v>565</v>
      </c>
      <c r="C121" s="48" t="s">
        <v>17</v>
      </c>
      <c r="D121" s="226">
        <v>6341</v>
      </c>
      <c r="E121" s="208">
        <v>0</v>
      </c>
      <c r="F121" s="208">
        <v>0</v>
      </c>
      <c r="G121" s="208">
        <v>0</v>
      </c>
      <c r="H121" s="208">
        <v>0</v>
      </c>
      <c r="I121" s="208">
        <v>0</v>
      </c>
      <c r="J121" s="208">
        <v>4500</v>
      </c>
      <c r="K121" s="208">
        <v>4992</v>
      </c>
      <c r="L121" s="208">
        <v>5975</v>
      </c>
      <c r="M121" s="208">
        <v>0</v>
      </c>
      <c r="N121" s="208">
        <v>15467</v>
      </c>
    </row>
    <row r="122" spans="1:14" ht="13.5" thickBot="1" x14ac:dyDescent="0.25">
      <c r="A122" s="48" t="s">
        <v>572</v>
      </c>
      <c r="B122" s="224" t="s">
        <v>571</v>
      </c>
      <c r="C122" s="48" t="s">
        <v>17</v>
      </c>
      <c r="D122" s="226">
        <v>5433</v>
      </c>
      <c r="E122" s="208">
        <v>0</v>
      </c>
      <c r="F122" s="208">
        <v>0</v>
      </c>
      <c r="G122" s="208">
        <v>663472</v>
      </c>
      <c r="H122" s="208">
        <v>663472</v>
      </c>
      <c r="I122" s="208">
        <v>1326944</v>
      </c>
      <c r="J122" s="208">
        <v>0</v>
      </c>
      <c r="K122" s="208">
        <v>134945</v>
      </c>
      <c r="L122" s="208">
        <v>403804</v>
      </c>
      <c r="M122" s="208">
        <v>106086</v>
      </c>
      <c r="N122" s="208">
        <v>644835</v>
      </c>
    </row>
    <row r="123" spans="1:14" ht="13.5" thickBot="1" x14ac:dyDescent="0.25">
      <c r="A123" s="48" t="s">
        <v>582</v>
      </c>
      <c r="B123" s="224" t="s">
        <v>581</v>
      </c>
      <c r="C123" s="48" t="s">
        <v>17</v>
      </c>
      <c r="D123" s="226">
        <v>6654</v>
      </c>
      <c r="E123" s="208">
        <v>0</v>
      </c>
      <c r="F123" s="208">
        <v>0</v>
      </c>
      <c r="G123" s="208">
        <v>0</v>
      </c>
      <c r="H123" s="208">
        <v>0</v>
      </c>
      <c r="I123" s="208">
        <v>0</v>
      </c>
      <c r="J123" s="208">
        <v>5928</v>
      </c>
      <c r="K123" s="208">
        <v>4655</v>
      </c>
      <c r="L123" s="208">
        <v>10890</v>
      </c>
      <c r="M123" s="208">
        <v>0</v>
      </c>
      <c r="N123" s="208">
        <v>21473</v>
      </c>
    </row>
    <row r="124" spans="1:14" ht="13.5" thickBot="1" x14ac:dyDescent="0.25">
      <c r="A124" s="48" t="s">
        <v>586</v>
      </c>
      <c r="B124" s="224" t="s">
        <v>585</v>
      </c>
      <c r="C124" s="48" t="s">
        <v>17</v>
      </c>
      <c r="D124" s="226">
        <v>4105</v>
      </c>
      <c r="E124" s="208">
        <v>0</v>
      </c>
      <c r="F124" s="208">
        <v>0</v>
      </c>
      <c r="G124" s="208">
        <v>0</v>
      </c>
      <c r="H124" s="208">
        <v>0</v>
      </c>
      <c r="I124" s="208">
        <v>0</v>
      </c>
      <c r="J124" s="208">
        <v>0</v>
      </c>
      <c r="K124" s="208">
        <v>0</v>
      </c>
      <c r="L124" s="208">
        <v>0</v>
      </c>
      <c r="M124" s="208">
        <v>0</v>
      </c>
      <c r="N124" s="208">
        <v>0</v>
      </c>
    </row>
    <row r="125" spans="1:14" ht="13.5" thickBot="1" x14ac:dyDescent="0.25">
      <c r="A125" s="48" t="s">
        <v>592</v>
      </c>
      <c r="B125" s="224" t="s">
        <v>591</v>
      </c>
      <c r="C125" s="48" t="s">
        <v>17</v>
      </c>
      <c r="D125" s="226">
        <v>5033</v>
      </c>
      <c r="E125" s="208">
        <v>0</v>
      </c>
      <c r="F125" s="208">
        <v>0</v>
      </c>
      <c r="G125" s="208">
        <v>88500</v>
      </c>
      <c r="H125" s="208">
        <v>3500</v>
      </c>
      <c r="I125" s="208">
        <v>92000</v>
      </c>
      <c r="J125" s="208">
        <v>4800</v>
      </c>
      <c r="K125" s="208">
        <v>5000</v>
      </c>
      <c r="L125" s="208">
        <v>0</v>
      </c>
      <c r="M125" s="208">
        <v>0</v>
      </c>
      <c r="N125" s="208">
        <v>9800</v>
      </c>
    </row>
    <row r="126" spans="1:14" ht="13.5" thickBot="1" x14ac:dyDescent="0.25">
      <c r="A126" s="48" t="s">
        <v>600</v>
      </c>
      <c r="B126" s="224" t="s">
        <v>599</v>
      </c>
      <c r="C126" s="48" t="s">
        <v>17</v>
      </c>
      <c r="D126" s="226">
        <v>5413</v>
      </c>
      <c r="E126" s="208">
        <v>0</v>
      </c>
      <c r="F126" s="208">
        <v>0</v>
      </c>
      <c r="G126" s="208">
        <v>0</v>
      </c>
      <c r="H126" s="208">
        <v>0</v>
      </c>
      <c r="I126" s="208">
        <v>0</v>
      </c>
      <c r="J126" s="208">
        <v>0</v>
      </c>
      <c r="K126" s="208">
        <v>2153</v>
      </c>
      <c r="L126" s="208">
        <v>0</v>
      </c>
      <c r="M126" s="208">
        <v>0</v>
      </c>
      <c r="N126" s="208">
        <v>2153</v>
      </c>
    </row>
    <row r="127" spans="1:14" ht="13.5" thickBot="1" x14ac:dyDescent="0.25">
      <c r="A127" s="48" t="s">
        <v>606</v>
      </c>
      <c r="B127" s="224" t="s">
        <v>605</v>
      </c>
      <c r="C127" s="48" t="s">
        <v>17</v>
      </c>
      <c r="D127" s="226">
        <v>6847</v>
      </c>
      <c r="E127" s="208">
        <v>0</v>
      </c>
      <c r="F127" s="208">
        <v>0</v>
      </c>
      <c r="G127" s="208">
        <v>0</v>
      </c>
      <c r="H127" s="208">
        <v>0</v>
      </c>
      <c r="I127" s="208">
        <v>0</v>
      </c>
      <c r="J127" s="208">
        <v>0</v>
      </c>
      <c r="K127" s="208">
        <v>0</v>
      </c>
      <c r="L127" s="208">
        <v>0</v>
      </c>
      <c r="M127" s="208">
        <v>0</v>
      </c>
      <c r="N127" s="208">
        <v>0</v>
      </c>
    </row>
    <row r="128" spans="1:14" ht="13.5" thickBot="1" x14ac:dyDescent="0.25">
      <c r="A128" s="48" t="s">
        <v>608</v>
      </c>
      <c r="B128" s="224" t="s">
        <v>607</v>
      </c>
      <c r="C128" s="48" t="s">
        <v>17</v>
      </c>
      <c r="D128" s="226">
        <v>6240</v>
      </c>
      <c r="E128" s="208">
        <v>0</v>
      </c>
      <c r="F128" s="208">
        <v>0</v>
      </c>
      <c r="G128" s="208">
        <v>0</v>
      </c>
      <c r="H128" s="208">
        <v>1032387</v>
      </c>
      <c r="I128" s="208">
        <v>1032387</v>
      </c>
      <c r="J128" s="208">
        <v>0</v>
      </c>
      <c r="K128" s="208">
        <v>0</v>
      </c>
      <c r="L128" s="208">
        <v>0</v>
      </c>
      <c r="M128" s="208">
        <v>0</v>
      </c>
      <c r="N128" s="208">
        <v>0</v>
      </c>
    </row>
    <row r="129" spans="1:14" ht="13.5" thickBot="1" x14ac:dyDescent="0.25">
      <c r="A129" s="48" t="s">
        <v>614</v>
      </c>
      <c r="B129" s="224" t="s">
        <v>613</v>
      </c>
      <c r="C129" s="48" t="s">
        <v>17</v>
      </c>
      <c r="D129" s="226">
        <v>5376</v>
      </c>
      <c r="E129" s="208">
        <v>0</v>
      </c>
      <c r="F129" s="208">
        <v>0</v>
      </c>
      <c r="G129" s="208">
        <v>0</v>
      </c>
      <c r="H129" s="208">
        <v>0</v>
      </c>
      <c r="I129" s="208">
        <v>0</v>
      </c>
      <c r="J129" s="208">
        <v>0</v>
      </c>
      <c r="K129" s="208">
        <v>0</v>
      </c>
      <c r="L129" s="208">
        <v>0</v>
      </c>
      <c r="M129" s="208">
        <v>0</v>
      </c>
      <c r="N129" s="208">
        <v>0</v>
      </c>
    </row>
    <row r="130" spans="1:14" ht="13.5" thickBot="1" x14ac:dyDescent="0.25">
      <c r="A130" s="48" t="s">
        <v>620</v>
      </c>
      <c r="B130" s="224" t="s">
        <v>619</v>
      </c>
      <c r="C130" s="48" t="s">
        <v>17</v>
      </c>
      <c r="D130" s="226">
        <v>5523</v>
      </c>
      <c r="E130" s="208">
        <v>0</v>
      </c>
      <c r="F130" s="208">
        <v>12694</v>
      </c>
      <c r="G130" s="208">
        <v>25751</v>
      </c>
      <c r="H130" s="208">
        <v>6881</v>
      </c>
      <c r="I130" s="208">
        <v>45326</v>
      </c>
      <c r="J130" s="208">
        <v>1050</v>
      </c>
      <c r="K130" s="208">
        <v>13798</v>
      </c>
      <c r="L130" s="208">
        <v>2060</v>
      </c>
      <c r="M130" s="208">
        <v>6953</v>
      </c>
      <c r="N130" s="208">
        <v>23861</v>
      </c>
    </row>
    <row r="131" spans="1:14" ht="13.5" thickBot="1" x14ac:dyDescent="0.25">
      <c r="A131" s="48" t="s">
        <v>632</v>
      </c>
      <c r="B131" s="224" t="s">
        <v>631</v>
      </c>
      <c r="C131" s="48" t="s">
        <v>17</v>
      </c>
      <c r="D131" s="226">
        <v>4659</v>
      </c>
      <c r="E131" s="208">
        <v>0</v>
      </c>
      <c r="F131" s="208">
        <v>0</v>
      </c>
      <c r="G131" s="208">
        <v>0</v>
      </c>
      <c r="H131" s="208">
        <v>0</v>
      </c>
      <c r="I131" s="208">
        <v>0</v>
      </c>
      <c r="J131" s="208">
        <v>0</v>
      </c>
      <c r="K131" s="208">
        <v>84363</v>
      </c>
      <c r="L131" s="208">
        <v>0</v>
      </c>
      <c r="M131" s="208">
        <v>0</v>
      </c>
      <c r="N131" s="208">
        <v>84363</v>
      </c>
    </row>
    <row r="132" spans="1:14" ht="13.5" thickBot="1" x14ac:dyDescent="0.25">
      <c r="A132" s="48" t="s">
        <v>644</v>
      </c>
      <c r="B132" s="224" t="s">
        <v>643</v>
      </c>
      <c r="C132" s="48" t="s">
        <v>17</v>
      </c>
      <c r="D132" s="226">
        <v>6295</v>
      </c>
      <c r="E132" s="208">
        <v>0</v>
      </c>
      <c r="F132" s="208">
        <v>0</v>
      </c>
      <c r="G132" s="208">
        <v>0</v>
      </c>
      <c r="H132" s="208">
        <v>0</v>
      </c>
      <c r="I132" s="208">
        <v>0</v>
      </c>
      <c r="J132" s="208">
        <v>10563</v>
      </c>
      <c r="K132" s="203">
        <v>0</v>
      </c>
      <c r="L132" s="203">
        <v>0</v>
      </c>
      <c r="M132" s="203">
        <v>0</v>
      </c>
      <c r="N132" s="208">
        <v>10563</v>
      </c>
    </row>
    <row r="133" spans="1:14" ht="13.5" thickBot="1" x14ac:dyDescent="0.25">
      <c r="A133" s="48" t="s">
        <v>658</v>
      </c>
      <c r="B133" s="224" t="s">
        <v>657</v>
      </c>
      <c r="C133" s="48" t="s">
        <v>17</v>
      </c>
      <c r="D133" s="226">
        <v>4434</v>
      </c>
      <c r="E133" s="208">
        <v>0</v>
      </c>
      <c r="F133" s="208">
        <v>0</v>
      </c>
      <c r="G133" s="208">
        <v>0</v>
      </c>
      <c r="H133" s="208">
        <v>0</v>
      </c>
      <c r="I133" s="208">
        <v>0</v>
      </c>
      <c r="J133" s="208">
        <v>4644</v>
      </c>
      <c r="K133" s="208">
        <v>0</v>
      </c>
      <c r="L133" s="208">
        <v>3986</v>
      </c>
      <c r="M133" s="208">
        <v>0</v>
      </c>
      <c r="N133" s="208">
        <v>8630</v>
      </c>
    </row>
    <row r="134" spans="1:14" ht="13.5" thickBot="1" x14ac:dyDescent="0.25">
      <c r="A134" s="48" t="s">
        <v>668</v>
      </c>
      <c r="B134" s="224" t="s">
        <v>667</v>
      </c>
      <c r="C134" s="48" t="s">
        <v>17</v>
      </c>
      <c r="D134" s="226">
        <v>4375</v>
      </c>
      <c r="E134" s="208">
        <v>0</v>
      </c>
      <c r="F134" s="208">
        <v>0</v>
      </c>
      <c r="G134" s="208">
        <v>0</v>
      </c>
      <c r="H134" s="208">
        <v>0</v>
      </c>
      <c r="I134" s="208">
        <v>0</v>
      </c>
      <c r="J134" s="208">
        <v>0</v>
      </c>
      <c r="K134" s="208">
        <v>4578</v>
      </c>
      <c r="L134" s="208">
        <v>0</v>
      </c>
      <c r="M134" s="208">
        <v>0</v>
      </c>
      <c r="N134" s="208">
        <v>4578</v>
      </c>
    </row>
    <row r="135" spans="1:14" ht="13.5" thickBot="1" x14ac:dyDescent="0.25">
      <c r="A135" s="48" t="s">
        <v>672</v>
      </c>
      <c r="B135" s="224" t="s">
        <v>671</v>
      </c>
      <c r="C135" s="48" t="s">
        <v>17</v>
      </c>
      <c r="D135" s="226">
        <v>5101</v>
      </c>
      <c r="E135" s="208">
        <v>0</v>
      </c>
      <c r="F135" s="208">
        <v>0</v>
      </c>
      <c r="G135" s="208">
        <v>299546</v>
      </c>
      <c r="H135" s="208">
        <v>37587</v>
      </c>
      <c r="I135" s="208">
        <v>337133</v>
      </c>
      <c r="J135" s="203">
        <v>0</v>
      </c>
      <c r="K135" s="208">
        <v>48571</v>
      </c>
      <c r="L135" s="208">
        <v>2427206</v>
      </c>
      <c r="M135" s="203">
        <v>0</v>
      </c>
      <c r="N135" s="208">
        <v>2475777</v>
      </c>
    </row>
    <row r="136" spans="1:14" ht="13.5" thickBot="1" x14ac:dyDescent="0.25">
      <c r="A136" s="48" t="s">
        <v>678</v>
      </c>
      <c r="B136" s="224" t="s">
        <v>677</v>
      </c>
      <c r="C136" s="48" t="s">
        <v>17</v>
      </c>
      <c r="D136" s="226">
        <v>4038</v>
      </c>
      <c r="E136" s="208">
        <v>0</v>
      </c>
      <c r="F136" s="208">
        <v>0</v>
      </c>
      <c r="G136" s="208">
        <v>0</v>
      </c>
      <c r="H136" s="208">
        <v>0</v>
      </c>
      <c r="I136" s="208">
        <v>0</v>
      </c>
      <c r="J136" s="208">
        <v>4580</v>
      </c>
      <c r="K136" s="208">
        <v>0</v>
      </c>
      <c r="L136" s="208">
        <v>0</v>
      </c>
      <c r="M136" s="208">
        <v>0</v>
      </c>
      <c r="N136" s="208">
        <v>4580</v>
      </c>
    </row>
    <row r="137" spans="1:14" ht="13.5" thickBot="1" x14ac:dyDescent="0.25">
      <c r="A137" s="48" t="s">
        <v>686</v>
      </c>
      <c r="B137" s="224" t="s">
        <v>685</v>
      </c>
      <c r="C137" s="48" t="s">
        <v>17</v>
      </c>
      <c r="D137" s="226">
        <v>5635</v>
      </c>
      <c r="E137" s="208">
        <v>0</v>
      </c>
      <c r="F137" s="208">
        <v>0</v>
      </c>
      <c r="G137" s="208">
        <v>0</v>
      </c>
      <c r="H137" s="208">
        <v>0</v>
      </c>
      <c r="I137" s="208">
        <v>0</v>
      </c>
      <c r="J137" s="208">
        <v>0</v>
      </c>
      <c r="K137" s="208">
        <v>0</v>
      </c>
      <c r="L137" s="208">
        <v>0</v>
      </c>
      <c r="M137" s="208">
        <v>0</v>
      </c>
      <c r="N137" s="208">
        <v>0</v>
      </c>
    </row>
    <row r="138" spans="1:14" ht="13.5" thickBot="1" x14ac:dyDescent="0.25">
      <c r="A138" s="48" t="s">
        <v>708</v>
      </c>
      <c r="B138" s="224" t="s">
        <v>707</v>
      </c>
      <c r="C138" s="48" t="s">
        <v>17</v>
      </c>
      <c r="D138" s="226">
        <v>4046</v>
      </c>
      <c r="E138" s="208">
        <v>0</v>
      </c>
      <c r="F138" s="208">
        <v>0</v>
      </c>
      <c r="G138" s="208">
        <v>0</v>
      </c>
      <c r="H138" s="208">
        <v>0</v>
      </c>
      <c r="I138" s="208">
        <v>0</v>
      </c>
      <c r="J138" s="208">
        <v>0</v>
      </c>
      <c r="K138" s="208">
        <v>3350</v>
      </c>
      <c r="L138" s="208">
        <v>0</v>
      </c>
      <c r="M138" s="208">
        <v>0</v>
      </c>
      <c r="N138" s="208">
        <v>3350</v>
      </c>
    </row>
    <row r="139" spans="1:14" ht="13.5" thickBot="1" x14ac:dyDescent="0.25">
      <c r="A139" s="48" t="s">
        <v>720</v>
      </c>
      <c r="B139" s="224" t="s">
        <v>719</v>
      </c>
      <c r="C139" s="48" t="s">
        <v>17</v>
      </c>
      <c r="D139" s="226">
        <v>5479</v>
      </c>
      <c r="E139" s="208">
        <v>0</v>
      </c>
      <c r="F139" s="208">
        <v>0</v>
      </c>
      <c r="G139" s="208">
        <v>0</v>
      </c>
      <c r="H139" s="208">
        <v>0</v>
      </c>
      <c r="I139" s="208">
        <v>0</v>
      </c>
      <c r="J139" s="208">
        <v>14075</v>
      </c>
      <c r="K139" s="208">
        <v>738</v>
      </c>
      <c r="L139" s="208">
        <v>10000</v>
      </c>
      <c r="M139" s="208">
        <v>0</v>
      </c>
      <c r="N139" s="208">
        <v>24813</v>
      </c>
    </row>
    <row r="140" spans="1:14" ht="13.5" thickBot="1" x14ac:dyDescent="0.25">
      <c r="A140" s="48" t="s">
        <v>728</v>
      </c>
      <c r="B140" s="224" t="s">
        <v>727</v>
      </c>
      <c r="C140" s="48" t="s">
        <v>17</v>
      </c>
      <c r="D140" s="226">
        <v>6680</v>
      </c>
      <c r="E140" s="208">
        <v>0</v>
      </c>
      <c r="F140" s="208">
        <v>0</v>
      </c>
      <c r="G140" s="208">
        <v>0</v>
      </c>
      <c r="H140" s="208">
        <v>0</v>
      </c>
      <c r="I140" s="208">
        <v>0</v>
      </c>
      <c r="J140" s="208">
        <v>0</v>
      </c>
      <c r="K140" s="208">
        <v>0</v>
      </c>
      <c r="L140" s="208">
        <v>300</v>
      </c>
      <c r="M140" s="208">
        <v>0</v>
      </c>
      <c r="N140" s="208">
        <v>300</v>
      </c>
    </row>
    <row r="141" spans="1:14" ht="13.5" thickBot="1" x14ac:dyDescent="0.25">
      <c r="A141" s="48" t="s">
        <v>736</v>
      </c>
      <c r="B141" s="224" t="s">
        <v>735</v>
      </c>
      <c r="C141" s="48" t="s">
        <v>17</v>
      </c>
      <c r="D141" s="226">
        <v>6033</v>
      </c>
      <c r="E141" s="208">
        <v>0</v>
      </c>
      <c r="F141" s="208">
        <v>4836</v>
      </c>
      <c r="G141" s="208">
        <v>0</v>
      </c>
      <c r="H141" s="208">
        <v>0</v>
      </c>
      <c r="I141" s="208">
        <v>4836</v>
      </c>
      <c r="J141" s="208">
        <v>0</v>
      </c>
      <c r="K141" s="208">
        <v>4169</v>
      </c>
      <c r="L141" s="208">
        <v>0</v>
      </c>
      <c r="M141" s="208">
        <v>0</v>
      </c>
      <c r="N141" s="208">
        <v>4169</v>
      </c>
    </row>
    <row r="142" spans="1:14" ht="13.5" thickBot="1" x14ac:dyDescent="0.25">
      <c r="A142" s="48" t="s">
        <v>744</v>
      </c>
      <c r="B142" s="224" t="s">
        <v>743</v>
      </c>
      <c r="C142" s="48" t="s">
        <v>17</v>
      </c>
      <c r="D142" s="226">
        <v>4576</v>
      </c>
      <c r="E142" s="208">
        <v>0</v>
      </c>
      <c r="F142" s="208">
        <v>0</v>
      </c>
      <c r="G142" s="208">
        <v>0</v>
      </c>
      <c r="H142" s="208">
        <v>0</v>
      </c>
      <c r="I142" s="208">
        <v>0</v>
      </c>
      <c r="J142" s="208">
        <v>0</v>
      </c>
      <c r="K142" s="208">
        <v>9260</v>
      </c>
      <c r="L142" s="203">
        <v>0</v>
      </c>
      <c r="M142" s="208">
        <v>19070</v>
      </c>
      <c r="N142" s="208">
        <v>28330</v>
      </c>
    </row>
    <row r="143" spans="1:14" ht="13.5" thickBot="1" x14ac:dyDescent="0.25">
      <c r="A143" s="48" t="s">
        <v>758</v>
      </c>
      <c r="B143" s="224" t="s">
        <v>757</v>
      </c>
      <c r="C143" s="48" t="s">
        <v>17</v>
      </c>
      <c r="D143" s="226">
        <v>4757</v>
      </c>
      <c r="E143" s="208">
        <v>0</v>
      </c>
      <c r="F143" s="208">
        <v>0</v>
      </c>
      <c r="G143" s="208">
        <v>0</v>
      </c>
      <c r="H143" s="208">
        <v>0</v>
      </c>
      <c r="I143" s="208">
        <v>0</v>
      </c>
      <c r="J143" s="208">
        <v>1357</v>
      </c>
      <c r="K143" s="203">
        <v>0</v>
      </c>
      <c r="L143" s="208">
        <v>5136</v>
      </c>
      <c r="M143" s="203">
        <v>0</v>
      </c>
      <c r="N143" s="208">
        <v>6493</v>
      </c>
    </row>
    <row r="144" spans="1:14" ht="13.5" thickBot="1" x14ac:dyDescent="0.25">
      <c r="A144" s="48" t="s">
        <v>764</v>
      </c>
      <c r="B144" s="224" t="s">
        <v>763</v>
      </c>
      <c r="C144" s="48" t="s">
        <v>17</v>
      </c>
      <c r="D144" s="226">
        <v>4614</v>
      </c>
      <c r="E144" s="208">
        <v>0</v>
      </c>
      <c r="F144" s="208">
        <v>0</v>
      </c>
      <c r="G144" s="208">
        <v>0</v>
      </c>
      <c r="H144" s="208">
        <v>0</v>
      </c>
      <c r="I144" s="208">
        <v>0</v>
      </c>
      <c r="J144" s="208">
        <v>0</v>
      </c>
      <c r="K144" s="208">
        <v>0</v>
      </c>
      <c r="L144" s="208">
        <v>0</v>
      </c>
      <c r="M144" s="208">
        <v>0</v>
      </c>
      <c r="N144" s="208">
        <v>0</v>
      </c>
    </row>
    <row r="145" spans="1:14" ht="13.5" thickBot="1" x14ac:dyDescent="0.25">
      <c r="A145" s="48" t="s">
        <v>774</v>
      </c>
      <c r="B145" s="224" t="s">
        <v>773</v>
      </c>
      <c r="C145" s="48" t="s">
        <v>17</v>
      </c>
      <c r="D145" s="226">
        <v>6999</v>
      </c>
      <c r="E145" s="208">
        <v>0</v>
      </c>
      <c r="F145" s="208">
        <v>0</v>
      </c>
      <c r="G145" s="208">
        <v>0</v>
      </c>
      <c r="H145" s="208">
        <v>0</v>
      </c>
      <c r="I145" s="208">
        <v>0</v>
      </c>
      <c r="J145" s="208">
        <v>0</v>
      </c>
      <c r="K145" s="208">
        <v>0</v>
      </c>
      <c r="L145" s="208">
        <v>0</v>
      </c>
      <c r="M145" s="208">
        <v>0</v>
      </c>
      <c r="N145" s="208">
        <v>0</v>
      </c>
    </row>
    <row r="146" spans="1:14" ht="13.5" thickBot="1" x14ac:dyDescent="0.25">
      <c r="A146" s="48" t="s">
        <v>784</v>
      </c>
      <c r="B146" s="224" t="s">
        <v>783</v>
      </c>
      <c r="C146" s="48" t="s">
        <v>17</v>
      </c>
      <c r="D146" s="226">
        <v>4837</v>
      </c>
      <c r="E146" s="208">
        <v>0</v>
      </c>
      <c r="F146" s="208">
        <v>0</v>
      </c>
      <c r="G146" s="208">
        <v>0</v>
      </c>
      <c r="H146" s="208">
        <v>1713</v>
      </c>
      <c r="I146" s="208">
        <v>1713</v>
      </c>
      <c r="J146" s="203">
        <v>0</v>
      </c>
      <c r="K146" s="208">
        <v>969</v>
      </c>
      <c r="L146" s="203">
        <v>0</v>
      </c>
      <c r="M146" s="208">
        <v>1744</v>
      </c>
      <c r="N146" s="208">
        <v>2713</v>
      </c>
    </row>
    <row r="147" spans="1:14" ht="13.5" thickBot="1" x14ac:dyDescent="0.25">
      <c r="A147" s="48" t="s">
        <v>802</v>
      </c>
      <c r="B147" s="224" t="s">
        <v>801</v>
      </c>
      <c r="C147" s="48" t="s">
        <v>17</v>
      </c>
      <c r="D147" s="226">
        <v>5240</v>
      </c>
      <c r="E147" s="208">
        <v>0</v>
      </c>
      <c r="F147" s="208">
        <v>0</v>
      </c>
      <c r="G147" s="208">
        <v>0</v>
      </c>
      <c r="H147" s="208">
        <v>0</v>
      </c>
      <c r="I147" s="208">
        <v>0</v>
      </c>
      <c r="J147" s="208">
        <v>0</v>
      </c>
      <c r="K147" s="208">
        <v>1012</v>
      </c>
      <c r="L147" s="208">
        <v>2993</v>
      </c>
      <c r="M147" s="208">
        <v>0</v>
      </c>
      <c r="N147" s="208">
        <v>4005</v>
      </c>
    </row>
    <row r="148" spans="1:14" ht="13.5" thickBot="1" x14ac:dyDescent="0.25">
      <c r="A148" s="48" t="s">
        <v>24</v>
      </c>
      <c r="B148" s="224" t="s">
        <v>23</v>
      </c>
      <c r="C148" s="48" t="s">
        <v>25</v>
      </c>
      <c r="D148" s="226">
        <v>7410</v>
      </c>
      <c r="E148" s="208">
        <v>0</v>
      </c>
      <c r="F148" s="208">
        <v>0</v>
      </c>
      <c r="G148" s="208">
        <v>0</v>
      </c>
      <c r="H148" s="208">
        <v>0</v>
      </c>
      <c r="I148" s="208">
        <v>0</v>
      </c>
      <c r="J148" s="208">
        <v>14717</v>
      </c>
      <c r="K148" s="208">
        <v>0</v>
      </c>
      <c r="L148" s="208">
        <v>833</v>
      </c>
      <c r="M148" s="208">
        <v>0</v>
      </c>
      <c r="N148" s="208">
        <v>15550</v>
      </c>
    </row>
    <row r="149" spans="1:14" ht="13.5" thickBot="1" x14ac:dyDescent="0.25">
      <c r="A149" s="48" t="s">
        <v>27</v>
      </c>
      <c r="B149" s="224" t="s">
        <v>26</v>
      </c>
      <c r="C149" s="48" t="s">
        <v>25</v>
      </c>
      <c r="D149" s="226">
        <v>11600</v>
      </c>
      <c r="E149" s="208">
        <v>0</v>
      </c>
      <c r="F149" s="208">
        <v>0</v>
      </c>
      <c r="G149" s="208">
        <v>0</v>
      </c>
      <c r="H149" s="208">
        <v>0</v>
      </c>
      <c r="I149" s="208">
        <v>0</v>
      </c>
      <c r="J149" s="208">
        <v>0</v>
      </c>
      <c r="K149" s="208">
        <v>1267</v>
      </c>
      <c r="L149" s="208">
        <v>0</v>
      </c>
      <c r="M149" s="208">
        <v>0</v>
      </c>
      <c r="N149" s="208">
        <v>1267</v>
      </c>
    </row>
    <row r="150" spans="1:14" ht="13.5" thickBot="1" x14ac:dyDescent="0.25">
      <c r="A150" s="48" t="s">
        <v>29</v>
      </c>
      <c r="B150" s="224" t="s">
        <v>28</v>
      </c>
      <c r="C150" s="48" t="s">
        <v>25</v>
      </c>
      <c r="D150" s="226">
        <v>11569</v>
      </c>
      <c r="E150" s="208">
        <v>0</v>
      </c>
      <c r="F150" s="208">
        <v>0</v>
      </c>
      <c r="G150" s="208">
        <v>0</v>
      </c>
      <c r="H150" s="208">
        <v>0</v>
      </c>
      <c r="I150" s="208">
        <v>0</v>
      </c>
      <c r="J150" s="208">
        <v>0</v>
      </c>
      <c r="K150" s="208">
        <v>0</v>
      </c>
      <c r="L150" s="208">
        <v>0</v>
      </c>
      <c r="M150" s="208">
        <v>0</v>
      </c>
      <c r="N150" s="208">
        <v>0</v>
      </c>
    </row>
    <row r="151" spans="1:14" ht="13.5" thickBot="1" x14ac:dyDescent="0.25">
      <c r="A151" s="48" t="s">
        <v>31</v>
      </c>
      <c r="B151" s="224" t="s">
        <v>30</v>
      </c>
      <c r="C151" s="48" t="s">
        <v>25</v>
      </c>
      <c r="D151" s="226">
        <v>9706</v>
      </c>
      <c r="E151" s="208">
        <v>0</v>
      </c>
      <c r="F151" s="208">
        <v>0</v>
      </c>
      <c r="G151" s="208">
        <v>0</v>
      </c>
      <c r="H151" s="208">
        <v>0</v>
      </c>
      <c r="I151" s="208">
        <v>0</v>
      </c>
      <c r="J151" s="208">
        <v>12687</v>
      </c>
      <c r="K151" s="208">
        <v>5269</v>
      </c>
      <c r="L151" s="208">
        <v>1956</v>
      </c>
      <c r="M151" s="203">
        <v>0</v>
      </c>
      <c r="N151" s="208">
        <v>19912</v>
      </c>
    </row>
    <row r="152" spans="1:14" ht="13.5" thickBot="1" x14ac:dyDescent="0.25">
      <c r="A152" s="48" t="s">
        <v>43</v>
      </c>
      <c r="B152" s="224" t="s">
        <v>42</v>
      </c>
      <c r="C152" s="48" t="s">
        <v>25</v>
      </c>
      <c r="D152" s="226">
        <v>11902</v>
      </c>
      <c r="E152" s="208">
        <v>0</v>
      </c>
      <c r="F152" s="208">
        <v>0</v>
      </c>
      <c r="G152" s="208">
        <v>0</v>
      </c>
      <c r="H152" s="208">
        <v>0</v>
      </c>
      <c r="I152" s="208">
        <v>0</v>
      </c>
      <c r="J152" s="208">
        <v>0</v>
      </c>
      <c r="K152" s="208">
        <v>0</v>
      </c>
      <c r="L152" s="208">
        <v>0</v>
      </c>
      <c r="M152" s="208">
        <v>0</v>
      </c>
      <c r="N152" s="208">
        <v>0</v>
      </c>
    </row>
    <row r="153" spans="1:14" ht="13.5" thickBot="1" x14ac:dyDescent="0.25">
      <c r="A153" s="48" t="s">
        <v>51</v>
      </c>
      <c r="B153" s="224" t="s">
        <v>50</v>
      </c>
      <c r="C153" s="48" t="s">
        <v>25</v>
      </c>
      <c r="D153" s="226">
        <v>11000</v>
      </c>
      <c r="E153" s="208">
        <v>0</v>
      </c>
      <c r="F153" s="208">
        <v>0</v>
      </c>
      <c r="G153" s="208">
        <v>0</v>
      </c>
      <c r="H153" s="208">
        <v>0</v>
      </c>
      <c r="I153" s="208">
        <v>0</v>
      </c>
      <c r="J153" s="208">
        <v>19591</v>
      </c>
      <c r="K153" s="208">
        <v>3017</v>
      </c>
      <c r="L153" s="208">
        <v>86217</v>
      </c>
      <c r="M153" s="208">
        <v>0</v>
      </c>
      <c r="N153" s="208">
        <v>108825</v>
      </c>
    </row>
    <row r="154" spans="1:14" ht="13.5" thickBot="1" x14ac:dyDescent="0.25">
      <c r="A154" s="48" t="s">
        <v>66</v>
      </c>
      <c r="B154" s="224" t="s">
        <v>65</v>
      </c>
      <c r="C154" s="48" t="s">
        <v>25</v>
      </c>
      <c r="D154" s="226">
        <v>7172</v>
      </c>
      <c r="E154" s="208">
        <v>0</v>
      </c>
      <c r="F154" s="208">
        <v>0</v>
      </c>
      <c r="G154" s="208">
        <v>0</v>
      </c>
      <c r="H154" s="208">
        <v>0</v>
      </c>
      <c r="I154" s="208">
        <v>0</v>
      </c>
      <c r="J154" s="208">
        <v>0</v>
      </c>
      <c r="K154" s="208">
        <v>0</v>
      </c>
      <c r="L154" s="208">
        <v>0</v>
      </c>
      <c r="M154" s="208">
        <v>0</v>
      </c>
      <c r="N154" s="208">
        <v>0</v>
      </c>
    </row>
    <row r="155" spans="1:14" ht="13.5" thickBot="1" x14ac:dyDescent="0.25">
      <c r="A155" s="48" t="s">
        <v>76</v>
      </c>
      <c r="B155" s="224" t="s">
        <v>75</v>
      </c>
      <c r="C155" s="48" t="s">
        <v>25</v>
      </c>
      <c r="D155" s="226">
        <v>11598</v>
      </c>
      <c r="E155" s="208">
        <v>0</v>
      </c>
      <c r="F155" s="208">
        <v>0</v>
      </c>
      <c r="G155" s="208">
        <v>0</v>
      </c>
      <c r="H155" s="208">
        <v>0</v>
      </c>
      <c r="I155" s="208">
        <v>0</v>
      </c>
      <c r="J155" s="208">
        <v>12824</v>
      </c>
      <c r="K155" s="208">
        <v>2147</v>
      </c>
      <c r="L155" s="208">
        <v>9500</v>
      </c>
      <c r="M155" s="208">
        <v>0</v>
      </c>
      <c r="N155" s="208">
        <v>24471</v>
      </c>
    </row>
    <row r="156" spans="1:14" ht="13.5" thickBot="1" x14ac:dyDescent="0.25">
      <c r="A156" s="48" t="s">
        <v>96</v>
      </c>
      <c r="B156" s="224" t="s">
        <v>95</v>
      </c>
      <c r="C156" s="48" t="s">
        <v>25</v>
      </c>
      <c r="D156" s="226">
        <v>9197</v>
      </c>
      <c r="E156" s="208">
        <v>0</v>
      </c>
      <c r="F156" s="208">
        <v>0</v>
      </c>
      <c r="G156" s="208">
        <v>0</v>
      </c>
      <c r="H156" s="208">
        <v>0</v>
      </c>
      <c r="I156" s="208">
        <v>0</v>
      </c>
      <c r="J156" s="203">
        <v>0</v>
      </c>
      <c r="K156" s="203">
        <v>0</v>
      </c>
      <c r="L156" s="203">
        <v>0</v>
      </c>
      <c r="M156" s="203">
        <v>0</v>
      </c>
      <c r="N156" s="203">
        <v>0</v>
      </c>
    </row>
    <row r="157" spans="1:14" ht="13.5" thickBot="1" x14ac:dyDescent="0.25">
      <c r="A157" s="48" t="s">
        <v>106</v>
      </c>
      <c r="B157" s="224" t="s">
        <v>105</v>
      </c>
      <c r="C157" s="48" t="s">
        <v>25</v>
      </c>
      <c r="D157" s="226">
        <v>11825</v>
      </c>
      <c r="E157" s="208">
        <v>0</v>
      </c>
      <c r="F157" s="208">
        <v>0</v>
      </c>
      <c r="G157" s="208">
        <v>0</v>
      </c>
      <c r="H157" s="208">
        <v>0</v>
      </c>
      <c r="I157" s="208">
        <v>0</v>
      </c>
      <c r="J157" s="208">
        <v>0</v>
      </c>
      <c r="K157" s="208">
        <v>0</v>
      </c>
      <c r="L157" s="208">
        <v>0</v>
      </c>
      <c r="M157" s="208">
        <v>0</v>
      </c>
      <c r="N157" s="208">
        <v>0</v>
      </c>
    </row>
    <row r="158" spans="1:14" ht="13.5" thickBot="1" x14ac:dyDescent="0.25">
      <c r="A158" s="48" t="s">
        <v>110</v>
      </c>
      <c r="B158" s="224" t="s">
        <v>109</v>
      </c>
      <c r="C158" s="48" t="s">
        <v>25</v>
      </c>
      <c r="D158" s="226">
        <v>7226</v>
      </c>
      <c r="E158" s="208">
        <v>0</v>
      </c>
      <c r="F158" s="208">
        <v>0</v>
      </c>
      <c r="G158" s="208">
        <v>0</v>
      </c>
      <c r="H158" s="208">
        <v>0</v>
      </c>
      <c r="I158" s="208">
        <v>0</v>
      </c>
      <c r="J158" s="208">
        <v>4000</v>
      </c>
      <c r="K158" s="208">
        <v>8000</v>
      </c>
      <c r="L158" s="208">
        <v>35819</v>
      </c>
      <c r="M158" s="208">
        <v>0</v>
      </c>
      <c r="N158" s="208">
        <v>47819</v>
      </c>
    </row>
    <row r="159" spans="1:14" ht="13.5" thickBot="1" x14ac:dyDescent="0.25">
      <c r="A159" s="48" t="s">
        <v>128</v>
      </c>
      <c r="B159" s="224" t="s">
        <v>127</v>
      </c>
      <c r="C159" s="48" t="s">
        <v>25</v>
      </c>
      <c r="D159" s="226">
        <v>10090</v>
      </c>
      <c r="E159" s="208">
        <v>0</v>
      </c>
      <c r="F159" s="208">
        <v>0</v>
      </c>
      <c r="G159" s="208">
        <v>0</v>
      </c>
      <c r="H159" s="208">
        <v>1650</v>
      </c>
      <c r="I159" s="208">
        <v>1650</v>
      </c>
      <c r="J159" s="208">
        <v>390</v>
      </c>
      <c r="K159" s="208">
        <v>3081</v>
      </c>
      <c r="L159" s="208">
        <v>188048</v>
      </c>
      <c r="M159" s="203">
        <v>0</v>
      </c>
      <c r="N159" s="208">
        <v>191519</v>
      </c>
    </row>
    <row r="160" spans="1:14" ht="13.5" thickBot="1" x14ac:dyDescent="0.25">
      <c r="A160" s="48" t="s">
        <v>130</v>
      </c>
      <c r="B160" s="224" t="s">
        <v>129</v>
      </c>
      <c r="C160" s="48" t="s">
        <v>25</v>
      </c>
      <c r="D160" s="226">
        <v>9705</v>
      </c>
      <c r="E160" s="208">
        <v>0</v>
      </c>
      <c r="F160" s="208">
        <v>0</v>
      </c>
      <c r="G160" s="208">
        <v>0</v>
      </c>
      <c r="H160" s="208">
        <v>0</v>
      </c>
      <c r="I160" s="208">
        <v>0</v>
      </c>
      <c r="J160" s="208">
        <v>16180</v>
      </c>
      <c r="K160" s="208">
        <v>2793</v>
      </c>
      <c r="L160" s="208">
        <v>16</v>
      </c>
      <c r="M160" s="203">
        <v>0</v>
      </c>
      <c r="N160" s="208">
        <v>18989</v>
      </c>
    </row>
    <row r="161" spans="1:14" ht="13.5" thickBot="1" x14ac:dyDescent="0.25">
      <c r="A161" s="48" t="s">
        <v>136</v>
      </c>
      <c r="B161" s="224" t="s">
        <v>135</v>
      </c>
      <c r="C161" s="48" t="s">
        <v>25</v>
      </c>
      <c r="D161" s="226">
        <v>8692</v>
      </c>
      <c r="E161" s="208">
        <v>0</v>
      </c>
      <c r="F161" s="208">
        <v>0</v>
      </c>
      <c r="G161" s="208">
        <v>0</v>
      </c>
      <c r="H161" s="208">
        <v>0</v>
      </c>
      <c r="I161" s="208">
        <v>0</v>
      </c>
      <c r="J161" s="203">
        <v>0</v>
      </c>
      <c r="K161" s="203">
        <v>0</v>
      </c>
      <c r="L161" s="203">
        <v>0</v>
      </c>
      <c r="M161" s="203">
        <v>0</v>
      </c>
      <c r="N161" s="203">
        <v>0</v>
      </c>
    </row>
    <row r="162" spans="1:14" ht="13.5" thickBot="1" x14ac:dyDescent="0.25">
      <c r="A162" s="48" t="s">
        <v>144</v>
      </c>
      <c r="B162" s="224" t="s">
        <v>143</v>
      </c>
      <c r="C162" s="48" t="s">
        <v>25</v>
      </c>
      <c r="D162" s="226">
        <v>11833</v>
      </c>
      <c r="E162" s="208">
        <v>0</v>
      </c>
      <c r="F162" s="208">
        <v>0</v>
      </c>
      <c r="G162" s="208">
        <v>0</v>
      </c>
      <c r="H162" s="208">
        <v>0</v>
      </c>
      <c r="I162" s="208">
        <v>0</v>
      </c>
      <c r="J162" s="208">
        <v>0</v>
      </c>
      <c r="K162" s="208">
        <v>0</v>
      </c>
      <c r="L162" s="208">
        <v>5879</v>
      </c>
      <c r="M162" s="208">
        <v>0</v>
      </c>
      <c r="N162" s="208">
        <v>5879</v>
      </c>
    </row>
    <row r="163" spans="1:14" ht="13.5" thickBot="1" x14ac:dyDescent="0.25">
      <c r="A163" s="48" t="s">
        <v>148</v>
      </c>
      <c r="B163" s="224" t="s">
        <v>147</v>
      </c>
      <c r="C163" s="48" t="s">
        <v>25</v>
      </c>
      <c r="D163" s="226">
        <v>10857</v>
      </c>
      <c r="E163" s="208">
        <v>0</v>
      </c>
      <c r="F163" s="208">
        <v>0</v>
      </c>
      <c r="G163" s="208">
        <v>0</v>
      </c>
      <c r="H163" s="208">
        <v>0</v>
      </c>
      <c r="I163" s="208">
        <v>0</v>
      </c>
      <c r="J163" s="208">
        <v>0</v>
      </c>
      <c r="K163" s="208">
        <v>0</v>
      </c>
      <c r="L163" s="208">
        <v>0</v>
      </c>
      <c r="M163" s="208">
        <v>0</v>
      </c>
      <c r="N163" s="208">
        <v>0</v>
      </c>
    </row>
    <row r="164" spans="1:14" ht="13.5" thickBot="1" x14ac:dyDescent="0.25">
      <c r="A164" s="48" t="s">
        <v>152</v>
      </c>
      <c r="B164" s="224" t="s">
        <v>151</v>
      </c>
      <c r="C164" s="48" t="s">
        <v>25</v>
      </c>
      <c r="D164" s="226">
        <v>9483</v>
      </c>
      <c r="E164" s="208">
        <v>0</v>
      </c>
      <c r="F164" s="208">
        <v>0</v>
      </c>
      <c r="G164" s="208">
        <v>7700</v>
      </c>
      <c r="H164" s="208">
        <v>0</v>
      </c>
      <c r="I164" s="208">
        <v>7700</v>
      </c>
      <c r="J164" s="208">
        <v>0</v>
      </c>
      <c r="K164" s="208">
        <v>0</v>
      </c>
      <c r="L164" s="208">
        <v>0</v>
      </c>
      <c r="M164" s="208">
        <v>24155</v>
      </c>
      <c r="N164" s="208">
        <v>24155</v>
      </c>
    </row>
    <row r="165" spans="1:14" ht="13.5" thickBot="1" x14ac:dyDescent="0.25">
      <c r="A165" s="48" t="s">
        <v>154</v>
      </c>
      <c r="B165" s="224" t="s">
        <v>153</v>
      </c>
      <c r="C165" s="48" t="s">
        <v>25</v>
      </c>
      <c r="D165" s="226">
        <v>8257</v>
      </c>
      <c r="E165" s="208">
        <v>0</v>
      </c>
      <c r="F165" s="208">
        <v>0</v>
      </c>
      <c r="G165" s="208">
        <v>0</v>
      </c>
      <c r="H165" s="208">
        <v>0</v>
      </c>
      <c r="I165" s="208">
        <v>0</v>
      </c>
      <c r="J165" s="208">
        <v>0</v>
      </c>
      <c r="K165" s="208">
        <v>0</v>
      </c>
      <c r="L165" s="208">
        <v>0</v>
      </c>
      <c r="M165" s="208">
        <v>0</v>
      </c>
      <c r="N165" s="208">
        <v>0</v>
      </c>
    </row>
    <row r="166" spans="1:14" ht="13.5" thickBot="1" x14ac:dyDescent="0.25">
      <c r="A166" s="48" t="s">
        <v>160</v>
      </c>
      <c r="B166" s="224" t="s">
        <v>159</v>
      </c>
      <c r="C166" s="48" t="s">
        <v>25</v>
      </c>
      <c r="D166" s="226">
        <v>9810</v>
      </c>
      <c r="E166" s="208">
        <v>0</v>
      </c>
      <c r="F166" s="208">
        <v>0</v>
      </c>
      <c r="G166" s="208">
        <v>0</v>
      </c>
      <c r="H166" s="208">
        <v>0</v>
      </c>
      <c r="I166" s="208">
        <v>0</v>
      </c>
      <c r="J166" s="208">
        <v>3500</v>
      </c>
      <c r="K166" s="208">
        <v>40569</v>
      </c>
      <c r="L166" s="208">
        <v>0</v>
      </c>
      <c r="M166" s="208">
        <v>0</v>
      </c>
      <c r="N166" s="208">
        <v>44069</v>
      </c>
    </row>
    <row r="167" spans="1:14" ht="13.5" thickBot="1" x14ac:dyDescent="0.25">
      <c r="A167" s="48" t="s">
        <v>196</v>
      </c>
      <c r="B167" s="224" t="s">
        <v>195</v>
      </c>
      <c r="C167" s="48" t="s">
        <v>25</v>
      </c>
      <c r="D167" s="226">
        <v>11862</v>
      </c>
      <c r="E167" s="208">
        <v>0</v>
      </c>
      <c r="F167" s="208">
        <v>0</v>
      </c>
      <c r="G167" s="208">
        <v>0</v>
      </c>
      <c r="H167" s="208">
        <v>0</v>
      </c>
      <c r="I167" s="208">
        <v>0</v>
      </c>
      <c r="J167" s="208">
        <v>0</v>
      </c>
      <c r="K167" s="208">
        <v>3982.94</v>
      </c>
      <c r="L167" s="208">
        <v>4566</v>
      </c>
      <c r="M167" s="208">
        <v>1460.16</v>
      </c>
      <c r="N167" s="208">
        <v>10009.1</v>
      </c>
    </row>
    <row r="168" spans="1:14" ht="13.5" thickBot="1" x14ac:dyDescent="0.25">
      <c r="A168" s="48" t="s">
        <v>220</v>
      </c>
      <c r="B168" s="224" t="s">
        <v>219</v>
      </c>
      <c r="C168" s="48" t="s">
        <v>25</v>
      </c>
      <c r="D168" s="226">
        <v>10021</v>
      </c>
      <c r="E168" s="208">
        <v>0</v>
      </c>
      <c r="F168" s="208">
        <v>0</v>
      </c>
      <c r="G168" s="208">
        <v>0</v>
      </c>
      <c r="H168" s="208">
        <v>0</v>
      </c>
      <c r="I168" s="208">
        <v>0</v>
      </c>
      <c r="J168" s="208">
        <v>0</v>
      </c>
      <c r="K168" s="208">
        <v>0</v>
      </c>
      <c r="L168" s="208">
        <v>0</v>
      </c>
      <c r="M168" s="208">
        <v>0</v>
      </c>
      <c r="N168" s="208">
        <v>0</v>
      </c>
    </row>
    <row r="169" spans="1:14" ht="13.5" thickBot="1" x14ac:dyDescent="0.25">
      <c r="A169" s="48" t="s">
        <v>232</v>
      </c>
      <c r="B169" s="224" t="s">
        <v>231</v>
      </c>
      <c r="C169" s="48" t="s">
        <v>25</v>
      </c>
      <c r="D169" s="226">
        <v>7439</v>
      </c>
      <c r="E169" s="208">
        <v>0</v>
      </c>
      <c r="F169" s="208">
        <v>0</v>
      </c>
      <c r="G169" s="208">
        <v>0</v>
      </c>
      <c r="H169" s="208">
        <v>0</v>
      </c>
      <c r="I169" s="208">
        <v>0</v>
      </c>
      <c r="J169" s="208">
        <v>0</v>
      </c>
      <c r="K169" s="208">
        <v>0</v>
      </c>
      <c r="L169" s="208">
        <v>0</v>
      </c>
      <c r="M169" s="208">
        <v>0</v>
      </c>
      <c r="N169" s="208">
        <v>0</v>
      </c>
    </row>
    <row r="170" spans="1:14" ht="13.5" thickBot="1" x14ac:dyDescent="0.25">
      <c r="A170" s="48" t="s">
        <v>246</v>
      </c>
      <c r="B170" s="224" t="s">
        <v>245</v>
      </c>
      <c r="C170" s="48" t="s">
        <v>25</v>
      </c>
      <c r="D170" s="226">
        <v>7392</v>
      </c>
      <c r="E170" s="208">
        <v>0</v>
      </c>
      <c r="F170" s="208">
        <v>0</v>
      </c>
      <c r="G170" s="208">
        <v>0</v>
      </c>
      <c r="H170" s="208">
        <v>0</v>
      </c>
      <c r="I170" s="208">
        <v>0</v>
      </c>
      <c r="J170" s="208">
        <v>3759</v>
      </c>
      <c r="K170" s="208">
        <v>337</v>
      </c>
      <c r="L170" s="208">
        <v>24101</v>
      </c>
      <c r="M170" s="203">
        <v>0</v>
      </c>
      <c r="N170" s="208">
        <v>28197</v>
      </c>
    </row>
    <row r="171" spans="1:14" ht="13.5" thickBot="1" x14ac:dyDescent="0.25">
      <c r="A171" s="48" t="s">
        <v>250</v>
      </c>
      <c r="B171" s="224" t="s">
        <v>249</v>
      </c>
      <c r="C171" s="48" t="s">
        <v>25</v>
      </c>
      <c r="D171" s="226">
        <v>9512</v>
      </c>
      <c r="E171" s="208">
        <v>0</v>
      </c>
      <c r="F171" s="208">
        <v>0</v>
      </c>
      <c r="G171" s="208">
        <v>0</v>
      </c>
      <c r="H171" s="208">
        <v>0</v>
      </c>
      <c r="I171" s="208">
        <v>0</v>
      </c>
      <c r="J171" s="203">
        <v>0</v>
      </c>
      <c r="K171" s="203">
        <v>0</v>
      </c>
      <c r="L171" s="203">
        <v>0</v>
      </c>
      <c r="M171" s="203">
        <v>0</v>
      </c>
      <c r="N171" s="203">
        <v>0</v>
      </c>
    </row>
    <row r="172" spans="1:14" ht="13.5" thickBot="1" x14ac:dyDescent="0.25">
      <c r="A172" s="48" t="s">
        <v>262</v>
      </c>
      <c r="B172" s="224" t="s">
        <v>261</v>
      </c>
      <c r="C172" s="48" t="s">
        <v>25</v>
      </c>
      <c r="D172" s="226">
        <v>7717</v>
      </c>
      <c r="E172" s="208">
        <v>0</v>
      </c>
      <c r="F172" s="208">
        <v>0</v>
      </c>
      <c r="G172" s="208">
        <v>0</v>
      </c>
      <c r="H172" s="208">
        <v>0</v>
      </c>
      <c r="I172" s="208">
        <v>0</v>
      </c>
      <c r="J172" s="203">
        <v>0</v>
      </c>
      <c r="K172" s="203">
        <v>0</v>
      </c>
      <c r="L172" s="203">
        <v>0</v>
      </c>
      <c r="M172" s="203">
        <v>0</v>
      </c>
      <c r="N172" s="203">
        <v>0</v>
      </c>
    </row>
    <row r="173" spans="1:14" ht="13.5" thickBot="1" x14ac:dyDescent="0.25">
      <c r="A173" s="48" t="s">
        <v>284</v>
      </c>
      <c r="B173" s="224" t="s">
        <v>283</v>
      </c>
      <c r="C173" s="48" t="s">
        <v>25</v>
      </c>
      <c r="D173" s="226">
        <v>7824</v>
      </c>
      <c r="E173" s="208">
        <v>0</v>
      </c>
      <c r="F173" s="208">
        <v>0</v>
      </c>
      <c r="G173" s="208">
        <v>0</v>
      </c>
      <c r="H173" s="208">
        <v>0</v>
      </c>
      <c r="I173" s="208">
        <v>0</v>
      </c>
      <c r="J173" s="208">
        <v>6601</v>
      </c>
      <c r="K173" s="208">
        <v>11336</v>
      </c>
      <c r="L173" s="208">
        <v>0</v>
      </c>
      <c r="M173" s="208">
        <v>0</v>
      </c>
      <c r="N173" s="208">
        <v>17937</v>
      </c>
    </row>
    <row r="174" spans="1:14" ht="13.5" thickBot="1" x14ac:dyDescent="0.25">
      <c r="A174" s="48" t="s">
        <v>296</v>
      </c>
      <c r="B174" s="224" t="s">
        <v>295</v>
      </c>
      <c r="C174" s="48" t="s">
        <v>25</v>
      </c>
      <c r="D174" s="226">
        <v>9476</v>
      </c>
      <c r="E174" s="208">
        <v>0</v>
      </c>
      <c r="F174" s="208">
        <v>0</v>
      </c>
      <c r="G174" s="208">
        <v>0</v>
      </c>
      <c r="H174" s="208">
        <v>0</v>
      </c>
      <c r="I174" s="208">
        <v>0</v>
      </c>
      <c r="J174" s="208">
        <v>28162</v>
      </c>
      <c r="K174" s="208">
        <v>2625</v>
      </c>
      <c r="L174" s="203">
        <v>0</v>
      </c>
      <c r="M174" s="208">
        <v>0</v>
      </c>
      <c r="N174" s="208">
        <v>30787</v>
      </c>
    </row>
    <row r="175" spans="1:14" ht="13.5" thickBot="1" x14ac:dyDescent="0.25">
      <c r="A175" s="48" t="s">
        <v>302</v>
      </c>
      <c r="B175" s="224" t="s">
        <v>301</v>
      </c>
      <c r="C175" s="48" t="s">
        <v>25</v>
      </c>
      <c r="D175" s="226">
        <v>10983</v>
      </c>
      <c r="E175" s="208">
        <v>0</v>
      </c>
      <c r="F175" s="208">
        <v>0</v>
      </c>
      <c r="G175" s="208">
        <v>34947</v>
      </c>
      <c r="H175" s="208">
        <v>0</v>
      </c>
      <c r="I175" s="208">
        <v>34947</v>
      </c>
      <c r="J175" s="208">
        <v>0</v>
      </c>
      <c r="K175" s="208">
        <v>34947</v>
      </c>
      <c r="L175" s="208">
        <v>0</v>
      </c>
      <c r="M175" s="208">
        <v>0</v>
      </c>
      <c r="N175" s="208">
        <v>34947</v>
      </c>
    </row>
    <row r="176" spans="1:14" ht="13.5" thickBot="1" x14ac:dyDescent="0.25">
      <c r="A176" s="48" t="s">
        <v>310</v>
      </c>
      <c r="B176" s="224" t="s">
        <v>309</v>
      </c>
      <c r="C176" s="48" t="s">
        <v>25</v>
      </c>
      <c r="D176" s="226">
        <v>11239</v>
      </c>
      <c r="E176" s="208">
        <v>0</v>
      </c>
      <c r="F176" s="208">
        <v>0</v>
      </c>
      <c r="G176" s="208">
        <v>0</v>
      </c>
      <c r="H176" s="208">
        <v>0</v>
      </c>
      <c r="I176" s="208">
        <v>0</v>
      </c>
      <c r="J176" s="203">
        <v>0</v>
      </c>
      <c r="K176" s="203">
        <v>0</v>
      </c>
      <c r="L176" s="203">
        <v>0</v>
      </c>
      <c r="M176" s="203">
        <v>0</v>
      </c>
      <c r="N176" s="203">
        <v>0</v>
      </c>
    </row>
    <row r="177" spans="1:14" ht="13.5" thickBot="1" x14ac:dyDescent="0.25">
      <c r="A177" s="48" t="s">
        <v>324</v>
      </c>
      <c r="B177" s="224" t="s">
        <v>323</v>
      </c>
      <c r="C177" s="48" t="s">
        <v>25</v>
      </c>
      <c r="D177" s="226">
        <v>8875</v>
      </c>
      <c r="E177" s="208">
        <v>0</v>
      </c>
      <c r="F177" s="208">
        <v>0</v>
      </c>
      <c r="G177" s="208">
        <v>124948</v>
      </c>
      <c r="H177" s="208">
        <v>0</v>
      </c>
      <c r="I177" s="208">
        <v>124948</v>
      </c>
      <c r="J177" s="208">
        <v>0</v>
      </c>
      <c r="K177" s="208">
        <v>0</v>
      </c>
      <c r="L177" s="208">
        <v>0</v>
      </c>
      <c r="M177" s="208">
        <v>0</v>
      </c>
      <c r="N177" s="208">
        <v>0</v>
      </c>
    </row>
    <row r="178" spans="1:14" ht="13.5" thickBot="1" x14ac:dyDescent="0.25">
      <c r="A178" s="48" t="s">
        <v>342</v>
      </c>
      <c r="B178" s="224" t="s">
        <v>341</v>
      </c>
      <c r="C178" s="48" t="s">
        <v>25</v>
      </c>
      <c r="D178" s="226">
        <v>8133</v>
      </c>
      <c r="E178" s="208">
        <v>0</v>
      </c>
      <c r="F178" s="208">
        <v>0</v>
      </c>
      <c r="G178" s="208">
        <v>1450</v>
      </c>
      <c r="H178" s="208">
        <v>5000</v>
      </c>
      <c r="I178" s="208">
        <v>6450</v>
      </c>
      <c r="J178" s="208">
        <v>2900</v>
      </c>
      <c r="K178" s="208">
        <v>4500</v>
      </c>
      <c r="L178" s="208">
        <v>71500</v>
      </c>
      <c r="M178" s="208">
        <v>21428</v>
      </c>
      <c r="N178" s="208">
        <v>100328</v>
      </c>
    </row>
    <row r="179" spans="1:14" ht="13.5" thickBot="1" x14ac:dyDescent="0.25">
      <c r="A179" s="48" t="s">
        <v>350</v>
      </c>
      <c r="B179" s="224" t="s">
        <v>349</v>
      </c>
      <c r="C179" s="48" t="s">
        <v>25</v>
      </c>
      <c r="D179" s="226">
        <v>7135</v>
      </c>
      <c r="E179" s="208">
        <v>0</v>
      </c>
      <c r="F179" s="208">
        <v>0</v>
      </c>
      <c r="G179" s="208">
        <v>0</v>
      </c>
      <c r="H179" s="208">
        <v>0</v>
      </c>
      <c r="I179" s="208">
        <v>0</v>
      </c>
      <c r="J179" s="208">
        <v>0</v>
      </c>
      <c r="K179" s="208">
        <v>0</v>
      </c>
      <c r="L179" s="208">
        <v>0</v>
      </c>
      <c r="M179" s="208">
        <v>0</v>
      </c>
      <c r="N179" s="208">
        <v>0</v>
      </c>
    </row>
    <row r="180" spans="1:14" ht="13.5" thickBot="1" x14ac:dyDescent="0.25">
      <c r="A180" s="48" t="s">
        <v>358</v>
      </c>
      <c r="B180" s="224" t="s">
        <v>357</v>
      </c>
      <c r="C180" s="48" t="s">
        <v>25</v>
      </c>
      <c r="D180" s="226">
        <v>11870</v>
      </c>
      <c r="E180" s="208">
        <v>0</v>
      </c>
      <c r="F180" s="208">
        <v>0</v>
      </c>
      <c r="G180" s="208">
        <v>67365</v>
      </c>
      <c r="H180" s="208">
        <v>0</v>
      </c>
      <c r="I180" s="208">
        <v>67365</v>
      </c>
      <c r="J180" s="208">
        <v>6403</v>
      </c>
      <c r="K180" s="208">
        <v>300</v>
      </c>
      <c r="L180" s="208">
        <v>600</v>
      </c>
      <c r="M180" s="208">
        <v>8017</v>
      </c>
      <c r="N180" s="208">
        <v>15320</v>
      </c>
    </row>
    <row r="181" spans="1:14" ht="13.5" thickBot="1" x14ac:dyDescent="0.25">
      <c r="A181" s="48" t="s">
        <v>378</v>
      </c>
      <c r="B181" s="224" t="s">
        <v>377</v>
      </c>
      <c r="C181" s="48" t="s">
        <v>25</v>
      </c>
      <c r="D181" s="226">
        <v>8764</v>
      </c>
      <c r="E181" s="208">
        <v>0</v>
      </c>
      <c r="F181" s="208">
        <v>0</v>
      </c>
      <c r="G181" s="208">
        <v>0</v>
      </c>
      <c r="H181" s="208">
        <v>0</v>
      </c>
      <c r="I181" s="208">
        <v>0</v>
      </c>
      <c r="J181" s="208">
        <v>0</v>
      </c>
      <c r="K181" s="208">
        <v>0</v>
      </c>
      <c r="L181" s="208">
        <v>13465</v>
      </c>
      <c r="M181" s="208">
        <v>0</v>
      </c>
      <c r="N181" s="208">
        <v>13465</v>
      </c>
    </row>
    <row r="182" spans="1:14" ht="13.5" thickBot="1" x14ac:dyDescent="0.25">
      <c r="A182" s="48" t="s">
        <v>410</v>
      </c>
      <c r="B182" s="224" t="s">
        <v>409</v>
      </c>
      <c r="C182" s="48" t="s">
        <v>25</v>
      </c>
      <c r="D182" s="226">
        <v>9555</v>
      </c>
      <c r="E182" s="208">
        <v>0</v>
      </c>
      <c r="F182" s="208">
        <v>0</v>
      </c>
      <c r="G182" s="208">
        <v>157174</v>
      </c>
      <c r="H182" s="208">
        <v>2785</v>
      </c>
      <c r="I182" s="208">
        <v>159959</v>
      </c>
      <c r="J182" s="208">
        <v>0</v>
      </c>
      <c r="K182" s="208">
        <v>0</v>
      </c>
      <c r="L182" s="208">
        <v>0</v>
      </c>
      <c r="M182" s="208">
        <v>0</v>
      </c>
      <c r="N182" s="208">
        <v>0</v>
      </c>
    </row>
    <row r="183" spans="1:14" ht="13.5" thickBot="1" x14ac:dyDescent="0.25">
      <c r="A183" s="48" t="s">
        <v>408</v>
      </c>
      <c r="B183" s="224" t="s">
        <v>407</v>
      </c>
      <c r="C183" s="48" t="s">
        <v>25</v>
      </c>
      <c r="D183" s="226">
        <v>9533</v>
      </c>
      <c r="E183" s="208">
        <v>0</v>
      </c>
      <c r="F183" s="208">
        <v>0</v>
      </c>
      <c r="G183" s="208">
        <v>0</v>
      </c>
      <c r="H183" s="208">
        <v>0</v>
      </c>
      <c r="I183" s="208">
        <v>0</v>
      </c>
      <c r="J183" s="208">
        <v>0</v>
      </c>
      <c r="K183" s="203">
        <v>0</v>
      </c>
      <c r="L183" s="203">
        <v>0</v>
      </c>
      <c r="M183" s="203">
        <v>0</v>
      </c>
      <c r="N183" s="208">
        <v>0</v>
      </c>
    </row>
    <row r="184" spans="1:14" ht="13.5" thickBot="1" x14ac:dyDescent="0.25">
      <c r="A184" s="48" t="s">
        <v>433</v>
      </c>
      <c r="B184" s="224" t="s">
        <v>432</v>
      </c>
      <c r="C184" s="48" t="s">
        <v>25</v>
      </c>
      <c r="D184" s="226">
        <v>10470</v>
      </c>
      <c r="E184" s="208">
        <v>0</v>
      </c>
      <c r="F184" s="208">
        <v>0</v>
      </c>
      <c r="G184" s="208">
        <v>0</v>
      </c>
      <c r="H184" s="208">
        <v>0</v>
      </c>
      <c r="I184" s="208">
        <v>0</v>
      </c>
      <c r="J184" s="208">
        <v>0</v>
      </c>
      <c r="K184" s="208">
        <v>0</v>
      </c>
      <c r="L184" s="208">
        <v>251344</v>
      </c>
      <c r="M184" s="208">
        <v>0</v>
      </c>
      <c r="N184" s="208">
        <v>251344</v>
      </c>
    </row>
    <row r="185" spans="1:14" ht="13.5" thickBot="1" x14ac:dyDescent="0.25">
      <c r="A185" s="48" t="s">
        <v>446</v>
      </c>
      <c r="B185" s="224" t="s">
        <v>445</v>
      </c>
      <c r="C185" s="48" t="s">
        <v>25</v>
      </c>
      <c r="D185" s="226">
        <v>11581</v>
      </c>
      <c r="E185" s="208">
        <v>0</v>
      </c>
      <c r="F185" s="208">
        <v>0</v>
      </c>
      <c r="G185" s="208">
        <v>0</v>
      </c>
      <c r="H185" s="208">
        <v>0</v>
      </c>
      <c r="I185" s="208">
        <v>0</v>
      </c>
      <c r="J185" s="208">
        <v>0</v>
      </c>
      <c r="K185" s="208">
        <v>0</v>
      </c>
      <c r="L185" s="208">
        <v>0</v>
      </c>
      <c r="M185" s="208">
        <v>0</v>
      </c>
      <c r="N185" s="208">
        <v>0</v>
      </c>
    </row>
    <row r="186" spans="1:14" ht="13.5" thickBot="1" x14ac:dyDescent="0.25">
      <c r="A186" s="48" t="s">
        <v>468</v>
      </c>
      <c r="B186" s="224" t="s">
        <v>467</v>
      </c>
      <c r="C186" s="48" t="s">
        <v>25</v>
      </c>
      <c r="D186" s="226">
        <v>7312</v>
      </c>
      <c r="E186" s="208">
        <v>0</v>
      </c>
      <c r="F186" s="208">
        <v>0</v>
      </c>
      <c r="G186" s="208">
        <v>0</v>
      </c>
      <c r="H186" s="208">
        <v>0</v>
      </c>
      <c r="I186" s="208">
        <v>0</v>
      </c>
      <c r="J186" s="208">
        <v>0</v>
      </c>
      <c r="K186" s="208">
        <v>1218</v>
      </c>
      <c r="L186" s="208">
        <v>0</v>
      </c>
      <c r="M186" s="208">
        <v>0</v>
      </c>
      <c r="N186" s="208">
        <v>1218</v>
      </c>
    </row>
    <row r="187" spans="1:14" ht="13.5" thickBot="1" x14ac:dyDescent="0.25">
      <c r="A187" s="48" t="s">
        <v>474</v>
      </c>
      <c r="B187" s="224" t="s">
        <v>473</v>
      </c>
      <c r="C187" s="48" t="s">
        <v>25</v>
      </c>
      <c r="D187" s="226">
        <v>8344</v>
      </c>
      <c r="E187" s="208">
        <v>0</v>
      </c>
      <c r="F187" s="208">
        <v>0</v>
      </c>
      <c r="G187" s="208">
        <v>0</v>
      </c>
      <c r="H187" s="208">
        <v>0</v>
      </c>
      <c r="I187" s="208">
        <v>0</v>
      </c>
      <c r="J187" s="208">
        <v>0</v>
      </c>
      <c r="K187" s="208">
        <v>0</v>
      </c>
      <c r="L187" s="208">
        <v>0</v>
      </c>
      <c r="M187" s="208">
        <v>0</v>
      </c>
      <c r="N187" s="208">
        <v>0</v>
      </c>
    </row>
    <row r="188" spans="1:14" ht="13.5" thickBot="1" x14ac:dyDescent="0.25">
      <c r="A188" s="48" t="s">
        <v>492</v>
      </c>
      <c r="B188" s="224" t="s">
        <v>491</v>
      </c>
      <c r="C188" s="48" t="s">
        <v>25</v>
      </c>
      <c r="D188" s="226">
        <v>10715</v>
      </c>
      <c r="E188" s="208">
        <v>0</v>
      </c>
      <c r="F188" s="208">
        <v>0</v>
      </c>
      <c r="G188" s="208">
        <v>0</v>
      </c>
      <c r="H188" s="208">
        <v>0</v>
      </c>
      <c r="I188" s="208">
        <v>0</v>
      </c>
      <c r="J188" s="203">
        <v>0</v>
      </c>
      <c r="K188" s="203">
        <v>0</v>
      </c>
      <c r="L188" s="203">
        <v>0</v>
      </c>
      <c r="M188" s="203">
        <v>0</v>
      </c>
      <c r="N188" s="203">
        <v>0</v>
      </c>
    </row>
    <row r="189" spans="1:14" ht="13.5" thickBot="1" x14ac:dyDescent="0.25">
      <c r="A189" s="48" t="s">
        <v>504</v>
      </c>
      <c r="B189" s="224" t="s">
        <v>503</v>
      </c>
      <c r="C189" s="48" t="s">
        <v>25</v>
      </c>
      <c r="D189" s="226">
        <v>7424</v>
      </c>
      <c r="E189" s="208">
        <v>0</v>
      </c>
      <c r="F189" s="208">
        <v>0</v>
      </c>
      <c r="G189" s="208">
        <v>0</v>
      </c>
      <c r="H189" s="208">
        <v>1000</v>
      </c>
      <c r="I189" s="208">
        <v>1000</v>
      </c>
      <c r="J189" s="208">
        <v>5073</v>
      </c>
      <c r="K189" s="208">
        <v>3602</v>
      </c>
      <c r="L189" s="208">
        <v>2822</v>
      </c>
      <c r="M189" s="208">
        <v>341</v>
      </c>
      <c r="N189" s="208">
        <v>11838</v>
      </c>
    </row>
    <row r="190" spans="1:14" ht="13.5" thickBot="1" x14ac:dyDescent="0.25">
      <c r="A190" s="48" t="s">
        <v>510</v>
      </c>
      <c r="B190" s="224" t="s">
        <v>509</v>
      </c>
      <c r="C190" s="48" t="s">
        <v>25</v>
      </c>
      <c r="D190" s="226">
        <v>9765</v>
      </c>
      <c r="E190" s="208">
        <v>0</v>
      </c>
      <c r="F190" s="208">
        <v>0</v>
      </c>
      <c r="G190" s="208">
        <v>0</v>
      </c>
      <c r="H190" s="208">
        <v>0</v>
      </c>
      <c r="I190" s="208">
        <v>0</v>
      </c>
      <c r="J190" s="208">
        <v>0</v>
      </c>
      <c r="K190" s="208">
        <v>6296</v>
      </c>
      <c r="L190" s="208">
        <v>23099</v>
      </c>
      <c r="M190" s="208">
        <v>0</v>
      </c>
      <c r="N190" s="208">
        <v>29395</v>
      </c>
    </row>
    <row r="191" spans="1:14" ht="13.5" thickBot="1" x14ac:dyDescent="0.25">
      <c r="A191" s="48" t="s">
        <v>520</v>
      </c>
      <c r="B191" s="224" t="s">
        <v>519</v>
      </c>
      <c r="C191" s="48" t="s">
        <v>25</v>
      </c>
      <c r="D191" s="226">
        <v>9623</v>
      </c>
      <c r="E191" s="208">
        <v>0</v>
      </c>
      <c r="F191" s="208">
        <v>0</v>
      </c>
      <c r="G191" s="208">
        <v>0</v>
      </c>
      <c r="H191" s="208">
        <v>0</v>
      </c>
      <c r="I191" s="208">
        <v>0</v>
      </c>
      <c r="J191" s="208">
        <v>0</v>
      </c>
      <c r="K191" s="208">
        <v>0</v>
      </c>
      <c r="L191" s="208">
        <v>0</v>
      </c>
      <c r="M191" s="208">
        <v>0</v>
      </c>
      <c r="N191" s="208">
        <v>0</v>
      </c>
    </row>
    <row r="192" spans="1:14" ht="13.5" thickBot="1" x14ac:dyDescent="0.25">
      <c r="A192" s="48" t="s">
        <v>524</v>
      </c>
      <c r="B192" s="224" t="s">
        <v>523</v>
      </c>
      <c r="C192" s="48" t="s">
        <v>25</v>
      </c>
      <c r="D192" s="226">
        <v>7656</v>
      </c>
      <c r="E192" s="208">
        <v>0</v>
      </c>
      <c r="F192" s="208">
        <v>0</v>
      </c>
      <c r="G192" s="208">
        <v>0</v>
      </c>
      <c r="H192" s="208">
        <v>0</v>
      </c>
      <c r="I192" s="208">
        <v>0</v>
      </c>
      <c r="J192" s="203">
        <v>0</v>
      </c>
      <c r="K192" s="208">
        <v>500</v>
      </c>
      <c r="L192" s="203">
        <v>0</v>
      </c>
      <c r="M192" s="203">
        <v>0</v>
      </c>
      <c r="N192" s="208">
        <v>500</v>
      </c>
    </row>
    <row r="193" spans="1:14" ht="13.5" thickBot="1" x14ac:dyDescent="0.25">
      <c r="A193" s="48" t="s">
        <v>536</v>
      </c>
      <c r="B193" s="224" t="s">
        <v>535</v>
      </c>
      <c r="C193" s="48" t="s">
        <v>25</v>
      </c>
      <c r="D193" s="226">
        <v>8354</v>
      </c>
      <c r="E193" s="208">
        <v>0</v>
      </c>
      <c r="F193" s="208">
        <v>0</v>
      </c>
      <c r="G193" s="208">
        <v>0</v>
      </c>
      <c r="H193" s="208">
        <v>0</v>
      </c>
      <c r="I193" s="208">
        <v>0</v>
      </c>
      <c r="J193" s="208">
        <v>20069</v>
      </c>
      <c r="K193" s="208">
        <v>0</v>
      </c>
      <c r="L193" s="208">
        <v>58468</v>
      </c>
      <c r="M193" s="208">
        <v>3214</v>
      </c>
      <c r="N193" s="208">
        <v>81751</v>
      </c>
    </row>
    <row r="194" spans="1:14" ht="13.5" thickBot="1" x14ac:dyDescent="0.25">
      <c r="A194" s="48" t="s">
        <v>554</v>
      </c>
      <c r="B194" s="224" t="s">
        <v>553</v>
      </c>
      <c r="C194" s="48" t="s">
        <v>25</v>
      </c>
      <c r="D194" s="226">
        <v>8640</v>
      </c>
      <c r="E194" s="208">
        <v>0</v>
      </c>
      <c r="F194" s="208">
        <v>0</v>
      </c>
      <c r="G194" s="208">
        <v>0</v>
      </c>
      <c r="H194" s="208">
        <v>0</v>
      </c>
      <c r="I194" s="208">
        <v>0</v>
      </c>
      <c r="J194" s="208">
        <v>12694</v>
      </c>
      <c r="K194" s="203">
        <v>0</v>
      </c>
      <c r="L194" s="203">
        <v>0</v>
      </c>
      <c r="M194" s="203">
        <v>0</v>
      </c>
      <c r="N194" s="208">
        <v>12694</v>
      </c>
    </row>
    <row r="195" spans="1:14" ht="13.5" thickBot="1" x14ac:dyDescent="0.25">
      <c r="A195" s="48" t="s">
        <v>564</v>
      </c>
      <c r="B195" s="224" t="s">
        <v>563</v>
      </c>
      <c r="C195" s="48" t="s">
        <v>25</v>
      </c>
      <c r="D195" s="226">
        <v>9969</v>
      </c>
      <c r="E195" s="208">
        <v>0</v>
      </c>
      <c r="F195" s="208">
        <v>0</v>
      </c>
      <c r="G195" s="208">
        <v>0</v>
      </c>
      <c r="H195" s="208">
        <v>0</v>
      </c>
      <c r="I195" s="208">
        <v>0</v>
      </c>
      <c r="J195" s="208">
        <v>10361</v>
      </c>
      <c r="K195" s="208">
        <v>5779</v>
      </c>
      <c r="L195" s="208">
        <v>0</v>
      </c>
      <c r="M195" s="208">
        <v>0</v>
      </c>
      <c r="N195" s="208">
        <v>16140</v>
      </c>
    </row>
    <row r="196" spans="1:14" ht="13.5" thickBot="1" x14ac:dyDescent="0.25">
      <c r="A196" s="48" t="s">
        <v>568</v>
      </c>
      <c r="B196" s="224" t="s">
        <v>567</v>
      </c>
      <c r="C196" s="48" t="s">
        <v>25</v>
      </c>
      <c r="D196" s="226">
        <v>7034</v>
      </c>
      <c r="E196" s="208">
        <v>0</v>
      </c>
      <c r="F196" s="208">
        <v>0</v>
      </c>
      <c r="G196" s="208">
        <v>60000</v>
      </c>
      <c r="H196" s="208">
        <v>0</v>
      </c>
      <c r="I196" s="208">
        <v>60000</v>
      </c>
      <c r="J196" s="203">
        <v>0</v>
      </c>
      <c r="K196" s="203">
        <v>0</v>
      </c>
      <c r="L196" s="203">
        <v>0</v>
      </c>
      <c r="M196" s="203">
        <v>0</v>
      </c>
      <c r="N196" s="203">
        <v>0</v>
      </c>
    </row>
    <row r="197" spans="1:14" ht="13.5" thickBot="1" x14ac:dyDescent="0.25">
      <c r="A197" s="48" t="s">
        <v>576</v>
      </c>
      <c r="B197" s="224" t="s">
        <v>575</v>
      </c>
      <c r="C197" s="48" t="s">
        <v>25</v>
      </c>
      <c r="D197" s="226">
        <v>8833</v>
      </c>
      <c r="E197" s="208">
        <v>0</v>
      </c>
      <c r="F197" s="208">
        <v>0</v>
      </c>
      <c r="G197" s="208">
        <v>0</v>
      </c>
      <c r="H197" s="208">
        <v>0</v>
      </c>
      <c r="I197" s="208">
        <v>0</v>
      </c>
      <c r="J197" s="208">
        <v>0</v>
      </c>
      <c r="K197" s="208">
        <v>0</v>
      </c>
      <c r="L197" s="208">
        <v>0</v>
      </c>
      <c r="M197" s="208">
        <v>0</v>
      </c>
      <c r="N197" s="208">
        <v>0</v>
      </c>
    </row>
    <row r="198" spans="1:14" ht="13.5" thickBot="1" x14ac:dyDescent="0.25">
      <c r="A198" s="48" t="s">
        <v>584</v>
      </c>
      <c r="B198" s="224" t="s">
        <v>583</v>
      </c>
      <c r="C198" s="48" t="s">
        <v>25</v>
      </c>
      <c r="D198" s="226">
        <v>11503</v>
      </c>
      <c r="E198" s="208">
        <v>0</v>
      </c>
      <c r="F198" s="208">
        <v>0</v>
      </c>
      <c r="G198" s="208">
        <v>0</v>
      </c>
      <c r="H198" s="208">
        <v>0</v>
      </c>
      <c r="I198" s="208">
        <v>0</v>
      </c>
      <c r="J198" s="208">
        <v>13532</v>
      </c>
      <c r="K198" s="208">
        <v>6500</v>
      </c>
      <c r="L198" s="208">
        <v>2519</v>
      </c>
      <c r="M198" s="208">
        <v>2002</v>
      </c>
      <c r="N198" s="208">
        <v>24553</v>
      </c>
    </row>
    <row r="199" spans="1:14" ht="13.5" thickBot="1" x14ac:dyDescent="0.25">
      <c r="A199" s="48" t="s">
        <v>610</v>
      </c>
      <c r="B199" s="224" t="s">
        <v>609</v>
      </c>
      <c r="C199" s="48" t="s">
        <v>25</v>
      </c>
      <c r="D199" s="226">
        <v>8891</v>
      </c>
      <c r="E199" s="208">
        <v>0</v>
      </c>
      <c r="F199" s="208">
        <v>0</v>
      </c>
      <c r="G199" s="208">
        <v>0</v>
      </c>
      <c r="H199" s="208">
        <v>0</v>
      </c>
      <c r="I199" s="208">
        <v>0</v>
      </c>
      <c r="J199" s="208">
        <v>0</v>
      </c>
      <c r="K199" s="208">
        <v>0</v>
      </c>
      <c r="L199" s="208">
        <v>0</v>
      </c>
      <c r="M199" s="208">
        <v>29130</v>
      </c>
      <c r="N199" s="208">
        <v>29130</v>
      </c>
    </row>
    <row r="200" spans="1:14" ht="13.5" thickBot="1" x14ac:dyDescent="0.25">
      <c r="A200" s="48" t="s">
        <v>618</v>
      </c>
      <c r="B200" s="224" t="s">
        <v>617</v>
      </c>
      <c r="C200" s="48" t="s">
        <v>25</v>
      </c>
      <c r="D200" s="226">
        <v>8543</v>
      </c>
      <c r="E200" s="208">
        <v>0</v>
      </c>
      <c r="F200" s="208">
        <v>0</v>
      </c>
      <c r="G200" s="208">
        <v>0</v>
      </c>
      <c r="H200" s="208">
        <v>0</v>
      </c>
      <c r="I200" s="208">
        <v>0</v>
      </c>
      <c r="J200" s="208">
        <v>2500</v>
      </c>
      <c r="K200" s="208">
        <v>5963</v>
      </c>
      <c r="L200" s="208">
        <v>0</v>
      </c>
      <c r="M200" s="208">
        <v>2200</v>
      </c>
      <c r="N200" s="208">
        <v>10663</v>
      </c>
    </row>
    <row r="201" spans="1:14" ht="13.5" thickBot="1" x14ac:dyDescent="0.25">
      <c r="A201" s="48" t="s">
        <v>626</v>
      </c>
      <c r="B201" s="224" t="s">
        <v>625</v>
      </c>
      <c r="C201" s="48" t="s">
        <v>25</v>
      </c>
      <c r="D201" s="226">
        <v>7580</v>
      </c>
      <c r="E201" s="208">
        <v>0</v>
      </c>
      <c r="F201" s="208">
        <v>0</v>
      </c>
      <c r="G201" s="208">
        <v>0</v>
      </c>
      <c r="H201" s="208">
        <v>0</v>
      </c>
      <c r="I201" s="208">
        <v>0</v>
      </c>
      <c r="J201" s="208">
        <v>0</v>
      </c>
      <c r="K201" s="208">
        <v>7564</v>
      </c>
      <c r="L201" s="208">
        <v>18114</v>
      </c>
      <c r="M201" s="208">
        <v>0</v>
      </c>
      <c r="N201" s="208">
        <v>25678</v>
      </c>
    </row>
    <row r="202" spans="1:14" ht="13.5" thickBot="1" x14ac:dyDescent="0.25">
      <c r="A202" s="48" t="s">
        <v>634</v>
      </c>
      <c r="B202" s="224" t="s">
        <v>633</v>
      </c>
      <c r="C202" s="48" t="s">
        <v>25</v>
      </c>
      <c r="D202" s="226">
        <v>7903</v>
      </c>
      <c r="E202" s="208">
        <v>0</v>
      </c>
      <c r="F202" s="208">
        <v>0</v>
      </c>
      <c r="G202" s="208">
        <v>0</v>
      </c>
      <c r="H202" s="208">
        <v>0</v>
      </c>
      <c r="I202" s="208">
        <v>0</v>
      </c>
      <c r="J202" s="203">
        <v>0</v>
      </c>
      <c r="K202" s="203">
        <v>0</v>
      </c>
      <c r="L202" s="203">
        <v>0</v>
      </c>
      <c r="M202" s="203">
        <v>0</v>
      </c>
      <c r="N202" s="203">
        <v>0</v>
      </c>
    </row>
    <row r="203" spans="1:14" ht="13.5" thickBot="1" x14ac:dyDescent="0.25">
      <c r="A203" s="48" t="s">
        <v>650</v>
      </c>
      <c r="B203" s="224" t="s">
        <v>649</v>
      </c>
      <c r="C203" s="48" t="s">
        <v>25</v>
      </c>
      <c r="D203" s="226">
        <v>11480</v>
      </c>
      <c r="E203" s="208">
        <v>0</v>
      </c>
      <c r="F203" s="208">
        <v>0</v>
      </c>
      <c r="G203" s="208">
        <v>0</v>
      </c>
      <c r="H203" s="208">
        <v>0</v>
      </c>
      <c r="I203" s="208">
        <v>0</v>
      </c>
      <c r="J203" s="208">
        <v>0</v>
      </c>
      <c r="K203" s="208">
        <v>0</v>
      </c>
      <c r="L203" s="208">
        <v>0</v>
      </c>
      <c r="M203" s="208">
        <v>0</v>
      </c>
      <c r="N203" s="208">
        <v>0</v>
      </c>
    </row>
    <row r="204" spans="1:14" ht="13.5" thickBot="1" x14ac:dyDescent="0.25">
      <c r="A204" s="48" t="s">
        <v>652</v>
      </c>
      <c r="B204" s="224" t="s">
        <v>651</v>
      </c>
      <c r="C204" s="48" t="s">
        <v>25</v>
      </c>
      <c r="D204" s="226">
        <v>7798</v>
      </c>
      <c r="E204" s="208">
        <v>0</v>
      </c>
      <c r="F204" s="208">
        <v>0</v>
      </c>
      <c r="G204" s="208">
        <v>7056</v>
      </c>
      <c r="H204" s="208">
        <v>0</v>
      </c>
      <c r="I204" s="208">
        <v>7056</v>
      </c>
      <c r="J204" s="208">
        <v>2145</v>
      </c>
      <c r="K204" s="208">
        <v>11663</v>
      </c>
      <c r="L204" s="208">
        <v>0</v>
      </c>
      <c r="M204" s="208">
        <v>8346</v>
      </c>
      <c r="N204" s="208">
        <v>22154</v>
      </c>
    </row>
    <row r="205" spans="1:14" ht="13.5" thickBot="1" x14ac:dyDescent="0.25">
      <c r="A205" s="48" t="s">
        <v>660</v>
      </c>
      <c r="B205" s="224" t="s">
        <v>659</v>
      </c>
      <c r="C205" s="48" t="s">
        <v>25</v>
      </c>
      <c r="D205" s="226">
        <v>7357</v>
      </c>
      <c r="E205" s="208">
        <v>0</v>
      </c>
      <c r="F205" s="208">
        <v>0</v>
      </c>
      <c r="G205" s="208">
        <v>9275</v>
      </c>
      <c r="H205" s="208">
        <v>0</v>
      </c>
      <c r="I205" s="208">
        <v>9275</v>
      </c>
      <c r="J205" s="208">
        <v>15361</v>
      </c>
      <c r="K205" s="208">
        <v>2240</v>
      </c>
      <c r="L205" s="208">
        <v>3986</v>
      </c>
      <c r="M205" s="208">
        <v>0</v>
      </c>
      <c r="N205" s="208">
        <v>21587</v>
      </c>
    </row>
    <row r="206" spans="1:14" ht="13.5" thickBot="1" x14ac:dyDescent="0.25">
      <c r="A206" s="48" t="s">
        <v>666</v>
      </c>
      <c r="B206" s="224" t="s">
        <v>665</v>
      </c>
      <c r="C206" s="48" t="s">
        <v>25</v>
      </c>
      <c r="D206" s="226">
        <v>7103</v>
      </c>
      <c r="E206" s="208">
        <v>0</v>
      </c>
      <c r="F206" s="208">
        <v>0</v>
      </c>
      <c r="G206" s="208">
        <v>0</v>
      </c>
      <c r="H206" s="208">
        <v>0</v>
      </c>
      <c r="I206" s="208">
        <v>0</v>
      </c>
      <c r="J206" s="208">
        <v>0</v>
      </c>
      <c r="K206" s="203">
        <v>0</v>
      </c>
      <c r="L206" s="203">
        <v>0</v>
      </c>
      <c r="M206" s="208">
        <v>12683</v>
      </c>
      <c r="N206" s="208">
        <v>12683</v>
      </c>
    </row>
    <row r="207" spans="1:14" ht="13.5" thickBot="1" x14ac:dyDescent="0.25">
      <c r="A207" s="48" t="s">
        <v>670</v>
      </c>
      <c r="B207" s="224" t="s">
        <v>669</v>
      </c>
      <c r="C207" s="48" t="s">
        <v>25</v>
      </c>
      <c r="D207" s="226">
        <v>10188</v>
      </c>
      <c r="E207" s="208">
        <v>0</v>
      </c>
      <c r="F207" s="208">
        <v>0</v>
      </c>
      <c r="G207" s="208">
        <v>0</v>
      </c>
      <c r="H207" s="208">
        <v>0</v>
      </c>
      <c r="I207" s="208">
        <v>0</v>
      </c>
      <c r="J207" s="208">
        <v>500</v>
      </c>
      <c r="K207" s="208">
        <v>10000</v>
      </c>
      <c r="L207" s="208">
        <v>54287</v>
      </c>
      <c r="M207" s="203">
        <v>0</v>
      </c>
      <c r="N207" s="208">
        <v>64787</v>
      </c>
    </row>
    <row r="208" spans="1:14" ht="13.5" thickBot="1" x14ac:dyDescent="0.25">
      <c r="A208" s="48" t="s">
        <v>676</v>
      </c>
      <c r="B208" s="224" t="s">
        <v>675</v>
      </c>
      <c r="C208" s="48" t="s">
        <v>25</v>
      </c>
      <c r="D208" s="226">
        <v>7272</v>
      </c>
      <c r="E208" s="208">
        <v>0</v>
      </c>
      <c r="F208" s="208">
        <v>0</v>
      </c>
      <c r="G208" s="208">
        <v>0</v>
      </c>
      <c r="H208" s="208">
        <v>0</v>
      </c>
      <c r="I208" s="208">
        <v>0</v>
      </c>
      <c r="J208" s="208">
        <v>0</v>
      </c>
      <c r="K208" s="208">
        <v>0</v>
      </c>
      <c r="L208" s="208">
        <v>0</v>
      </c>
      <c r="M208" s="208">
        <v>0</v>
      </c>
      <c r="N208" s="208">
        <v>0</v>
      </c>
    </row>
    <row r="209" spans="1:14" ht="13.5" thickBot="1" x14ac:dyDescent="0.25">
      <c r="A209" s="48" t="s">
        <v>682</v>
      </c>
      <c r="B209" s="224" t="s">
        <v>681</v>
      </c>
      <c r="C209" s="48" t="s">
        <v>25</v>
      </c>
      <c r="D209" s="226">
        <v>11377</v>
      </c>
      <c r="E209" s="208">
        <v>0</v>
      </c>
      <c r="F209" s="208">
        <v>0</v>
      </c>
      <c r="G209" s="208">
        <v>0</v>
      </c>
      <c r="H209" s="208">
        <v>0</v>
      </c>
      <c r="I209" s="208">
        <v>0</v>
      </c>
      <c r="J209" s="208">
        <v>1221</v>
      </c>
      <c r="K209" s="208">
        <v>0</v>
      </c>
      <c r="L209" s="208">
        <v>0</v>
      </c>
      <c r="M209" s="208">
        <v>0</v>
      </c>
      <c r="N209" s="208">
        <v>1221</v>
      </c>
    </row>
    <row r="210" spans="1:14" ht="13.5" thickBot="1" x14ac:dyDescent="0.25">
      <c r="A210" s="48" t="s">
        <v>694</v>
      </c>
      <c r="B210" s="224" t="s">
        <v>693</v>
      </c>
      <c r="C210" s="48" t="s">
        <v>25</v>
      </c>
      <c r="D210" s="226">
        <v>8386</v>
      </c>
      <c r="E210" s="208">
        <v>0</v>
      </c>
      <c r="F210" s="208">
        <v>0</v>
      </c>
      <c r="G210" s="208">
        <v>136110</v>
      </c>
      <c r="H210" s="208">
        <v>0</v>
      </c>
      <c r="I210" s="208">
        <v>136110</v>
      </c>
      <c r="J210" s="208">
        <v>0</v>
      </c>
      <c r="K210" s="208">
        <v>0</v>
      </c>
      <c r="L210" s="208">
        <v>0</v>
      </c>
      <c r="M210" s="208">
        <v>0</v>
      </c>
      <c r="N210" s="208">
        <v>0</v>
      </c>
    </row>
    <row r="211" spans="1:14" ht="13.5" thickBot="1" x14ac:dyDescent="0.25">
      <c r="A211" s="48" t="s">
        <v>700</v>
      </c>
      <c r="B211" s="224" t="s">
        <v>699</v>
      </c>
      <c r="C211" s="48" t="s">
        <v>25</v>
      </c>
      <c r="D211" s="226">
        <v>9110</v>
      </c>
      <c r="E211" s="208">
        <v>0</v>
      </c>
      <c r="F211" s="208">
        <v>0</v>
      </c>
      <c r="G211" s="208">
        <v>0</v>
      </c>
      <c r="H211" s="208">
        <v>0</v>
      </c>
      <c r="I211" s="208">
        <v>0</v>
      </c>
      <c r="J211" s="208">
        <v>7842</v>
      </c>
      <c r="K211" s="208">
        <v>4854</v>
      </c>
      <c r="L211" s="208">
        <v>0</v>
      </c>
      <c r="M211" s="208">
        <v>1550</v>
      </c>
      <c r="N211" s="208">
        <v>14246</v>
      </c>
    </row>
    <row r="212" spans="1:14" ht="13.5" thickBot="1" x14ac:dyDescent="0.25">
      <c r="A212" s="48" t="s">
        <v>702</v>
      </c>
      <c r="B212" s="224" t="s">
        <v>701</v>
      </c>
      <c r="C212" s="48" t="s">
        <v>25</v>
      </c>
      <c r="D212" s="226">
        <v>9645</v>
      </c>
      <c r="E212" s="208">
        <v>0</v>
      </c>
      <c r="F212" s="208">
        <v>0</v>
      </c>
      <c r="G212" s="208">
        <v>0</v>
      </c>
      <c r="H212" s="208">
        <v>0</v>
      </c>
      <c r="I212" s="208">
        <v>0</v>
      </c>
      <c r="J212" s="208">
        <v>0</v>
      </c>
      <c r="K212" s="208">
        <v>0</v>
      </c>
      <c r="L212" s="208">
        <v>10922</v>
      </c>
      <c r="M212" s="208">
        <v>0</v>
      </c>
      <c r="N212" s="208">
        <v>10922</v>
      </c>
    </row>
    <row r="213" spans="1:14" ht="13.5" thickBot="1" x14ac:dyDescent="0.25">
      <c r="A213" s="48" t="s">
        <v>718</v>
      </c>
      <c r="B213" s="224" t="s">
        <v>717</v>
      </c>
      <c r="C213" s="48" t="s">
        <v>25</v>
      </c>
      <c r="D213" s="226">
        <v>9301</v>
      </c>
      <c r="E213" s="208">
        <v>0</v>
      </c>
      <c r="F213" s="208">
        <v>0</v>
      </c>
      <c r="G213" s="208">
        <v>0</v>
      </c>
      <c r="H213" s="208">
        <v>0</v>
      </c>
      <c r="I213" s="208">
        <v>0</v>
      </c>
      <c r="J213" s="208">
        <v>4598</v>
      </c>
      <c r="K213" s="208">
        <v>5675</v>
      </c>
      <c r="L213" s="208">
        <v>5539</v>
      </c>
      <c r="M213" s="208">
        <v>1943</v>
      </c>
      <c r="N213" s="208">
        <v>17755</v>
      </c>
    </row>
    <row r="214" spans="1:14" ht="13.5" thickBot="1" x14ac:dyDescent="0.25">
      <c r="A214" s="48" t="s">
        <v>722</v>
      </c>
      <c r="B214" s="224" t="s">
        <v>721</v>
      </c>
      <c r="C214" s="48" t="s">
        <v>25</v>
      </c>
      <c r="D214" s="226">
        <v>7851</v>
      </c>
      <c r="E214" s="208">
        <v>2999</v>
      </c>
      <c r="F214" s="208">
        <v>0</v>
      </c>
      <c r="G214" s="208">
        <v>0</v>
      </c>
      <c r="H214" s="208">
        <v>0</v>
      </c>
      <c r="I214" s="208">
        <v>2999</v>
      </c>
      <c r="J214" s="208">
        <v>0</v>
      </c>
      <c r="K214" s="208">
        <v>2462</v>
      </c>
      <c r="L214" s="208">
        <v>0</v>
      </c>
      <c r="M214" s="208">
        <v>0</v>
      </c>
      <c r="N214" s="208">
        <v>2462</v>
      </c>
    </row>
    <row r="215" spans="1:14" ht="13.5" thickBot="1" x14ac:dyDescent="0.25">
      <c r="A215" s="48" t="s">
        <v>724</v>
      </c>
      <c r="B215" s="224" t="s">
        <v>723</v>
      </c>
      <c r="C215" s="48" t="s">
        <v>25</v>
      </c>
      <c r="D215" s="226">
        <v>10250</v>
      </c>
      <c r="E215" s="208">
        <v>0</v>
      </c>
      <c r="F215" s="208">
        <v>0</v>
      </c>
      <c r="G215" s="208">
        <v>126588</v>
      </c>
      <c r="H215" s="208">
        <v>0</v>
      </c>
      <c r="I215" s="208">
        <v>126588</v>
      </c>
      <c r="J215" s="208">
        <v>6019</v>
      </c>
      <c r="K215" s="208">
        <v>2147</v>
      </c>
      <c r="L215" s="208">
        <v>28030</v>
      </c>
      <c r="M215" s="208">
        <v>10597</v>
      </c>
      <c r="N215" s="208">
        <v>46793</v>
      </c>
    </row>
    <row r="216" spans="1:14" ht="13.5" thickBot="1" x14ac:dyDescent="0.25">
      <c r="A216" s="48" t="s">
        <v>734</v>
      </c>
      <c r="B216" s="224" t="s">
        <v>733</v>
      </c>
      <c r="C216" s="48" t="s">
        <v>25</v>
      </c>
      <c r="D216" s="226">
        <v>10662</v>
      </c>
      <c r="E216" s="208">
        <v>0</v>
      </c>
      <c r="F216" s="208">
        <v>0</v>
      </c>
      <c r="G216" s="208">
        <v>0</v>
      </c>
      <c r="H216" s="208">
        <v>0</v>
      </c>
      <c r="I216" s="208">
        <v>0</v>
      </c>
      <c r="J216" s="208">
        <v>0</v>
      </c>
      <c r="K216" s="208">
        <v>0</v>
      </c>
      <c r="L216" s="208">
        <v>4975</v>
      </c>
      <c r="M216" s="208">
        <v>0</v>
      </c>
      <c r="N216" s="208">
        <v>4975</v>
      </c>
    </row>
    <row r="217" spans="1:14" ht="13.5" thickBot="1" x14ac:dyDescent="0.25">
      <c r="A217" s="48" t="s">
        <v>738</v>
      </c>
      <c r="B217" s="224" t="s">
        <v>737</v>
      </c>
      <c r="C217" s="48" t="s">
        <v>25</v>
      </c>
      <c r="D217" s="226">
        <v>11985</v>
      </c>
      <c r="E217" s="208">
        <v>0</v>
      </c>
      <c r="F217" s="208">
        <v>0</v>
      </c>
      <c r="G217" s="208">
        <v>0</v>
      </c>
      <c r="H217" s="208">
        <v>0</v>
      </c>
      <c r="I217" s="208">
        <v>0</v>
      </c>
      <c r="J217" s="208">
        <v>0</v>
      </c>
      <c r="K217" s="208">
        <v>0</v>
      </c>
      <c r="L217" s="208">
        <v>0</v>
      </c>
      <c r="M217" s="208">
        <v>0</v>
      </c>
      <c r="N217" s="208">
        <v>0</v>
      </c>
    </row>
    <row r="218" spans="1:14" ht="13.5" thickBot="1" x14ac:dyDescent="0.25">
      <c r="A218" s="48" t="s">
        <v>740</v>
      </c>
      <c r="B218" s="224" t="s">
        <v>739</v>
      </c>
      <c r="C218" s="48" t="s">
        <v>25</v>
      </c>
      <c r="D218" s="226">
        <v>8147</v>
      </c>
      <c r="E218" s="208">
        <v>0</v>
      </c>
      <c r="F218" s="208">
        <v>0</v>
      </c>
      <c r="G218" s="208">
        <v>0</v>
      </c>
      <c r="H218" s="208">
        <v>0</v>
      </c>
      <c r="I218" s="208">
        <v>0</v>
      </c>
      <c r="J218" s="208">
        <v>0</v>
      </c>
      <c r="K218" s="208">
        <v>0</v>
      </c>
      <c r="L218" s="208">
        <v>8648</v>
      </c>
      <c r="M218" s="208">
        <v>0</v>
      </c>
      <c r="N218" s="208">
        <v>8648</v>
      </c>
    </row>
    <row r="219" spans="1:14" ht="13.5" thickBot="1" x14ac:dyDescent="0.25">
      <c r="A219" s="48" t="s">
        <v>748</v>
      </c>
      <c r="B219" s="224" t="s">
        <v>747</v>
      </c>
      <c r="C219" s="48" t="s">
        <v>25</v>
      </c>
      <c r="D219" s="226">
        <v>9714</v>
      </c>
      <c r="E219" s="208">
        <v>0</v>
      </c>
      <c r="F219" s="208">
        <v>0</v>
      </c>
      <c r="G219" s="208">
        <v>30180</v>
      </c>
      <c r="H219" s="208">
        <v>0</v>
      </c>
      <c r="I219" s="208">
        <v>30180</v>
      </c>
      <c r="J219" s="208">
        <v>0</v>
      </c>
      <c r="K219" s="208">
        <v>0</v>
      </c>
      <c r="L219" s="208">
        <v>15311</v>
      </c>
      <c r="M219" s="208">
        <v>0</v>
      </c>
      <c r="N219" s="208">
        <v>15311</v>
      </c>
    </row>
    <row r="220" spans="1:14" ht="13.5" thickBot="1" x14ac:dyDescent="0.25">
      <c r="A220" s="48" t="s">
        <v>776</v>
      </c>
      <c r="B220" s="224" t="s">
        <v>775</v>
      </c>
      <c r="C220" s="48" t="s">
        <v>25</v>
      </c>
      <c r="D220" s="226">
        <v>9514</v>
      </c>
      <c r="E220" s="208">
        <v>0</v>
      </c>
      <c r="F220" s="208">
        <v>0</v>
      </c>
      <c r="G220" s="208">
        <v>0</v>
      </c>
      <c r="H220" s="208">
        <v>2500</v>
      </c>
      <c r="I220" s="208">
        <v>2500</v>
      </c>
      <c r="J220" s="208">
        <v>1837</v>
      </c>
      <c r="K220" s="208">
        <v>3844</v>
      </c>
      <c r="L220" s="203">
        <v>0</v>
      </c>
      <c r="M220" s="203">
        <v>0</v>
      </c>
      <c r="N220" s="208">
        <v>5681</v>
      </c>
    </row>
    <row r="221" spans="1:14" ht="13.5" thickBot="1" x14ac:dyDescent="0.25">
      <c r="A221" s="48" t="s">
        <v>790</v>
      </c>
      <c r="B221" s="224" t="s">
        <v>789</v>
      </c>
      <c r="C221" s="48" t="s">
        <v>25</v>
      </c>
      <c r="D221" s="226">
        <v>9138</v>
      </c>
      <c r="E221" s="208">
        <v>1</v>
      </c>
      <c r="F221" s="208">
        <v>83</v>
      </c>
      <c r="G221" s="208">
        <v>4</v>
      </c>
      <c r="H221" s="208">
        <v>0</v>
      </c>
      <c r="I221" s="208">
        <v>88</v>
      </c>
      <c r="J221" s="208">
        <v>9566</v>
      </c>
      <c r="K221" s="208">
        <v>9491</v>
      </c>
      <c r="L221" s="208">
        <v>0</v>
      </c>
      <c r="M221" s="208">
        <v>0</v>
      </c>
      <c r="N221" s="208">
        <v>19057</v>
      </c>
    </row>
    <row r="222" spans="1:14" ht="13.5" thickBot="1" x14ac:dyDescent="0.25">
      <c r="A222" s="48" t="s">
        <v>792</v>
      </c>
      <c r="B222" s="224" t="s">
        <v>791</v>
      </c>
      <c r="C222" s="48" t="s">
        <v>25</v>
      </c>
      <c r="D222" s="226">
        <v>7370</v>
      </c>
      <c r="E222" s="208">
        <v>0</v>
      </c>
      <c r="F222" s="208">
        <v>0</v>
      </c>
      <c r="G222" s="208">
        <v>0</v>
      </c>
      <c r="H222" s="208">
        <v>0</v>
      </c>
      <c r="I222" s="208">
        <v>0</v>
      </c>
      <c r="J222" s="208">
        <v>0</v>
      </c>
      <c r="K222" s="208">
        <v>0</v>
      </c>
      <c r="L222" s="208">
        <v>0</v>
      </c>
      <c r="M222" s="208">
        <v>0</v>
      </c>
      <c r="N222" s="208">
        <v>0</v>
      </c>
    </row>
    <row r="223" spans="1:14" ht="13.5" thickBot="1" x14ac:dyDescent="0.25">
      <c r="A223" s="48" t="s">
        <v>796</v>
      </c>
      <c r="B223" s="224" t="s">
        <v>795</v>
      </c>
      <c r="C223" s="48" t="s">
        <v>25</v>
      </c>
      <c r="D223" s="226">
        <v>8533</v>
      </c>
      <c r="E223" s="208">
        <v>0</v>
      </c>
      <c r="F223" s="208">
        <v>0</v>
      </c>
      <c r="G223" s="208">
        <v>0</v>
      </c>
      <c r="H223" s="208">
        <v>0</v>
      </c>
      <c r="I223" s="208">
        <v>0</v>
      </c>
      <c r="J223" s="208">
        <v>0</v>
      </c>
      <c r="K223" s="208">
        <v>0</v>
      </c>
      <c r="L223" s="208">
        <v>0</v>
      </c>
      <c r="M223" s="208">
        <v>0</v>
      </c>
      <c r="N223" s="208">
        <v>0</v>
      </c>
    </row>
    <row r="224" spans="1:14" ht="13.5" thickBot="1" x14ac:dyDescent="0.25">
      <c r="A224" s="48" t="s">
        <v>798</v>
      </c>
      <c r="B224" s="224" t="s">
        <v>797</v>
      </c>
      <c r="C224" s="48" t="s">
        <v>25</v>
      </c>
      <c r="D224" s="226">
        <v>11811</v>
      </c>
      <c r="E224" s="208">
        <v>0</v>
      </c>
      <c r="F224" s="208">
        <v>0</v>
      </c>
      <c r="G224" s="208">
        <v>109242</v>
      </c>
      <c r="H224" s="208">
        <v>1000</v>
      </c>
      <c r="I224" s="208">
        <v>110242</v>
      </c>
      <c r="J224" s="208">
        <v>3000</v>
      </c>
      <c r="K224" s="203">
        <v>0</v>
      </c>
      <c r="L224" s="208">
        <v>172566</v>
      </c>
      <c r="M224" s="208">
        <v>1500</v>
      </c>
      <c r="N224" s="208">
        <v>177066</v>
      </c>
    </row>
    <row r="225" spans="1:14" ht="13.5" thickBot="1" x14ac:dyDescent="0.25">
      <c r="A225" s="48" t="s">
        <v>804</v>
      </c>
      <c r="B225" s="224" t="s">
        <v>803</v>
      </c>
      <c r="C225" s="48" t="s">
        <v>25</v>
      </c>
      <c r="D225" s="226">
        <v>10014</v>
      </c>
      <c r="E225" s="208">
        <v>0</v>
      </c>
      <c r="F225" s="208">
        <v>0</v>
      </c>
      <c r="G225" s="208">
        <v>0</v>
      </c>
      <c r="H225" s="208">
        <v>0</v>
      </c>
      <c r="I225" s="208">
        <v>0</v>
      </c>
      <c r="J225" s="208">
        <v>2700</v>
      </c>
      <c r="K225" s="208">
        <v>1192</v>
      </c>
      <c r="L225" s="208">
        <v>38695</v>
      </c>
      <c r="M225" s="208">
        <v>8315</v>
      </c>
      <c r="N225" s="208">
        <v>50902</v>
      </c>
    </row>
    <row r="226" spans="1:14" ht="13.5" thickBot="1" x14ac:dyDescent="0.25">
      <c r="A226" s="48" t="s">
        <v>19</v>
      </c>
      <c r="B226" s="224" t="s">
        <v>18</v>
      </c>
      <c r="C226" s="48" t="s">
        <v>22</v>
      </c>
      <c r="D226" s="226">
        <v>21133</v>
      </c>
      <c r="E226" s="208">
        <v>0</v>
      </c>
      <c r="F226" s="208">
        <v>0</v>
      </c>
      <c r="G226" s="208">
        <v>0</v>
      </c>
      <c r="H226" s="208">
        <v>0</v>
      </c>
      <c r="I226" s="208">
        <v>0</v>
      </c>
      <c r="J226" s="208">
        <v>3408</v>
      </c>
      <c r="K226" s="208">
        <v>64507</v>
      </c>
      <c r="L226" s="208">
        <v>174552</v>
      </c>
      <c r="M226" s="208">
        <v>0</v>
      </c>
      <c r="N226" s="208">
        <v>242467</v>
      </c>
    </row>
    <row r="227" spans="1:14" ht="13.5" thickBot="1" x14ac:dyDescent="0.25">
      <c r="A227" s="48" t="s">
        <v>36</v>
      </c>
      <c r="B227" s="224" t="s">
        <v>35</v>
      </c>
      <c r="C227" s="48" t="s">
        <v>22</v>
      </c>
      <c r="D227" s="226">
        <v>17401</v>
      </c>
      <c r="E227" s="208">
        <v>0</v>
      </c>
      <c r="F227" s="208">
        <v>0</v>
      </c>
      <c r="G227" s="208">
        <v>0</v>
      </c>
      <c r="H227" s="208">
        <v>0</v>
      </c>
      <c r="I227" s="208">
        <v>0</v>
      </c>
      <c r="J227" s="208">
        <v>0</v>
      </c>
      <c r="K227" s="208">
        <v>0</v>
      </c>
      <c r="L227" s="208">
        <v>0</v>
      </c>
      <c r="M227" s="208">
        <v>0</v>
      </c>
      <c r="N227" s="208">
        <v>0</v>
      </c>
    </row>
    <row r="228" spans="1:14" ht="13.5" thickBot="1" x14ac:dyDescent="0.25">
      <c r="A228" s="48" t="s">
        <v>64</v>
      </c>
      <c r="B228" s="224" t="s">
        <v>63</v>
      </c>
      <c r="C228" s="48" t="s">
        <v>22</v>
      </c>
      <c r="D228" s="226">
        <v>21412</v>
      </c>
      <c r="E228" s="208">
        <v>0</v>
      </c>
      <c r="F228" s="208">
        <v>0</v>
      </c>
      <c r="G228" s="208">
        <v>0</v>
      </c>
      <c r="H228" s="208">
        <v>0</v>
      </c>
      <c r="I228" s="208">
        <v>0</v>
      </c>
      <c r="J228" s="203">
        <v>0</v>
      </c>
      <c r="K228" s="208">
        <v>5516</v>
      </c>
      <c r="L228" s="208">
        <v>52130</v>
      </c>
      <c r="M228" s="203">
        <v>0</v>
      </c>
      <c r="N228" s="208">
        <v>57646</v>
      </c>
    </row>
    <row r="229" spans="1:14" ht="13.5" thickBot="1" x14ac:dyDescent="0.25">
      <c r="A229" s="48" t="s">
        <v>68</v>
      </c>
      <c r="B229" s="224" t="s">
        <v>67</v>
      </c>
      <c r="C229" s="48" t="s">
        <v>22</v>
      </c>
      <c r="D229" s="226">
        <v>25883</v>
      </c>
      <c r="E229" s="208">
        <v>0</v>
      </c>
      <c r="F229" s="208">
        <v>0</v>
      </c>
      <c r="G229" s="208">
        <v>0</v>
      </c>
      <c r="H229" s="208">
        <v>0</v>
      </c>
      <c r="I229" s="208">
        <v>0</v>
      </c>
      <c r="J229" s="208">
        <v>10000</v>
      </c>
      <c r="K229" s="208">
        <v>17500</v>
      </c>
      <c r="L229" s="208">
        <v>0</v>
      </c>
      <c r="M229" s="208">
        <v>54351</v>
      </c>
      <c r="N229" s="208">
        <v>81851</v>
      </c>
    </row>
    <row r="230" spans="1:14" ht="13.5" thickBot="1" x14ac:dyDescent="0.25">
      <c r="A230" s="48" t="s">
        <v>88</v>
      </c>
      <c r="B230" s="224" t="s">
        <v>87</v>
      </c>
      <c r="C230" s="48" t="s">
        <v>22</v>
      </c>
      <c r="D230" s="226">
        <v>24787</v>
      </c>
      <c r="E230" s="208">
        <v>0</v>
      </c>
      <c r="F230" s="208">
        <v>0</v>
      </c>
      <c r="G230" s="208">
        <v>0</v>
      </c>
      <c r="H230" s="208">
        <v>0</v>
      </c>
      <c r="I230" s="208">
        <v>0</v>
      </c>
      <c r="J230" s="203">
        <v>0</v>
      </c>
      <c r="K230" s="203">
        <v>0</v>
      </c>
      <c r="L230" s="203">
        <v>0</v>
      </c>
      <c r="M230" s="203">
        <v>0</v>
      </c>
      <c r="N230" s="203">
        <v>0</v>
      </c>
    </row>
    <row r="231" spans="1:14" ht="13.5" thickBot="1" x14ac:dyDescent="0.25">
      <c r="A231" s="48" t="s">
        <v>94</v>
      </c>
      <c r="B231" s="224" t="s">
        <v>93</v>
      </c>
      <c r="C231" s="48" t="s">
        <v>22</v>
      </c>
      <c r="D231" s="226">
        <v>14970</v>
      </c>
      <c r="E231" s="208">
        <v>0</v>
      </c>
      <c r="F231" s="208">
        <v>0</v>
      </c>
      <c r="G231" s="208">
        <v>0</v>
      </c>
      <c r="H231" s="208">
        <v>0</v>
      </c>
      <c r="I231" s="208">
        <v>0</v>
      </c>
      <c r="J231" s="208">
        <v>17520</v>
      </c>
      <c r="K231" s="208">
        <v>2500</v>
      </c>
      <c r="L231" s="208">
        <v>11300</v>
      </c>
      <c r="M231" s="208">
        <v>0</v>
      </c>
      <c r="N231" s="208">
        <v>31320</v>
      </c>
    </row>
    <row r="232" spans="1:14" ht="13.5" thickBot="1" x14ac:dyDescent="0.25">
      <c r="A232" s="48" t="s">
        <v>104</v>
      </c>
      <c r="B232" s="224" t="s">
        <v>103</v>
      </c>
      <c r="C232" s="48" t="s">
        <v>22</v>
      </c>
      <c r="D232" s="226">
        <v>20025</v>
      </c>
      <c r="E232" s="208">
        <v>0</v>
      </c>
      <c r="F232" s="208">
        <v>0</v>
      </c>
      <c r="G232" s="208">
        <v>0</v>
      </c>
      <c r="H232" s="208">
        <v>0</v>
      </c>
      <c r="I232" s="208">
        <v>0</v>
      </c>
      <c r="J232" s="203">
        <v>0</v>
      </c>
      <c r="K232" s="203">
        <v>0</v>
      </c>
      <c r="L232" s="208">
        <v>33882</v>
      </c>
      <c r="M232" s="203">
        <v>0</v>
      </c>
      <c r="N232" s="208">
        <v>33882</v>
      </c>
    </row>
    <row r="233" spans="1:14" ht="13.5" thickBot="1" x14ac:dyDescent="0.25">
      <c r="A233" s="48" t="s">
        <v>116</v>
      </c>
      <c r="B233" s="224" t="s">
        <v>115</v>
      </c>
      <c r="C233" s="48" t="s">
        <v>22</v>
      </c>
      <c r="D233" s="226">
        <v>15175</v>
      </c>
      <c r="E233" s="208">
        <v>0</v>
      </c>
      <c r="F233" s="208">
        <v>0</v>
      </c>
      <c r="G233" s="208">
        <v>0</v>
      </c>
      <c r="H233" s="208">
        <v>0</v>
      </c>
      <c r="I233" s="208">
        <v>0</v>
      </c>
      <c r="J233" s="208">
        <v>32935</v>
      </c>
      <c r="K233" s="208">
        <v>10335</v>
      </c>
      <c r="L233" s="203">
        <v>0</v>
      </c>
      <c r="M233" s="203">
        <v>0</v>
      </c>
      <c r="N233" s="208">
        <v>43270</v>
      </c>
    </row>
    <row r="234" spans="1:14" ht="13.5" thickBot="1" x14ac:dyDescent="0.25">
      <c r="A234" s="48" t="s">
        <v>118</v>
      </c>
      <c r="B234" s="224" t="s">
        <v>117</v>
      </c>
      <c r="C234" s="48" t="s">
        <v>22</v>
      </c>
      <c r="D234" s="226">
        <v>12667</v>
      </c>
      <c r="E234" s="208">
        <v>0</v>
      </c>
      <c r="F234" s="208">
        <v>0</v>
      </c>
      <c r="G234" s="208">
        <v>0</v>
      </c>
      <c r="H234" s="208">
        <v>0</v>
      </c>
      <c r="I234" s="208">
        <v>0</v>
      </c>
      <c r="J234" s="208">
        <v>0</v>
      </c>
      <c r="K234" s="208">
        <v>29258</v>
      </c>
      <c r="L234" s="208">
        <v>0</v>
      </c>
      <c r="M234" s="208">
        <v>0</v>
      </c>
      <c r="N234" s="208">
        <v>29258</v>
      </c>
    </row>
    <row r="235" spans="1:14" ht="13.5" thickBot="1" x14ac:dyDescent="0.25">
      <c r="A235" s="48" t="s">
        <v>122</v>
      </c>
      <c r="B235" s="224" t="s">
        <v>121</v>
      </c>
      <c r="C235" s="48" t="s">
        <v>22</v>
      </c>
      <c r="D235" s="226">
        <v>19336</v>
      </c>
      <c r="E235" s="208">
        <v>0</v>
      </c>
      <c r="F235" s="208">
        <v>0</v>
      </c>
      <c r="G235" s="208">
        <v>0</v>
      </c>
      <c r="H235" s="208">
        <v>0</v>
      </c>
      <c r="I235" s="208">
        <v>0</v>
      </c>
      <c r="J235" s="208">
        <v>0</v>
      </c>
      <c r="K235" s="208">
        <v>0</v>
      </c>
      <c r="L235" s="208">
        <v>0</v>
      </c>
      <c r="M235" s="208">
        <v>0</v>
      </c>
      <c r="N235" s="208">
        <v>0</v>
      </c>
    </row>
    <row r="236" spans="1:14" ht="13.5" thickBot="1" x14ac:dyDescent="0.25">
      <c r="A236" s="48" t="s">
        <v>158</v>
      </c>
      <c r="B236" s="224" t="s">
        <v>157</v>
      </c>
      <c r="C236" s="48" t="s">
        <v>22</v>
      </c>
      <c r="D236" s="226">
        <v>15068</v>
      </c>
      <c r="E236" s="208">
        <v>0</v>
      </c>
      <c r="F236" s="208">
        <v>0</v>
      </c>
      <c r="G236" s="208">
        <v>403191</v>
      </c>
      <c r="H236" s="208">
        <v>0</v>
      </c>
      <c r="I236" s="208">
        <v>403191</v>
      </c>
      <c r="J236" s="203">
        <v>0</v>
      </c>
      <c r="K236" s="208">
        <v>150000</v>
      </c>
      <c r="L236" s="208">
        <v>4000000</v>
      </c>
      <c r="M236" s="203">
        <v>0</v>
      </c>
      <c r="N236" s="208">
        <v>4150000</v>
      </c>
    </row>
    <row r="237" spans="1:14" ht="13.5" thickBot="1" x14ac:dyDescent="0.25">
      <c r="A237" s="48" t="s">
        <v>162</v>
      </c>
      <c r="B237" s="224" t="s">
        <v>161</v>
      </c>
      <c r="C237" s="48" t="s">
        <v>22</v>
      </c>
      <c r="D237" s="226">
        <v>24370</v>
      </c>
      <c r="E237" s="208">
        <v>0</v>
      </c>
      <c r="F237" s="208">
        <v>0</v>
      </c>
      <c r="G237" s="208">
        <v>0</v>
      </c>
      <c r="H237" s="208">
        <v>0</v>
      </c>
      <c r="I237" s="208">
        <v>0</v>
      </c>
      <c r="J237" s="203">
        <v>0</v>
      </c>
      <c r="K237" s="203">
        <v>0</v>
      </c>
      <c r="L237" s="203">
        <v>0</v>
      </c>
      <c r="M237" s="203">
        <v>0</v>
      </c>
      <c r="N237" s="203">
        <v>0</v>
      </c>
    </row>
    <row r="238" spans="1:14" ht="13.5" thickBot="1" x14ac:dyDescent="0.25">
      <c r="A238" s="48" t="s">
        <v>166</v>
      </c>
      <c r="B238" s="224" t="s">
        <v>165</v>
      </c>
      <c r="C238" s="48" t="s">
        <v>22</v>
      </c>
      <c r="D238" s="226">
        <v>13894</v>
      </c>
      <c r="E238" s="208">
        <v>0</v>
      </c>
      <c r="F238" s="208">
        <v>0</v>
      </c>
      <c r="G238" s="208">
        <v>239029</v>
      </c>
      <c r="H238" s="208">
        <v>0</v>
      </c>
      <c r="I238" s="208">
        <v>239029</v>
      </c>
      <c r="J238" s="208">
        <v>0</v>
      </c>
      <c r="K238" s="203">
        <v>0</v>
      </c>
      <c r="L238" s="208">
        <v>38809</v>
      </c>
      <c r="M238" s="203">
        <v>0</v>
      </c>
      <c r="N238" s="208">
        <v>38809</v>
      </c>
    </row>
    <row r="239" spans="1:14" ht="13.5" thickBot="1" x14ac:dyDescent="0.25">
      <c r="A239" s="48" t="s">
        <v>168</v>
      </c>
      <c r="B239" s="224" t="s">
        <v>167</v>
      </c>
      <c r="C239" s="48" t="s">
        <v>22</v>
      </c>
      <c r="D239" s="226">
        <v>15010</v>
      </c>
      <c r="E239" s="208">
        <v>0</v>
      </c>
      <c r="F239" s="208">
        <v>0</v>
      </c>
      <c r="G239" s="208">
        <v>0</v>
      </c>
      <c r="H239" s="208">
        <v>0</v>
      </c>
      <c r="I239" s="208">
        <v>0</v>
      </c>
      <c r="J239" s="208">
        <v>19584</v>
      </c>
      <c r="K239" s="208">
        <v>30579</v>
      </c>
      <c r="L239" s="208">
        <v>89027</v>
      </c>
      <c r="M239" s="208">
        <v>22714</v>
      </c>
      <c r="N239" s="208">
        <v>161904</v>
      </c>
    </row>
    <row r="240" spans="1:14" ht="13.5" thickBot="1" x14ac:dyDescent="0.25">
      <c r="A240" s="48" t="s">
        <v>182</v>
      </c>
      <c r="B240" s="224" t="s">
        <v>181</v>
      </c>
      <c r="C240" s="48" t="s">
        <v>22</v>
      </c>
      <c r="D240" s="226">
        <v>12982</v>
      </c>
      <c r="E240" s="208">
        <v>0</v>
      </c>
      <c r="F240" s="208">
        <v>0</v>
      </c>
      <c r="G240" s="208">
        <v>229047</v>
      </c>
      <c r="H240" s="208">
        <v>1000</v>
      </c>
      <c r="I240" s="208">
        <v>230047</v>
      </c>
      <c r="J240" s="208">
        <v>40057</v>
      </c>
      <c r="K240" s="208">
        <v>4659</v>
      </c>
      <c r="L240" s="208">
        <v>235747</v>
      </c>
      <c r="M240" s="208">
        <v>0</v>
      </c>
      <c r="N240" s="208">
        <v>280463</v>
      </c>
    </row>
    <row r="241" spans="1:14" ht="13.5" thickBot="1" x14ac:dyDescent="0.25">
      <c r="A241" s="48" t="s">
        <v>192</v>
      </c>
      <c r="B241" s="224" t="s">
        <v>191</v>
      </c>
      <c r="C241" s="48" t="s">
        <v>22</v>
      </c>
      <c r="D241" s="226">
        <v>14854</v>
      </c>
      <c r="E241" s="208">
        <v>0</v>
      </c>
      <c r="F241" s="208">
        <v>0</v>
      </c>
      <c r="G241" s="208">
        <v>0</v>
      </c>
      <c r="H241" s="208">
        <v>0</v>
      </c>
      <c r="I241" s="208">
        <v>0</v>
      </c>
      <c r="J241" s="208">
        <v>0</v>
      </c>
      <c r="K241" s="208">
        <v>29748</v>
      </c>
      <c r="L241" s="208">
        <v>0</v>
      </c>
      <c r="M241" s="208">
        <v>20528</v>
      </c>
      <c r="N241" s="208">
        <v>50276</v>
      </c>
    </row>
    <row r="242" spans="1:14" ht="13.5" thickBot="1" x14ac:dyDescent="0.25">
      <c r="A242" s="48" t="s">
        <v>198</v>
      </c>
      <c r="B242" s="224" t="s">
        <v>197</v>
      </c>
      <c r="C242" s="48" t="s">
        <v>22</v>
      </c>
      <c r="D242" s="226">
        <v>14074</v>
      </c>
      <c r="E242" s="208">
        <v>0</v>
      </c>
      <c r="F242" s="208">
        <v>0</v>
      </c>
      <c r="G242" s="208">
        <v>0</v>
      </c>
      <c r="H242" s="208">
        <v>0</v>
      </c>
      <c r="I242" s="208">
        <v>0</v>
      </c>
      <c r="J242" s="208">
        <v>9001</v>
      </c>
      <c r="K242" s="208">
        <v>16</v>
      </c>
      <c r="L242" s="208">
        <v>11883</v>
      </c>
      <c r="M242" s="208">
        <v>0</v>
      </c>
      <c r="N242" s="208">
        <v>20900</v>
      </c>
    </row>
    <row r="243" spans="1:14" ht="13.5" thickBot="1" x14ac:dyDescent="0.25">
      <c r="A243" s="48" t="s">
        <v>224</v>
      </c>
      <c r="B243" s="224" t="s">
        <v>223</v>
      </c>
      <c r="C243" s="48" t="s">
        <v>22</v>
      </c>
      <c r="D243" s="226">
        <v>20542</v>
      </c>
      <c r="E243" s="208">
        <v>0</v>
      </c>
      <c r="F243" s="208">
        <v>0</v>
      </c>
      <c r="G243" s="208">
        <v>0</v>
      </c>
      <c r="H243" s="208">
        <v>0</v>
      </c>
      <c r="I243" s="208">
        <v>0</v>
      </c>
      <c r="J243" s="208">
        <v>0</v>
      </c>
      <c r="K243" s="208">
        <v>6735</v>
      </c>
      <c r="L243" s="208">
        <v>9225</v>
      </c>
      <c r="M243" s="203">
        <v>0</v>
      </c>
      <c r="N243" s="208">
        <v>15960</v>
      </c>
    </row>
    <row r="244" spans="1:14" ht="13.5" thickBot="1" x14ac:dyDescent="0.25">
      <c r="A244" s="48" t="s">
        <v>226</v>
      </c>
      <c r="B244" s="224" t="s">
        <v>225</v>
      </c>
      <c r="C244" s="48" t="s">
        <v>22</v>
      </c>
      <c r="D244" s="226">
        <v>19591</v>
      </c>
      <c r="E244" s="208">
        <v>0</v>
      </c>
      <c r="F244" s="208">
        <v>0</v>
      </c>
      <c r="G244" s="208">
        <v>0</v>
      </c>
      <c r="H244" s="208">
        <v>0</v>
      </c>
      <c r="I244" s="208">
        <v>0</v>
      </c>
      <c r="J244" s="208">
        <v>6855</v>
      </c>
      <c r="K244" s="208">
        <v>34896</v>
      </c>
      <c r="L244" s="208">
        <v>12191</v>
      </c>
      <c r="M244" s="208">
        <v>0</v>
      </c>
      <c r="N244" s="208">
        <v>53942</v>
      </c>
    </row>
    <row r="245" spans="1:14" ht="13.5" thickBot="1" x14ac:dyDescent="0.25">
      <c r="A245" s="48" t="s">
        <v>234</v>
      </c>
      <c r="B245" s="224" t="s">
        <v>233</v>
      </c>
      <c r="C245" s="48" t="s">
        <v>22</v>
      </c>
      <c r="D245" s="226">
        <v>13306</v>
      </c>
      <c r="E245" s="208">
        <v>0</v>
      </c>
      <c r="F245" s="208">
        <v>0</v>
      </c>
      <c r="G245" s="208">
        <v>538920</v>
      </c>
      <c r="H245" s="208">
        <v>40100</v>
      </c>
      <c r="I245" s="208">
        <v>579020</v>
      </c>
      <c r="J245" s="208">
        <v>3400</v>
      </c>
      <c r="K245" s="208">
        <v>195883</v>
      </c>
      <c r="L245" s="208">
        <v>3598528</v>
      </c>
      <c r="M245" s="208">
        <v>0</v>
      </c>
      <c r="N245" s="208">
        <v>3797811</v>
      </c>
    </row>
    <row r="246" spans="1:14" ht="13.5" thickBot="1" x14ac:dyDescent="0.25">
      <c r="A246" s="48" t="s">
        <v>244</v>
      </c>
      <c r="B246" s="224" t="s">
        <v>243</v>
      </c>
      <c r="C246" s="48" t="s">
        <v>22</v>
      </c>
      <c r="D246" s="226">
        <v>12670</v>
      </c>
      <c r="E246" s="208">
        <v>0</v>
      </c>
      <c r="F246" s="208">
        <v>0</v>
      </c>
      <c r="G246" s="208">
        <v>0</v>
      </c>
      <c r="H246" s="208">
        <v>0</v>
      </c>
      <c r="I246" s="208">
        <v>0</v>
      </c>
      <c r="J246" s="208">
        <v>0</v>
      </c>
      <c r="K246" s="208">
        <v>0</v>
      </c>
      <c r="L246" s="208">
        <v>0</v>
      </c>
      <c r="M246" s="208">
        <v>0</v>
      </c>
      <c r="N246" s="208">
        <v>0</v>
      </c>
    </row>
    <row r="247" spans="1:14" ht="13.5" thickBot="1" x14ac:dyDescent="0.25">
      <c r="A247" s="48" t="s">
        <v>260</v>
      </c>
      <c r="B247" s="224" t="s">
        <v>259</v>
      </c>
      <c r="C247" s="48" t="s">
        <v>22</v>
      </c>
      <c r="D247" s="226">
        <v>25830</v>
      </c>
      <c r="E247" s="208">
        <v>0</v>
      </c>
      <c r="F247" s="208">
        <v>0</v>
      </c>
      <c r="G247" s="208">
        <v>0</v>
      </c>
      <c r="H247" s="208">
        <v>0</v>
      </c>
      <c r="I247" s="208">
        <v>0</v>
      </c>
      <c r="J247" s="208">
        <v>0</v>
      </c>
      <c r="K247" s="208">
        <v>0</v>
      </c>
      <c r="L247" s="208">
        <v>0</v>
      </c>
      <c r="M247" s="208">
        <v>0</v>
      </c>
      <c r="N247" s="208">
        <v>0</v>
      </c>
    </row>
    <row r="248" spans="1:14" ht="13.5" thickBot="1" x14ac:dyDescent="0.25">
      <c r="A248" s="48" t="s">
        <v>268</v>
      </c>
      <c r="B248" s="224" t="s">
        <v>267</v>
      </c>
      <c r="C248" s="48" t="s">
        <v>22</v>
      </c>
      <c r="D248" s="226">
        <v>14230</v>
      </c>
      <c r="E248" s="208">
        <v>0</v>
      </c>
      <c r="F248" s="208">
        <v>0</v>
      </c>
      <c r="G248" s="208">
        <v>0</v>
      </c>
      <c r="H248" s="208">
        <v>0</v>
      </c>
      <c r="I248" s="208">
        <v>0</v>
      </c>
      <c r="J248" s="208">
        <v>4236</v>
      </c>
      <c r="K248" s="208">
        <v>0</v>
      </c>
      <c r="L248" s="208">
        <v>11258</v>
      </c>
      <c r="M248" s="208">
        <v>16575</v>
      </c>
      <c r="N248" s="208">
        <v>32069</v>
      </c>
    </row>
    <row r="249" spans="1:14" ht="13.5" thickBot="1" x14ac:dyDescent="0.25">
      <c r="A249" s="48" t="s">
        <v>270</v>
      </c>
      <c r="B249" s="224" t="s">
        <v>269</v>
      </c>
      <c r="C249" s="48" t="s">
        <v>22</v>
      </c>
      <c r="D249" s="226">
        <v>19900</v>
      </c>
      <c r="E249" s="208">
        <v>0</v>
      </c>
      <c r="F249" s="208">
        <v>0</v>
      </c>
      <c r="G249" s="208">
        <v>0</v>
      </c>
      <c r="H249" s="208">
        <v>0</v>
      </c>
      <c r="I249" s="208">
        <v>0</v>
      </c>
      <c r="J249" s="208">
        <v>1302</v>
      </c>
      <c r="K249" s="208">
        <v>25245</v>
      </c>
      <c r="L249" s="208">
        <v>395313</v>
      </c>
      <c r="M249" s="208">
        <v>300000</v>
      </c>
      <c r="N249" s="208">
        <v>721860</v>
      </c>
    </row>
    <row r="250" spans="1:14" ht="13.5" thickBot="1" x14ac:dyDescent="0.25">
      <c r="A250" s="48" t="s">
        <v>274</v>
      </c>
      <c r="B250" s="224" t="s">
        <v>273</v>
      </c>
      <c r="C250" s="48" t="s">
        <v>22</v>
      </c>
      <c r="D250" s="226">
        <v>17626</v>
      </c>
      <c r="E250" s="208">
        <v>0</v>
      </c>
      <c r="F250" s="208">
        <v>0</v>
      </c>
      <c r="G250" s="208">
        <v>0</v>
      </c>
      <c r="H250" s="208">
        <v>0</v>
      </c>
      <c r="I250" s="208">
        <v>0</v>
      </c>
      <c r="J250" s="208">
        <v>0</v>
      </c>
      <c r="K250" s="208">
        <v>0</v>
      </c>
      <c r="L250" s="208">
        <v>0</v>
      </c>
      <c r="M250" s="208">
        <v>0</v>
      </c>
      <c r="N250" s="208">
        <v>0</v>
      </c>
    </row>
    <row r="251" spans="1:14" ht="13.5" thickBot="1" x14ac:dyDescent="0.25">
      <c r="A251" s="48" t="s">
        <v>276</v>
      </c>
      <c r="B251" s="224" t="s">
        <v>275</v>
      </c>
      <c r="C251" s="48" t="s">
        <v>22</v>
      </c>
      <c r="D251" s="226">
        <v>17823</v>
      </c>
      <c r="E251" s="208">
        <v>0</v>
      </c>
      <c r="F251" s="208">
        <v>0</v>
      </c>
      <c r="G251" s="208">
        <v>0</v>
      </c>
      <c r="H251" s="208">
        <v>0</v>
      </c>
      <c r="I251" s="208">
        <v>0</v>
      </c>
      <c r="J251" s="208">
        <v>0</v>
      </c>
      <c r="K251" s="208">
        <v>0</v>
      </c>
      <c r="L251" s="208">
        <v>14676</v>
      </c>
      <c r="M251" s="208">
        <v>0</v>
      </c>
      <c r="N251" s="208">
        <v>14676</v>
      </c>
    </row>
    <row r="252" spans="1:14" ht="13.5" thickBot="1" x14ac:dyDescent="0.25">
      <c r="A252" s="48" t="s">
        <v>282</v>
      </c>
      <c r="B252" s="224" t="s">
        <v>281</v>
      </c>
      <c r="C252" s="48" t="s">
        <v>22</v>
      </c>
      <c r="D252" s="226">
        <v>17068</v>
      </c>
      <c r="E252" s="208">
        <v>0</v>
      </c>
      <c r="F252" s="208">
        <v>0</v>
      </c>
      <c r="G252" s="208">
        <v>13773</v>
      </c>
      <c r="H252" s="208">
        <v>0</v>
      </c>
      <c r="I252" s="208">
        <v>13773</v>
      </c>
      <c r="J252" s="208">
        <v>5200</v>
      </c>
      <c r="K252" s="208">
        <v>3612</v>
      </c>
      <c r="L252" s="208">
        <v>0</v>
      </c>
      <c r="M252" s="208">
        <v>0</v>
      </c>
      <c r="N252" s="208">
        <v>8812</v>
      </c>
    </row>
    <row r="253" spans="1:14" ht="13.5" thickBot="1" x14ac:dyDescent="0.25">
      <c r="A253" s="48" t="s">
        <v>288</v>
      </c>
      <c r="B253" s="224" t="s">
        <v>287</v>
      </c>
      <c r="C253" s="48" t="s">
        <v>22</v>
      </c>
      <c r="D253" s="226">
        <v>14480</v>
      </c>
      <c r="E253" s="208">
        <v>0</v>
      </c>
      <c r="F253" s="208">
        <v>0</v>
      </c>
      <c r="G253" s="208">
        <v>0</v>
      </c>
      <c r="H253" s="208">
        <v>0</v>
      </c>
      <c r="I253" s="208">
        <v>0</v>
      </c>
      <c r="J253" s="208">
        <v>1750</v>
      </c>
      <c r="K253" s="208">
        <v>24695</v>
      </c>
      <c r="L253" s="208">
        <v>0</v>
      </c>
      <c r="M253" s="208">
        <v>0</v>
      </c>
      <c r="N253" s="208">
        <v>26445</v>
      </c>
    </row>
    <row r="254" spans="1:14" ht="13.5" thickBot="1" x14ac:dyDescent="0.25">
      <c r="A254" s="48" t="s">
        <v>292</v>
      </c>
      <c r="B254" s="224" t="s">
        <v>291</v>
      </c>
      <c r="C254" s="48" t="s">
        <v>22</v>
      </c>
      <c r="D254" s="226">
        <v>13326</v>
      </c>
      <c r="E254" s="208">
        <v>0</v>
      </c>
      <c r="F254" s="208">
        <v>0</v>
      </c>
      <c r="G254" s="208">
        <v>0</v>
      </c>
      <c r="H254" s="208">
        <v>0</v>
      </c>
      <c r="I254" s="208">
        <v>0</v>
      </c>
      <c r="J254" s="208">
        <v>7058</v>
      </c>
      <c r="K254" s="208">
        <v>9882</v>
      </c>
      <c r="L254" s="208">
        <v>3016</v>
      </c>
      <c r="M254" s="203">
        <v>0</v>
      </c>
      <c r="N254" s="208">
        <v>19956</v>
      </c>
    </row>
    <row r="255" spans="1:14" ht="13.5" thickBot="1" x14ac:dyDescent="0.25">
      <c r="A255" s="48" t="s">
        <v>294</v>
      </c>
      <c r="B255" s="224" t="s">
        <v>293</v>
      </c>
      <c r="C255" s="48" t="s">
        <v>22</v>
      </c>
      <c r="D255" s="226">
        <v>13598</v>
      </c>
      <c r="E255" s="208">
        <v>0</v>
      </c>
      <c r="F255" s="208">
        <v>0</v>
      </c>
      <c r="G255" s="208">
        <v>0</v>
      </c>
      <c r="H255" s="208">
        <v>0</v>
      </c>
      <c r="I255" s="208">
        <v>0</v>
      </c>
      <c r="J255" s="208">
        <v>2380</v>
      </c>
      <c r="K255" s="208">
        <v>1316</v>
      </c>
      <c r="L255" s="208">
        <v>0</v>
      </c>
      <c r="M255" s="208">
        <v>0</v>
      </c>
      <c r="N255" s="208">
        <v>3696</v>
      </c>
    </row>
    <row r="256" spans="1:14" ht="13.5" thickBot="1" x14ac:dyDescent="0.25">
      <c r="A256" s="48" t="s">
        <v>312</v>
      </c>
      <c r="B256" s="224" t="s">
        <v>311</v>
      </c>
      <c r="C256" s="48" t="s">
        <v>22</v>
      </c>
      <c r="D256" s="226">
        <v>25692</v>
      </c>
      <c r="E256" s="208">
        <v>0</v>
      </c>
      <c r="F256" s="208">
        <v>0</v>
      </c>
      <c r="G256" s="208">
        <v>0</v>
      </c>
      <c r="H256" s="208">
        <v>0</v>
      </c>
      <c r="I256" s="208">
        <v>0</v>
      </c>
      <c r="J256" s="203">
        <v>0</v>
      </c>
      <c r="K256" s="203">
        <v>0</v>
      </c>
      <c r="L256" s="203">
        <v>0</v>
      </c>
      <c r="M256" s="208">
        <v>0</v>
      </c>
      <c r="N256" s="208">
        <v>0</v>
      </c>
    </row>
    <row r="257" spans="1:14" ht="13.5" thickBot="1" x14ac:dyDescent="0.25">
      <c r="A257" s="48" t="s">
        <v>320</v>
      </c>
      <c r="B257" s="224" t="s">
        <v>319</v>
      </c>
      <c r="C257" s="48" t="s">
        <v>22</v>
      </c>
      <c r="D257" s="226">
        <v>15959</v>
      </c>
      <c r="E257" s="208">
        <v>0</v>
      </c>
      <c r="F257" s="208">
        <v>0</v>
      </c>
      <c r="G257" s="208">
        <v>22988</v>
      </c>
      <c r="H257" s="208">
        <v>0</v>
      </c>
      <c r="I257" s="208">
        <v>22988</v>
      </c>
      <c r="J257" s="203">
        <v>0</v>
      </c>
      <c r="K257" s="208">
        <v>22293</v>
      </c>
      <c r="L257" s="208">
        <v>695</v>
      </c>
      <c r="M257" s="203">
        <v>0</v>
      </c>
      <c r="N257" s="208">
        <v>22988</v>
      </c>
    </row>
    <row r="258" spans="1:14" ht="13.5" thickBot="1" x14ac:dyDescent="0.25">
      <c r="A258" s="48" t="s">
        <v>330</v>
      </c>
      <c r="B258" s="224" t="s">
        <v>329</v>
      </c>
      <c r="C258" s="48" t="s">
        <v>22</v>
      </c>
      <c r="D258" s="226">
        <v>21165</v>
      </c>
      <c r="E258" s="208">
        <v>0</v>
      </c>
      <c r="F258" s="208">
        <v>0</v>
      </c>
      <c r="G258" s="208">
        <v>0</v>
      </c>
      <c r="H258" s="208">
        <v>0</v>
      </c>
      <c r="I258" s="208">
        <v>0</v>
      </c>
      <c r="J258" s="208">
        <v>0</v>
      </c>
      <c r="K258" s="208">
        <v>8562</v>
      </c>
      <c r="L258" s="208">
        <v>0</v>
      </c>
      <c r="M258" s="208">
        <v>0</v>
      </c>
      <c r="N258" s="208">
        <v>8562</v>
      </c>
    </row>
    <row r="259" spans="1:14" ht="13.5" thickBot="1" x14ac:dyDescent="0.25">
      <c r="A259" s="48" t="s">
        <v>332</v>
      </c>
      <c r="B259" s="224" t="s">
        <v>331</v>
      </c>
      <c r="C259" s="48" t="s">
        <v>22</v>
      </c>
      <c r="D259" s="226">
        <v>22423</v>
      </c>
      <c r="E259" s="208">
        <v>0</v>
      </c>
      <c r="F259" s="208">
        <v>0</v>
      </c>
      <c r="G259" s="208">
        <v>0</v>
      </c>
      <c r="H259" s="208">
        <v>0</v>
      </c>
      <c r="I259" s="208">
        <v>0</v>
      </c>
      <c r="J259" s="208">
        <v>0</v>
      </c>
      <c r="K259" s="208">
        <v>0</v>
      </c>
      <c r="L259" s="208">
        <v>0</v>
      </c>
      <c r="M259" s="208">
        <v>0</v>
      </c>
      <c r="N259" s="208">
        <v>0</v>
      </c>
    </row>
    <row r="260" spans="1:14" ht="13.5" thickBot="1" x14ac:dyDescent="0.25">
      <c r="A260" s="48" t="s">
        <v>336</v>
      </c>
      <c r="B260" s="224" t="s">
        <v>335</v>
      </c>
      <c r="C260" s="48" t="s">
        <v>22</v>
      </c>
      <c r="D260" s="226">
        <v>14236</v>
      </c>
      <c r="E260" s="208">
        <v>0</v>
      </c>
      <c r="F260" s="208">
        <v>0</v>
      </c>
      <c r="G260" s="208">
        <v>0</v>
      </c>
      <c r="H260" s="208">
        <v>0</v>
      </c>
      <c r="I260" s="208">
        <v>0</v>
      </c>
      <c r="J260" s="208">
        <v>0</v>
      </c>
      <c r="K260" s="208">
        <v>0</v>
      </c>
      <c r="L260" s="208">
        <v>0</v>
      </c>
      <c r="M260" s="208">
        <v>0</v>
      </c>
      <c r="N260" s="208">
        <v>0</v>
      </c>
    </row>
    <row r="261" spans="1:14" ht="13.5" thickBot="1" x14ac:dyDescent="0.25">
      <c r="A261" s="48" t="s">
        <v>338</v>
      </c>
      <c r="B261" s="224" t="s">
        <v>337</v>
      </c>
      <c r="C261" s="48" t="s">
        <v>22</v>
      </c>
      <c r="D261" s="226">
        <v>12920</v>
      </c>
      <c r="E261" s="208">
        <v>0</v>
      </c>
      <c r="F261" s="208">
        <v>0</v>
      </c>
      <c r="G261" s="208">
        <v>0</v>
      </c>
      <c r="H261" s="208">
        <v>0</v>
      </c>
      <c r="I261" s="208">
        <v>0</v>
      </c>
      <c r="J261" s="208">
        <v>0</v>
      </c>
      <c r="K261" s="208">
        <v>0</v>
      </c>
      <c r="L261" s="208">
        <v>0</v>
      </c>
      <c r="M261" s="208">
        <v>0</v>
      </c>
      <c r="N261" s="208">
        <v>0</v>
      </c>
    </row>
    <row r="262" spans="1:14" ht="13.5" thickBot="1" x14ac:dyDescent="0.25">
      <c r="A262" s="48" t="s">
        <v>340</v>
      </c>
      <c r="B262" s="224" t="s">
        <v>339</v>
      </c>
      <c r="C262" s="48" t="s">
        <v>22</v>
      </c>
      <c r="D262" s="226">
        <v>24587</v>
      </c>
      <c r="E262" s="208">
        <v>0</v>
      </c>
      <c r="F262" s="208">
        <v>0</v>
      </c>
      <c r="G262" s="208">
        <v>0</v>
      </c>
      <c r="H262" s="208">
        <v>0</v>
      </c>
      <c r="I262" s="208">
        <v>0</v>
      </c>
      <c r="J262" s="208">
        <v>0</v>
      </c>
      <c r="K262" s="208">
        <v>63968</v>
      </c>
      <c r="L262" s="208">
        <v>40651</v>
      </c>
      <c r="M262" s="208">
        <v>0</v>
      </c>
      <c r="N262" s="208">
        <v>104619</v>
      </c>
    </row>
    <row r="263" spans="1:14" ht="13.5" thickBot="1" x14ac:dyDescent="0.25">
      <c r="A263" s="48" t="s">
        <v>346</v>
      </c>
      <c r="B263" s="224" t="s">
        <v>345</v>
      </c>
      <c r="C263" s="48" t="s">
        <v>22</v>
      </c>
      <c r="D263" s="226">
        <v>13233</v>
      </c>
      <c r="E263" s="208">
        <v>0</v>
      </c>
      <c r="F263" s="208">
        <v>0</v>
      </c>
      <c r="G263" s="208">
        <v>0</v>
      </c>
      <c r="H263" s="208">
        <v>0</v>
      </c>
      <c r="I263" s="208">
        <v>0</v>
      </c>
      <c r="J263" s="208">
        <v>0</v>
      </c>
      <c r="K263" s="208">
        <v>0</v>
      </c>
      <c r="L263" s="208">
        <v>0</v>
      </c>
      <c r="M263" s="208">
        <v>0</v>
      </c>
      <c r="N263" s="208">
        <v>0</v>
      </c>
    </row>
    <row r="264" spans="1:14" ht="13.5" thickBot="1" x14ac:dyDescent="0.25">
      <c r="A264" s="48" t="s">
        <v>348</v>
      </c>
      <c r="B264" s="224" t="s">
        <v>347</v>
      </c>
      <c r="C264" s="48" t="s">
        <v>22</v>
      </c>
      <c r="D264" s="226">
        <v>16422</v>
      </c>
      <c r="E264" s="208">
        <v>0</v>
      </c>
      <c r="F264" s="208">
        <v>0</v>
      </c>
      <c r="G264" s="208">
        <v>0</v>
      </c>
      <c r="H264" s="208">
        <v>0</v>
      </c>
      <c r="I264" s="208">
        <v>0</v>
      </c>
      <c r="J264" s="208">
        <v>0</v>
      </c>
      <c r="K264" s="208">
        <v>0</v>
      </c>
      <c r="L264" s="208">
        <v>135726</v>
      </c>
      <c r="M264" s="208">
        <v>0</v>
      </c>
      <c r="N264" s="208">
        <v>135726</v>
      </c>
    </row>
    <row r="265" spans="1:14" ht="13.5" thickBot="1" x14ac:dyDescent="0.25">
      <c r="A265" s="48" t="s">
        <v>356</v>
      </c>
      <c r="B265" s="224" t="s">
        <v>355</v>
      </c>
      <c r="C265" s="48" t="s">
        <v>22</v>
      </c>
      <c r="D265" s="226">
        <v>19202</v>
      </c>
      <c r="E265" s="208">
        <v>0</v>
      </c>
      <c r="F265" s="208">
        <v>0</v>
      </c>
      <c r="G265" s="208">
        <v>0</v>
      </c>
      <c r="H265" s="208">
        <v>0</v>
      </c>
      <c r="I265" s="208">
        <v>0</v>
      </c>
      <c r="J265" s="208">
        <v>0</v>
      </c>
      <c r="K265" s="208">
        <v>0</v>
      </c>
      <c r="L265" s="208">
        <v>0</v>
      </c>
      <c r="M265" s="208">
        <v>0</v>
      </c>
      <c r="N265" s="208">
        <v>0</v>
      </c>
    </row>
    <row r="266" spans="1:14" ht="13.5" thickBot="1" x14ac:dyDescent="0.25">
      <c r="A266" s="48" t="s">
        <v>360</v>
      </c>
      <c r="B266" s="224" t="s">
        <v>359</v>
      </c>
      <c r="C266" s="48" t="s">
        <v>22</v>
      </c>
      <c r="D266" s="226">
        <v>23088</v>
      </c>
      <c r="E266" s="208">
        <v>0</v>
      </c>
      <c r="F266" s="208">
        <v>0</v>
      </c>
      <c r="G266" s="208">
        <v>0</v>
      </c>
      <c r="H266" s="208">
        <v>0</v>
      </c>
      <c r="I266" s="208">
        <v>0</v>
      </c>
      <c r="J266" s="208">
        <v>4134</v>
      </c>
      <c r="K266" s="208">
        <v>1342</v>
      </c>
      <c r="L266" s="203">
        <v>0</v>
      </c>
      <c r="M266" s="203">
        <v>0</v>
      </c>
      <c r="N266" s="208">
        <v>5476</v>
      </c>
    </row>
    <row r="267" spans="1:14" ht="13.5" thickBot="1" x14ac:dyDescent="0.25">
      <c r="A267" s="48" t="s">
        <v>368</v>
      </c>
      <c r="B267" s="224" t="s">
        <v>367</v>
      </c>
      <c r="C267" s="48" t="s">
        <v>22</v>
      </c>
      <c r="D267" s="226">
        <v>15322</v>
      </c>
      <c r="E267" s="208">
        <v>0</v>
      </c>
      <c r="F267" s="208">
        <v>0</v>
      </c>
      <c r="G267" s="208">
        <v>0</v>
      </c>
      <c r="H267" s="208">
        <v>0</v>
      </c>
      <c r="I267" s="208">
        <v>0</v>
      </c>
      <c r="J267" s="208">
        <v>0</v>
      </c>
      <c r="K267" s="208">
        <v>18285</v>
      </c>
      <c r="L267" s="208">
        <v>0</v>
      </c>
      <c r="M267" s="208">
        <v>0</v>
      </c>
      <c r="N267" s="208">
        <v>18285</v>
      </c>
    </row>
    <row r="268" spans="1:14" ht="13.5" thickBot="1" x14ac:dyDescent="0.25">
      <c r="A268" s="48" t="s">
        <v>370</v>
      </c>
      <c r="B268" s="224" t="s">
        <v>369</v>
      </c>
      <c r="C268" s="48" t="s">
        <v>22</v>
      </c>
      <c r="D268" s="226">
        <v>22115</v>
      </c>
      <c r="E268" s="208">
        <v>0</v>
      </c>
      <c r="F268" s="208">
        <v>0</v>
      </c>
      <c r="G268" s="208">
        <v>0</v>
      </c>
      <c r="H268" s="208">
        <v>3526</v>
      </c>
      <c r="I268" s="208">
        <v>3526</v>
      </c>
      <c r="J268" s="208">
        <v>0</v>
      </c>
      <c r="K268" s="208">
        <v>0</v>
      </c>
      <c r="L268" s="208">
        <v>0</v>
      </c>
      <c r="M268" s="208">
        <v>0</v>
      </c>
      <c r="N268" s="208">
        <v>0</v>
      </c>
    </row>
    <row r="269" spans="1:14" ht="13.5" thickBot="1" x14ac:dyDescent="0.25">
      <c r="A269" s="48" t="s">
        <v>384</v>
      </c>
      <c r="B269" s="224" t="s">
        <v>383</v>
      </c>
      <c r="C269" s="48" t="s">
        <v>22</v>
      </c>
      <c r="D269" s="226">
        <v>21638</v>
      </c>
      <c r="E269" s="208">
        <v>0</v>
      </c>
      <c r="F269" s="208">
        <v>0</v>
      </c>
      <c r="G269" s="208">
        <v>0</v>
      </c>
      <c r="H269" s="208">
        <v>0</v>
      </c>
      <c r="I269" s="208">
        <v>0</v>
      </c>
      <c r="J269" s="208">
        <v>12255</v>
      </c>
      <c r="K269" s="208">
        <v>5864</v>
      </c>
      <c r="L269" s="208">
        <v>0</v>
      </c>
      <c r="M269" s="208">
        <v>0</v>
      </c>
      <c r="N269" s="208">
        <v>18119</v>
      </c>
    </row>
    <row r="270" spans="1:14" ht="13.5" thickBot="1" x14ac:dyDescent="0.25">
      <c r="A270" s="48" t="s">
        <v>390</v>
      </c>
      <c r="B270" s="224" t="s">
        <v>389</v>
      </c>
      <c r="C270" s="48" t="s">
        <v>22</v>
      </c>
      <c r="D270" s="226">
        <v>13600</v>
      </c>
      <c r="E270" s="208">
        <v>0</v>
      </c>
      <c r="F270" s="208">
        <v>0</v>
      </c>
      <c r="G270" s="208">
        <v>0</v>
      </c>
      <c r="H270" s="208">
        <v>1284</v>
      </c>
      <c r="I270" s="208">
        <v>1284</v>
      </c>
      <c r="J270" s="208">
        <v>3071</v>
      </c>
      <c r="K270" s="208">
        <v>1415</v>
      </c>
      <c r="L270" s="208">
        <v>3929</v>
      </c>
      <c r="M270" s="208">
        <v>0</v>
      </c>
      <c r="N270" s="208">
        <v>8415</v>
      </c>
    </row>
    <row r="271" spans="1:14" ht="13.5" thickBot="1" x14ac:dyDescent="0.25">
      <c r="A271" s="48" t="s">
        <v>404</v>
      </c>
      <c r="B271" s="224" t="s">
        <v>403</v>
      </c>
      <c r="C271" s="48" t="s">
        <v>22</v>
      </c>
      <c r="D271" s="226">
        <v>17153</v>
      </c>
      <c r="E271" s="208">
        <v>0</v>
      </c>
      <c r="F271" s="208">
        <v>0</v>
      </c>
      <c r="G271" s="208">
        <v>0</v>
      </c>
      <c r="H271" s="208">
        <v>0</v>
      </c>
      <c r="I271" s="208">
        <v>0</v>
      </c>
      <c r="J271" s="208">
        <v>1178</v>
      </c>
      <c r="K271" s="208">
        <v>3802</v>
      </c>
      <c r="L271" s="208">
        <v>0</v>
      </c>
      <c r="M271" s="208">
        <v>0</v>
      </c>
      <c r="N271" s="208">
        <v>4980</v>
      </c>
    </row>
    <row r="272" spans="1:14" ht="13.5" thickBot="1" x14ac:dyDescent="0.25">
      <c r="A272" s="48" t="s">
        <v>423</v>
      </c>
      <c r="B272" s="224" t="s">
        <v>422</v>
      </c>
      <c r="C272" s="48" t="s">
        <v>22</v>
      </c>
      <c r="D272" s="226">
        <v>25369</v>
      </c>
      <c r="E272" s="208">
        <v>0</v>
      </c>
      <c r="F272" s="208">
        <v>0</v>
      </c>
      <c r="G272" s="208">
        <v>0</v>
      </c>
      <c r="H272" s="208">
        <v>0</v>
      </c>
      <c r="I272" s="208">
        <v>0</v>
      </c>
      <c r="J272" s="208">
        <v>0</v>
      </c>
      <c r="K272" s="208">
        <v>201716</v>
      </c>
      <c r="L272" s="208">
        <v>1765757</v>
      </c>
      <c r="M272" s="208">
        <v>0</v>
      </c>
      <c r="N272" s="208">
        <v>1967473</v>
      </c>
    </row>
    <row r="273" spans="1:14" ht="13.5" thickBot="1" x14ac:dyDescent="0.25">
      <c r="A273" s="48" t="s">
        <v>439</v>
      </c>
      <c r="B273" s="224" t="s">
        <v>438</v>
      </c>
      <c r="C273" s="48" t="s">
        <v>22</v>
      </c>
      <c r="D273" s="226">
        <v>22258</v>
      </c>
      <c r="E273" s="208">
        <v>0</v>
      </c>
      <c r="F273" s="208">
        <v>0</v>
      </c>
      <c r="G273" s="208">
        <v>0</v>
      </c>
      <c r="H273" s="208">
        <v>0</v>
      </c>
      <c r="I273" s="208">
        <v>0</v>
      </c>
      <c r="J273" s="208">
        <v>28152</v>
      </c>
      <c r="K273" s="208">
        <v>27467</v>
      </c>
      <c r="L273" s="208">
        <v>69635</v>
      </c>
      <c r="M273" s="208">
        <v>33176</v>
      </c>
      <c r="N273" s="208">
        <v>158430</v>
      </c>
    </row>
    <row r="274" spans="1:14" ht="13.5" thickBot="1" x14ac:dyDescent="0.25">
      <c r="A274" s="48" t="s">
        <v>452</v>
      </c>
      <c r="B274" s="224" t="s">
        <v>451</v>
      </c>
      <c r="C274" s="48" t="s">
        <v>22</v>
      </c>
      <c r="D274" s="226">
        <v>14545</v>
      </c>
      <c r="E274" s="208">
        <v>0</v>
      </c>
      <c r="F274" s="208">
        <v>0</v>
      </c>
      <c r="G274" s="208">
        <v>0</v>
      </c>
      <c r="H274" s="208">
        <v>0</v>
      </c>
      <c r="I274" s="208">
        <v>0</v>
      </c>
      <c r="J274" s="208">
        <v>7513</v>
      </c>
      <c r="K274" s="208">
        <v>42124</v>
      </c>
      <c r="L274" s="208">
        <v>0</v>
      </c>
      <c r="M274" s="208">
        <v>0</v>
      </c>
      <c r="N274" s="208">
        <v>49637</v>
      </c>
    </row>
    <row r="275" spans="1:14" ht="13.5" thickBot="1" x14ac:dyDescent="0.25">
      <c r="A275" s="48" t="s">
        <v>458</v>
      </c>
      <c r="B275" s="224" t="s">
        <v>457</v>
      </c>
      <c r="C275" s="48" t="s">
        <v>22</v>
      </c>
      <c r="D275" s="226">
        <v>13452</v>
      </c>
      <c r="E275" s="208">
        <v>0</v>
      </c>
      <c r="F275" s="208">
        <v>0</v>
      </c>
      <c r="G275" s="208">
        <v>0</v>
      </c>
      <c r="H275" s="208">
        <v>0</v>
      </c>
      <c r="I275" s="208">
        <v>0</v>
      </c>
      <c r="J275" s="208">
        <v>28426</v>
      </c>
      <c r="K275" s="208">
        <v>0</v>
      </c>
      <c r="L275" s="208">
        <v>25604</v>
      </c>
      <c r="M275" s="208">
        <v>0</v>
      </c>
      <c r="N275" s="208">
        <v>54030</v>
      </c>
    </row>
    <row r="276" spans="1:14" ht="13.5" thickBot="1" x14ac:dyDescent="0.25">
      <c r="A276" s="48" t="s">
        <v>472</v>
      </c>
      <c r="B276" s="224" t="s">
        <v>471</v>
      </c>
      <c r="C276" s="48" t="s">
        <v>22</v>
      </c>
      <c r="D276" s="226">
        <v>22995</v>
      </c>
      <c r="E276" s="208">
        <v>0</v>
      </c>
      <c r="F276" s="208">
        <v>0</v>
      </c>
      <c r="G276" s="208">
        <v>0</v>
      </c>
      <c r="H276" s="208">
        <v>29418</v>
      </c>
      <c r="I276" s="208">
        <v>29418</v>
      </c>
      <c r="J276" s="208">
        <v>23980</v>
      </c>
      <c r="K276" s="208">
        <v>54629</v>
      </c>
      <c r="L276" s="208">
        <v>0</v>
      </c>
      <c r="M276" s="208">
        <v>0</v>
      </c>
      <c r="N276" s="208">
        <v>78609</v>
      </c>
    </row>
    <row r="277" spans="1:14" ht="13.5" thickBot="1" x14ac:dyDescent="0.25">
      <c r="A277" s="48" t="s">
        <v>482</v>
      </c>
      <c r="B277" s="224" t="s">
        <v>481</v>
      </c>
      <c r="C277" s="48" t="s">
        <v>22</v>
      </c>
      <c r="D277" s="226">
        <v>14948</v>
      </c>
      <c r="E277" s="208">
        <v>0</v>
      </c>
      <c r="F277" s="208">
        <v>0</v>
      </c>
      <c r="G277" s="208">
        <v>0</v>
      </c>
      <c r="H277" s="208">
        <v>0</v>
      </c>
      <c r="I277" s="208">
        <v>0</v>
      </c>
      <c r="J277" s="208">
        <v>0</v>
      </c>
      <c r="K277" s="208">
        <v>9530</v>
      </c>
      <c r="L277" s="208">
        <v>0</v>
      </c>
      <c r="M277" s="208">
        <v>0</v>
      </c>
      <c r="N277" s="208">
        <v>9530</v>
      </c>
    </row>
    <row r="278" spans="1:14" ht="13.5" thickBot="1" x14ac:dyDescent="0.25">
      <c r="A278" s="48" t="s">
        <v>486</v>
      </c>
      <c r="B278" s="224" t="s">
        <v>485</v>
      </c>
      <c r="C278" s="48" t="s">
        <v>22</v>
      </c>
      <c r="D278" s="226">
        <v>18393</v>
      </c>
      <c r="E278" s="208">
        <v>0</v>
      </c>
      <c r="F278" s="208">
        <v>0</v>
      </c>
      <c r="G278" s="208">
        <v>0</v>
      </c>
      <c r="H278" s="208">
        <v>28391</v>
      </c>
      <c r="I278" s="208">
        <v>28391</v>
      </c>
      <c r="J278" s="208">
        <v>0</v>
      </c>
      <c r="K278" s="208">
        <v>0</v>
      </c>
      <c r="L278" s="208">
        <v>582470</v>
      </c>
      <c r="M278" s="208">
        <v>0</v>
      </c>
      <c r="N278" s="208">
        <v>582470</v>
      </c>
    </row>
    <row r="279" spans="1:14" ht="13.5" thickBot="1" x14ac:dyDescent="0.25">
      <c r="A279" s="48" t="s">
        <v>496</v>
      </c>
      <c r="B279" s="224" t="s">
        <v>495</v>
      </c>
      <c r="C279" s="48" t="s">
        <v>22</v>
      </c>
      <c r="D279" s="226">
        <v>14384</v>
      </c>
      <c r="E279" s="208">
        <v>0</v>
      </c>
      <c r="F279" s="208">
        <v>0</v>
      </c>
      <c r="G279" s="208">
        <v>0</v>
      </c>
      <c r="H279" s="208">
        <v>0</v>
      </c>
      <c r="I279" s="208">
        <v>0</v>
      </c>
      <c r="J279" s="208">
        <v>0</v>
      </c>
      <c r="K279" s="208">
        <v>0</v>
      </c>
      <c r="L279" s="208">
        <v>0</v>
      </c>
      <c r="M279" s="208">
        <v>0</v>
      </c>
      <c r="N279" s="208">
        <v>0</v>
      </c>
    </row>
    <row r="280" spans="1:14" ht="13.5" thickBot="1" x14ac:dyDescent="0.25">
      <c r="A280" s="48" t="s">
        <v>500</v>
      </c>
      <c r="B280" s="224" t="s">
        <v>499</v>
      </c>
      <c r="C280" s="48" t="s">
        <v>22</v>
      </c>
      <c r="D280" s="226">
        <v>17511</v>
      </c>
      <c r="E280" s="208">
        <v>0</v>
      </c>
      <c r="F280" s="208">
        <v>0</v>
      </c>
      <c r="G280" s="208">
        <v>0</v>
      </c>
      <c r="H280" s="208">
        <v>0</v>
      </c>
      <c r="I280" s="208">
        <v>0</v>
      </c>
      <c r="J280" s="208">
        <v>0</v>
      </c>
      <c r="K280" s="208">
        <v>19203</v>
      </c>
      <c r="L280" s="208">
        <v>0</v>
      </c>
      <c r="M280" s="208">
        <v>0</v>
      </c>
      <c r="N280" s="208">
        <v>19203</v>
      </c>
    </row>
    <row r="281" spans="1:14" ht="13.5" thickBot="1" x14ac:dyDescent="0.25">
      <c r="A281" s="48" t="s">
        <v>502</v>
      </c>
      <c r="B281" s="224" t="s">
        <v>501</v>
      </c>
      <c r="C281" s="48" t="s">
        <v>22</v>
      </c>
      <c r="D281" s="226">
        <v>15736</v>
      </c>
      <c r="E281" s="208">
        <v>0</v>
      </c>
      <c r="F281" s="208">
        <v>0</v>
      </c>
      <c r="G281" s="208">
        <v>0</v>
      </c>
      <c r="H281" s="208">
        <v>0</v>
      </c>
      <c r="I281" s="208">
        <v>0</v>
      </c>
      <c r="J281" s="208">
        <v>5741</v>
      </c>
      <c r="K281" s="208">
        <v>14982</v>
      </c>
      <c r="L281" s="208">
        <v>6857</v>
      </c>
      <c r="M281" s="208">
        <v>0</v>
      </c>
      <c r="N281" s="208">
        <v>27580</v>
      </c>
    </row>
    <row r="282" spans="1:14" ht="13.5" thickBot="1" x14ac:dyDescent="0.25">
      <c r="A282" s="48" t="s">
        <v>506</v>
      </c>
      <c r="B282" s="224" t="s">
        <v>505</v>
      </c>
      <c r="C282" s="48" t="s">
        <v>22</v>
      </c>
      <c r="D282" s="226">
        <v>13097</v>
      </c>
      <c r="E282" s="208">
        <v>0</v>
      </c>
      <c r="F282" s="208">
        <v>0</v>
      </c>
      <c r="G282" s="208">
        <v>0</v>
      </c>
      <c r="H282" s="208">
        <v>0</v>
      </c>
      <c r="I282" s="208">
        <v>0</v>
      </c>
      <c r="J282" s="208">
        <v>0</v>
      </c>
      <c r="K282" s="208">
        <v>0</v>
      </c>
      <c r="L282" s="208">
        <v>34798</v>
      </c>
      <c r="M282" s="208">
        <v>0</v>
      </c>
      <c r="N282" s="208">
        <v>34798</v>
      </c>
    </row>
    <row r="283" spans="1:14" ht="13.5" thickBot="1" x14ac:dyDescent="0.25">
      <c r="A283" s="48" t="s">
        <v>516</v>
      </c>
      <c r="B283" s="224" t="s">
        <v>515</v>
      </c>
      <c r="C283" s="48" t="s">
        <v>22</v>
      </c>
      <c r="D283" s="226">
        <v>22857</v>
      </c>
      <c r="E283" s="208">
        <v>0</v>
      </c>
      <c r="F283" s="208">
        <v>0</v>
      </c>
      <c r="G283" s="208">
        <v>0</v>
      </c>
      <c r="H283" s="208">
        <v>0</v>
      </c>
      <c r="I283" s="208">
        <v>0</v>
      </c>
      <c r="J283" s="208">
        <v>0</v>
      </c>
      <c r="K283" s="208">
        <v>0</v>
      </c>
      <c r="L283" s="203">
        <v>0</v>
      </c>
      <c r="M283" s="208">
        <v>25396</v>
      </c>
      <c r="N283" s="208">
        <v>25396</v>
      </c>
    </row>
    <row r="284" spans="1:14" ht="13.5" thickBot="1" x14ac:dyDescent="0.25">
      <c r="A284" s="48" t="s">
        <v>530</v>
      </c>
      <c r="B284" s="224" t="s">
        <v>529</v>
      </c>
      <c r="C284" s="48" t="s">
        <v>22</v>
      </c>
      <c r="D284" s="226">
        <v>24520</v>
      </c>
      <c r="E284" s="208">
        <v>0</v>
      </c>
      <c r="F284" s="208">
        <v>0</v>
      </c>
      <c r="G284" s="208">
        <v>0</v>
      </c>
      <c r="H284" s="208">
        <v>0</v>
      </c>
      <c r="I284" s="208">
        <v>0</v>
      </c>
      <c r="J284" s="208">
        <v>0</v>
      </c>
      <c r="K284" s="208">
        <v>0</v>
      </c>
      <c r="L284" s="208">
        <v>0</v>
      </c>
      <c r="M284" s="208">
        <v>0</v>
      </c>
      <c r="N284" s="208">
        <v>0</v>
      </c>
    </row>
    <row r="285" spans="1:14" ht="13.5" thickBot="1" x14ac:dyDescent="0.25">
      <c r="A285" s="48" t="s">
        <v>546</v>
      </c>
      <c r="B285" s="224" t="s">
        <v>545</v>
      </c>
      <c r="C285" s="48" t="s">
        <v>22</v>
      </c>
      <c r="D285" s="226">
        <v>12561</v>
      </c>
      <c r="E285" s="208">
        <v>0</v>
      </c>
      <c r="F285" s="208">
        <v>0</v>
      </c>
      <c r="G285" s="208">
        <v>0</v>
      </c>
      <c r="H285" s="208">
        <v>0</v>
      </c>
      <c r="I285" s="208">
        <v>0</v>
      </c>
      <c r="J285" s="208">
        <v>1000</v>
      </c>
      <c r="K285" s="208">
        <v>4000</v>
      </c>
      <c r="L285" s="203">
        <v>0</v>
      </c>
      <c r="M285" s="203">
        <v>0</v>
      </c>
      <c r="N285" s="208">
        <v>5000</v>
      </c>
    </row>
    <row r="286" spans="1:14" ht="13.5" thickBot="1" x14ac:dyDescent="0.25">
      <c r="A286" s="48" t="s">
        <v>556</v>
      </c>
      <c r="B286" s="224" t="s">
        <v>555</v>
      </c>
      <c r="C286" s="48" t="s">
        <v>22</v>
      </c>
      <c r="D286" s="226">
        <v>24164</v>
      </c>
      <c r="E286" s="208">
        <v>0</v>
      </c>
      <c r="F286" s="208">
        <v>0</v>
      </c>
      <c r="G286" s="208">
        <v>0</v>
      </c>
      <c r="H286" s="208">
        <v>22040</v>
      </c>
      <c r="I286" s="208">
        <v>22040</v>
      </c>
      <c r="J286" s="208">
        <v>2253</v>
      </c>
      <c r="K286" s="208">
        <v>11000</v>
      </c>
      <c r="L286" s="208">
        <v>117502</v>
      </c>
      <c r="M286" s="208">
        <v>29014</v>
      </c>
      <c r="N286" s="208">
        <v>159769</v>
      </c>
    </row>
    <row r="287" spans="1:14" ht="13.5" thickBot="1" x14ac:dyDescent="0.25">
      <c r="A287" s="48" t="s">
        <v>558</v>
      </c>
      <c r="B287" s="224" t="s">
        <v>557</v>
      </c>
      <c r="C287" s="48" t="s">
        <v>22</v>
      </c>
      <c r="D287" s="226">
        <v>14230</v>
      </c>
      <c r="E287" s="208">
        <v>0</v>
      </c>
      <c r="F287" s="208">
        <v>0</v>
      </c>
      <c r="G287" s="208">
        <v>0</v>
      </c>
      <c r="H287" s="208">
        <v>0</v>
      </c>
      <c r="I287" s="208">
        <v>0</v>
      </c>
      <c r="J287" s="208">
        <v>28302</v>
      </c>
      <c r="K287" s="208">
        <v>0</v>
      </c>
      <c r="L287" s="208">
        <v>0</v>
      </c>
      <c r="M287" s="208">
        <v>0</v>
      </c>
      <c r="N287" s="208">
        <v>28302</v>
      </c>
    </row>
    <row r="288" spans="1:14" ht="13.5" thickBot="1" x14ac:dyDescent="0.25">
      <c r="A288" s="48" t="s">
        <v>562</v>
      </c>
      <c r="B288" s="224" t="s">
        <v>561</v>
      </c>
      <c r="C288" s="48" t="s">
        <v>22</v>
      </c>
      <c r="D288" s="226">
        <v>20526</v>
      </c>
      <c r="E288" s="208">
        <v>0</v>
      </c>
      <c r="F288" s="208">
        <v>0</v>
      </c>
      <c r="G288" s="208">
        <v>0</v>
      </c>
      <c r="H288" s="208">
        <v>0</v>
      </c>
      <c r="I288" s="208">
        <v>0</v>
      </c>
      <c r="J288" s="208">
        <v>47607</v>
      </c>
      <c r="K288" s="208">
        <v>0</v>
      </c>
      <c r="L288" s="208">
        <v>17905</v>
      </c>
      <c r="M288" s="208">
        <v>19883</v>
      </c>
      <c r="N288" s="208">
        <v>85395</v>
      </c>
    </row>
    <row r="289" spans="1:14" ht="13.5" thickBot="1" x14ac:dyDescent="0.25">
      <c r="A289" s="48" t="s">
        <v>570</v>
      </c>
      <c r="B289" s="224" t="s">
        <v>569</v>
      </c>
      <c r="C289" s="48" t="s">
        <v>22</v>
      </c>
      <c r="D289" s="226">
        <v>13579</v>
      </c>
      <c r="E289" s="208">
        <v>0</v>
      </c>
      <c r="F289" s="208">
        <v>0</v>
      </c>
      <c r="G289" s="208">
        <v>0</v>
      </c>
      <c r="H289" s="208">
        <v>0</v>
      </c>
      <c r="I289" s="208">
        <v>0</v>
      </c>
      <c r="J289" s="208">
        <v>0</v>
      </c>
      <c r="K289" s="208">
        <v>0</v>
      </c>
      <c r="L289" s="208">
        <v>128938</v>
      </c>
      <c r="M289" s="208">
        <v>0</v>
      </c>
      <c r="N289" s="208">
        <v>128938</v>
      </c>
    </row>
    <row r="290" spans="1:14" ht="13.5" thickBot="1" x14ac:dyDescent="0.25">
      <c r="A290" s="48" t="s">
        <v>580</v>
      </c>
      <c r="B290" s="224" t="s">
        <v>579</v>
      </c>
      <c r="C290" s="48" t="s">
        <v>22</v>
      </c>
      <c r="D290" s="226">
        <v>16709</v>
      </c>
      <c r="E290" s="208">
        <v>0</v>
      </c>
      <c r="F290" s="208">
        <v>0</v>
      </c>
      <c r="G290" s="208">
        <v>33956</v>
      </c>
      <c r="H290" s="208">
        <v>0</v>
      </c>
      <c r="I290" s="208">
        <v>33956</v>
      </c>
      <c r="J290" s="208">
        <v>31329</v>
      </c>
      <c r="K290" s="208">
        <v>2627</v>
      </c>
      <c r="L290" s="208">
        <v>38554</v>
      </c>
      <c r="M290" s="208">
        <v>0</v>
      </c>
      <c r="N290" s="208">
        <v>72510</v>
      </c>
    </row>
    <row r="291" spans="1:14" ht="13.5" thickBot="1" x14ac:dyDescent="0.25">
      <c r="A291" s="48" t="s">
        <v>596</v>
      </c>
      <c r="B291" s="224" t="s">
        <v>595</v>
      </c>
      <c r="C291" s="48" t="s">
        <v>22</v>
      </c>
      <c r="D291" s="226">
        <v>19629</v>
      </c>
      <c r="E291" s="208">
        <v>0</v>
      </c>
      <c r="F291" s="208">
        <v>0</v>
      </c>
      <c r="G291" s="208">
        <v>0</v>
      </c>
      <c r="H291" s="208">
        <v>0</v>
      </c>
      <c r="I291" s="208">
        <v>0</v>
      </c>
      <c r="J291" s="208">
        <v>0</v>
      </c>
      <c r="K291" s="208">
        <v>0</v>
      </c>
      <c r="L291" s="208">
        <v>0</v>
      </c>
      <c r="M291" s="208">
        <v>0</v>
      </c>
      <c r="N291" s="208">
        <v>0</v>
      </c>
    </row>
    <row r="292" spans="1:14" ht="13.5" thickBot="1" x14ac:dyDescent="0.25">
      <c r="A292" s="48" t="s">
        <v>598</v>
      </c>
      <c r="B292" s="224" t="s">
        <v>597</v>
      </c>
      <c r="C292" s="48" t="s">
        <v>22</v>
      </c>
      <c r="D292" s="226">
        <v>13912</v>
      </c>
      <c r="E292" s="208">
        <v>0</v>
      </c>
      <c r="F292" s="208">
        <v>0</v>
      </c>
      <c r="G292" s="208">
        <v>220620</v>
      </c>
      <c r="H292" s="208">
        <v>0</v>
      </c>
      <c r="I292" s="208">
        <v>220620</v>
      </c>
      <c r="J292" s="208">
        <v>5044</v>
      </c>
      <c r="K292" s="208">
        <v>1435</v>
      </c>
      <c r="L292" s="208">
        <v>219845</v>
      </c>
      <c r="M292" s="208">
        <v>0</v>
      </c>
      <c r="N292" s="208">
        <v>226324</v>
      </c>
    </row>
    <row r="293" spans="1:14" ht="13.5" thickBot="1" x14ac:dyDescent="0.25">
      <c r="A293" s="48" t="s">
        <v>602</v>
      </c>
      <c r="B293" s="224" t="s">
        <v>601</v>
      </c>
      <c r="C293" s="48" t="s">
        <v>22</v>
      </c>
      <c r="D293" s="226">
        <v>14878</v>
      </c>
      <c r="E293" s="208">
        <v>0</v>
      </c>
      <c r="F293" s="208">
        <v>2993</v>
      </c>
      <c r="G293" s="208">
        <v>3625</v>
      </c>
      <c r="H293" s="208">
        <v>0</v>
      </c>
      <c r="I293" s="208">
        <v>6618</v>
      </c>
      <c r="J293" s="208">
        <v>10103</v>
      </c>
      <c r="K293" s="208">
        <v>2426</v>
      </c>
      <c r="L293" s="208">
        <v>58296</v>
      </c>
      <c r="M293" s="208">
        <v>1665</v>
      </c>
      <c r="N293" s="208">
        <v>72490</v>
      </c>
    </row>
    <row r="294" spans="1:14" ht="13.5" thickBot="1" x14ac:dyDescent="0.25">
      <c r="A294" s="48" t="s">
        <v>636</v>
      </c>
      <c r="B294" s="224" t="s">
        <v>635</v>
      </c>
      <c r="C294" s="48" t="s">
        <v>22</v>
      </c>
      <c r="D294" s="226">
        <v>12486</v>
      </c>
      <c r="E294" s="208">
        <v>0</v>
      </c>
      <c r="F294" s="208">
        <v>0</v>
      </c>
      <c r="G294" s="208">
        <v>0</v>
      </c>
      <c r="H294" s="208">
        <v>0</v>
      </c>
      <c r="I294" s="208">
        <v>0</v>
      </c>
      <c r="J294" s="208">
        <v>0</v>
      </c>
      <c r="K294" s="208">
        <v>0</v>
      </c>
      <c r="L294" s="208">
        <v>0</v>
      </c>
      <c r="M294" s="208">
        <v>0</v>
      </c>
      <c r="N294" s="208">
        <v>0</v>
      </c>
    </row>
    <row r="295" spans="1:14" ht="13.5" thickBot="1" x14ac:dyDescent="0.25">
      <c r="A295" s="48" t="s">
        <v>662</v>
      </c>
      <c r="B295" s="224" t="s">
        <v>661</v>
      </c>
      <c r="C295" s="48" t="s">
        <v>22</v>
      </c>
      <c r="D295" s="226">
        <v>16753</v>
      </c>
      <c r="E295" s="208">
        <v>0</v>
      </c>
      <c r="F295" s="208">
        <v>0</v>
      </c>
      <c r="G295" s="208">
        <v>0</v>
      </c>
      <c r="H295" s="208">
        <v>0</v>
      </c>
      <c r="I295" s="208">
        <v>0</v>
      </c>
      <c r="J295" s="208">
        <v>1829</v>
      </c>
      <c r="K295" s="208">
        <v>1271</v>
      </c>
      <c r="L295" s="208">
        <v>9988</v>
      </c>
      <c r="M295" s="208">
        <v>81171</v>
      </c>
      <c r="N295" s="208">
        <v>94259</v>
      </c>
    </row>
    <row r="296" spans="1:14" ht="13.5" thickBot="1" x14ac:dyDescent="0.25">
      <c r="A296" s="48" t="s">
        <v>704</v>
      </c>
      <c r="B296" s="224" t="s">
        <v>703</v>
      </c>
      <c r="C296" s="48" t="s">
        <v>22</v>
      </c>
      <c r="D296" s="226">
        <v>18260</v>
      </c>
      <c r="E296" s="208">
        <v>0</v>
      </c>
      <c r="F296" s="208">
        <v>0</v>
      </c>
      <c r="G296" s="208">
        <v>0</v>
      </c>
      <c r="H296" s="208">
        <v>0</v>
      </c>
      <c r="I296" s="208">
        <v>0</v>
      </c>
      <c r="J296" s="203">
        <v>0</v>
      </c>
      <c r="K296" s="203">
        <v>0</v>
      </c>
      <c r="L296" s="203">
        <v>0</v>
      </c>
      <c r="M296" s="203">
        <v>0</v>
      </c>
      <c r="N296" s="203">
        <v>0</v>
      </c>
    </row>
    <row r="297" spans="1:14" ht="13.5" thickBot="1" x14ac:dyDescent="0.25">
      <c r="A297" s="48" t="s">
        <v>706</v>
      </c>
      <c r="B297" s="224" t="s">
        <v>705</v>
      </c>
      <c r="C297" s="48" t="s">
        <v>22</v>
      </c>
      <c r="D297" s="226">
        <v>13940</v>
      </c>
      <c r="E297" s="208">
        <v>0</v>
      </c>
      <c r="F297" s="208">
        <v>0</v>
      </c>
      <c r="G297" s="208">
        <v>0</v>
      </c>
      <c r="H297" s="208">
        <v>0</v>
      </c>
      <c r="I297" s="208">
        <v>0</v>
      </c>
      <c r="J297" s="208">
        <v>0</v>
      </c>
      <c r="K297" s="208">
        <v>4270</v>
      </c>
      <c r="L297" s="208">
        <v>0</v>
      </c>
      <c r="M297" s="208">
        <v>0</v>
      </c>
      <c r="N297" s="208">
        <v>4270</v>
      </c>
    </row>
    <row r="298" spans="1:14" ht="13.5" thickBot="1" x14ac:dyDescent="0.25">
      <c r="A298" s="48" t="s">
        <v>712</v>
      </c>
      <c r="B298" s="224" t="s">
        <v>711</v>
      </c>
      <c r="C298" s="48" t="s">
        <v>22</v>
      </c>
      <c r="D298" s="226">
        <v>17937</v>
      </c>
      <c r="E298" s="208">
        <v>0</v>
      </c>
      <c r="F298" s="208">
        <v>0</v>
      </c>
      <c r="G298" s="208">
        <v>0</v>
      </c>
      <c r="H298" s="208">
        <v>0</v>
      </c>
      <c r="I298" s="208">
        <v>0</v>
      </c>
      <c r="J298" s="208">
        <v>0</v>
      </c>
      <c r="K298" s="208">
        <v>42995</v>
      </c>
      <c r="L298" s="208">
        <v>64085</v>
      </c>
      <c r="M298" s="203">
        <v>0</v>
      </c>
      <c r="N298" s="208">
        <v>107080</v>
      </c>
    </row>
    <row r="299" spans="1:14" ht="13.5" thickBot="1" x14ac:dyDescent="0.25">
      <c r="A299" s="48" t="s">
        <v>730</v>
      </c>
      <c r="B299" s="224" t="s">
        <v>729</v>
      </c>
      <c r="C299" s="48" t="s">
        <v>22</v>
      </c>
      <c r="D299" s="226">
        <v>18134</v>
      </c>
      <c r="E299" s="208">
        <v>0</v>
      </c>
      <c r="F299" s="208">
        <v>0</v>
      </c>
      <c r="G299" s="208">
        <v>0</v>
      </c>
      <c r="H299" s="208">
        <v>0</v>
      </c>
      <c r="I299" s="208">
        <v>0</v>
      </c>
      <c r="J299" s="208">
        <v>0</v>
      </c>
      <c r="K299" s="208">
        <v>0</v>
      </c>
      <c r="L299" s="208">
        <v>0</v>
      </c>
      <c r="M299" s="208">
        <v>0</v>
      </c>
      <c r="N299" s="208">
        <v>0</v>
      </c>
    </row>
    <row r="300" spans="1:14" ht="13.5" thickBot="1" x14ac:dyDescent="0.25">
      <c r="A300" s="48" t="s">
        <v>742</v>
      </c>
      <c r="B300" s="224" t="s">
        <v>741</v>
      </c>
      <c r="C300" s="48" t="s">
        <v>22</v>
      </c>
      <c r="D300" s="226">
        <v>15497</v>
      </c>
      <c r="E300" s="208">
        <v>0</v>
      </c>
      <c r="F300" s="208">
        <v>0</v>
      </c>
      <c r="G300" s="208">
        <v>0</v>
      </c>
      <c r="H300" s="208">
        <v>0</v>
      </c>
      <c r="I300" s="208">
        <v>0</v>
      </c>
      <c r="J300" s="208">
        <v>0</v>
      </c>
      <c r="K300" s="208">
        <v>0</v>
      </c>
      <c r="L300" s="208">
        <v>0</v>
      </c>
      <c r="M300" s="208">
        <v>0</v>
      </c>
      <c r="N300" s="208">
        <v>0</v>
      </c>
    </row>
    <row r="301" spans="1:14" ht="13.5" thickBot="1" x14ac:dyDescent="0.25">
      <c r="A301" s="48" t="s">
        <v>746</v>
      </c>
      <c r="B301" s="224" t="s">
        <v>745</v>
      </c>
      <c r="C301" s="48" t="s">
        <v>22</v>
      </c>
      <c r="D301" s="226">
        <v>14253</v>
      </c>
      <c r="E301" s="208">
        <v>0</v>
      </c>
      <c r="F301" s="208">
        <v>0</v>
      </c>
      <c r="G301" s="208">
        <v>29888</v>
      </c>
      <c r="H301" s="208">
        <v>0</v>
      </c>
      <c r="I301" s="208">
        <v>29888</v>
      </c>
      <c r="J301" s="208">
        <v>36842</v>
      </c>
      <c r="K301" s="208">
        <v>21563</v>
      </c>
      <c r="L301" s="208">
        <v>1134589</v>
      </c>
      <c r="M301" s="208">
        <v>0</v>
      </c>
      <c r="N301" s="208">
        <v>1192994</v>
      </c>
    </row>
    <row r="302" spans="1:14" ht="13.5" thickBot="1" x14ac:dyDescent="0.25">
      <c r="A302" s="48" t="s">
        <v>766</v>
      </c>
      <c r="B302" s="224" t="s">
        <v>765</v>
      </c>
      <c r="C302" s="48" t="s">
        <v>22</v>
      </c>
      <c r="D302" s="226">
        <v>12238</v>
      </c>
      <c r="E302" s="208">
        <v>0</v>
      </c>
      <c r="F302" s="208">
        <v>0</v>
      </c>
      <c r="G302" s="208">
        <v>0</v>
      </c>
      <c r="H302" s="208">
        <v>17983</v>
      </c>
      <c r="I302" s="208">
        <v>17983</v>
      </c>
      <c r="J302" s="203">
        <v>0</v>
      </c>
      <c r="K302" s="203">
        <v>0</v>
      </c>
      <c r="L302" s="203">
        <v>0</v>
      </c>
      <c r="M302" s="203">
        <v>0</v>
      </c>
      <c r="N302" s="203">
        <v>0</v>
      </c>
    </row>
    <row r="303" spans="1:14" ht="13.5" thickBot="1" x14ac:dyDescent="0.25">
      <c r="A303" s="48" t="s">
        <v>786</v>
      </c>
      <c r="B303" s="224" t="s">
        <v>785</v>
      </c>
      <c r="C303" s="48" t="s">
        <v>22</v>
      </c>
      <c r="D303" s="226">
        <v>17593</v>
      </c>
      <c r="E303" s="208">
        <v>0</v>
      </c>
      <c r="F303" s="208">
        <v>0</v>
      </c>
      <c r="G303" s="208">
        <v>0</v>
      </c>
      <c r="H303" s="208">
        <v>4921</v>
      </c>
      <c r="I303" s="208">
        <v>4921</v>
      </c>
      <c r="J303" s="208">
        <v>4921</v>
      </c>
      <c r="K303" s="208">
        <v>0</v>
      </c>
      <c r="L303" s="208">
        <v>89300</v>
      </c>
      <c r="M303" s="208">
        <v>0</v>
      </c>
      <c r="N303" s="208">
        <v>94221</v>
      </c>
    </row>
    <row r="304" spans="1:14" ht="13.5" thickBot="1" x14ac:dyDescent="0.25">
      <c r="A304" s="48" t="s">
        <v>812</v>
      </c>
      <c r="B304" s="224" t="s">
        <v>811</v>
      </c>
      <c r="C304" s="48" t="s">
        <v>22</v>
      </c>
      <c r="D304" s="226">
        <v>13498</v>
      </c>
      <c r="E304" s="208">
        <v>0</v>
      </c>
      <c r="F304" s="208">
        <v>0</v>
      </c>
      <c r="G304" s="208">
        <v>0</v>
      </c>
      <c r="H304" s="208">
        <v>0</v>
      </c>
      <c r="I304" s="208">
        <v>0</v>
      </c>
      <c r="J304" s="208">
        <v>0</v>
      </c>
      <c r="K304" s="208">
        <v>0</v>
      </c>
      <c r="L304" s="208">
        <v>0</v>
      </c>
      <c r="M304" s="208">
        <v>0</v>
      </c>
      <c r="N304" s="208">
        <v>0</v>
      </c>
    </row>
    <row r="305" spans="1:14" ht="13.5" thickBot="1" x14ac:dyDescent="0.25">
      <c r="A305" s="48" t="s">
        <v>38</v>
      </c>
      <c r="B305" s="224" t="s">
        <v>37</v>
      </c>
      <c r="C305" s="48" t="s">
        <v>39</v>
      </c>
      <c r="D305" s="226">
        <v>28210</v>
      </c>
      <c r="E305" s="208">
        <v>0</v>
      </c>
      <c r="F305" s="208">
        <v>0</v>
      </c>
      <c r="G305" s="208">
        <v>0</v>
      </c>
      <c r="H305" s="208">
        <v>0</v>
      </c>
      <c r="I305" s="208">
        <v>0</v>
      </c>
      <c r="J305" s="208">
        <v>0</v>
      </c>
      <c r="K305" s="208">
        <v>0</v>
      </c>
      <c r="L305" s="208">
        <v>0</v>
      </c>
      <c r="M305" s="208">
        <v>0</v>
      </c>
      <c r="N305" s="208">
        <v>0</v>
      </c>
    </row>
    <row r="306" spans="1:14" ht="13.5" thickBot="1" x14ac:dyDescent="0.25">
      <c r="A306" s="48" t="s">
        <v>41</v>
      </c>
      <c r="B306" s="224" t="s">
        <v>40</v>
      </c>
      <c r="C306" s="48" t="s">
        <v>39</v>
      </c>
      <c r="D306" s="226">
        <v>28283</v>
      </c>
      <c r="E306" s="208">
        <v>0</v>
      </c>
      <c r="F306" s="208">
        <v>0</v>
      </c>
      <c r="G306" s="208">
        <v>0</v>
      </c>
      <c r="H306" s="208">
        <v>0</v>
      </c>
      <c r="I306" s="208">
        <v>0</v>
      </c>
      <c r="J306" s="208">
        <v>0</v>
      </c>
      <c r="K306" s="208">
        <v>4508</v>
      </c>
      <c r="L306" s="208">
        <v>0</v>
      </c>
      <c r="M306" s="208">
        <v>0</v>
      </c>
      <c r="N306" s="208">
        <v>4508</v>
      </c>
    </row>
    <row r="307" spans="1:14" ht="13.5" thickBot="1" x14ac:dyDescent="0.25">
      <c r="A307" s="48" t="s">
        <v>49</v>
      </c>
      <c r="B307" s="224" t="s">
        <v>48</v>
      </c>
      <c r="C307" s="48" t="s">
        <v>39</v>
      </c>
      <c r="D307" s="226">
        <v>29598</v>
      </c>
      <c r="E307" s="208">
        <v>0</v>
      </c>
      <c r="F307" s="208">
        <v>0</v>
      </c>
      <c r="G307" s="208">
        <v>0</v>
      </c>
      <c r="H307" s="208">
        <v>200</v>
      </c>
      <c r="I307" s="208">
        <v>200</v>
      </c>
      <c r="J307" s="203">
        <v>0</v>
      </c>
      <c r="K307" s="208">
        <v>12400.89</v>
      </c>
      <c r="L307" s="208">
        <v>219321.29</v>
      </c>
      <c r="M307" s="203">
        <v>0</v>
      </c>
      <c r="N307" s="208">
        <v>231722.18</v>
      </c>
    </row>
    <row r="308" spans="1:14" ht="13.5" thickBot="1" x14ac:dyDescent="0.25">
      <c r="A308" s="48" t="s">
        <v>72</v>
      </c>
      <c r="B308" s="224" t="s">
        <v>71</v>
      </c>
      <c r="C308" s="48" t="s">
        <v>39</v>
      </c>
      <c r="D308" s="226">
        <v>35350</v>
      </c>
      <c r="E308" s="208">
        <v>0</v>
      </c>
      <c r="F308" s="208">
        <v>0</v>
      </c>
      <c r="G308" s="208">
        <v>0</v>
      </c>
      <c r="H308" s="208">
        <v>0</v>
      </c>
      <c r="I308" s="208">
        <v>0</v>
      </c>
      <c r="J308" s="208">
        <v>96786</v>
      </c>
      <c r="K308" s="208">
        <v>31303</v>
      </c>
      <c r="L308" s="208">
        <v>1918409</v>
      </c>
      <c r="M308" s="208">
        <v>0</v>
      </c>
      <c r="N308" s="208">
        <v>2046498</v>
      </c>
    </row>
    <row r="309" spans="1:14" ht="13.5" thickBot="1" x14ac:dyDescent="0.25">
      <c r="A309" s="48" t="s">
        <v>84</v>
      </c>
      <c r="B309" s="224" t="s">
        <v>83</v>
      </c>
      <c r="C309" s="48" t="s">
        <v>39</v>
      </c>
      <c r="D309" s="226">
        <v>42361</v>
      </c>
      <c r="E309" s="208">
        <v>0</v>
      </c>
      <c r="F309" s="208">
        <v>0</v>
      </c>
      <c r="G309" s="208">
        <v>85544</v>
      </c>
      <c r="H309" s="208">
        <v>48296</v>
      </c>
      <c r="I309" s="208">
        <v>133840</v>
      </c>
      <c r="J309" s="208">
        <v>61948</v>
      </c>
      <c r="K309" s="208">
        <v>988344</v>
      </c>
      <c r="L309" s="208">
        <v>4283636</v>
      </c>
      <c r="M309" s="203">
        <v>0</v>
      </c>
      <c r="N309" s="208">
        <v>5333928</v>
      </c>
    </row>
    <row r="310" spans="1:14" ht="13.5" thickBot="1" x14ac:dyDescent="0.25">
      <c r="A310" s="48" t="s">
        <v>108</v>
      </c>
      <c r="B310" s="224" t="s">
        <v>107</v>
      </c>
      <c r="C310" s="48" t="s">
        <v>39</v>
      </c>
      <c r="D310" s="226">
        <v>41070</v>
      </c>
      <c r="E310" s="208">
        <v>0</v>
      </c>
      <c r="F310" s="208">
        <v>0</v>
      </c>
      <c r="G310" s="208">
        <v>0</v>
      </c>
      <c r="H310" s="208">
        <v>0</v>
      </c>
      <c r="I310" s="208">
        <v>0</v>
      </c>
      <c r="J310" s="203">
        <v>0</v>
      </c>
      <c r="K310" s="203">
        <v>0</v>
      </c>
      <c r="L310" s="208">
        <v>3310341</v>
      </c>
      <c r="M310" s="203">
        <v>0</v>
      </c>
      <c r="N310" s="208">
        <v>3310341</v>
      </c>
    </row>
    <row r="311" spans="1:14" ht="13.5" thickBot="1" x14ac:dyDescent="0.25">
      <c r="A311" s="48" t="s">
        <v>114</v>
      </c>
      <c r="B311" s="224" t="s">
        <v>113</v>
      </c>
      <c r="C311" s="48" t="s">
        <v>39</v>
      </c>
      <c r="D311" s="226">
        <v>46905</v>
      </c>
      <c r="E311" s="208">
        <v>0</v>
      </c>
      <c r="F311" s="208">
        <v>0</v>
      </c>
      <c r="G311" s="208">
        <v>0</v>
      </c>
      <c r="H311" s="208">
        <v>0</v>
      </c>
      <c r="I311" s="208">
        <v>0</v>
      </c>
      <c r="J311" s="203">
        <v>0</v>
      </c>
      <c r="K311" s="208">
        <v>8026</v>
      </c>
      <c r="L311" s="203">
        <v>0</v>
      </c>
      <c r="M311" s="203">
        <v>0</v>
      </c>
      <c r="N311" s="208">
        <v>8026</v>
      </c>
    </row>
    <row r="312" spans="1:14" ht="13.5" thickBot="1" x14ac:dyDescent="0.25">
      <c r="A312" s="48" t="s">
        <v>124</v>
      </c>
      <c r="B312" s="224" t="s">
        <v>123</v>
      </c>
      <c r="C312" s="48" t="s">
        <v>39</v>
      </c>
      <c r="D312" s="226">
        <v>43254</v>
      </c>
      <c r="E312" s="208">
        <v>0</v>
      </c>
      <c r="F312" s="208">
        <v>0</v>
      </c>
      <c r="G312" s="208">
        <v>81</v>
      </c>
      <c r="H312" s="208">
        <v>0</v>
      </c>
      <c r="I312" s="208">
        <v>81</v>
      </c>
      <c r="J312" s="203">
        <v>0</v>
      </c>
      <c r="K312" s="208">
        <v>69289</v>
      </c>
      <c r="L312" s="208">
        <v>981322</v>
      </c>
      <c r="M312" s="208">
        <v>34</v>
      </c>
      <c r="N312" s="208">
        <v>1050645</v>
      </c>
    </row>
    <row r="313" spans="1:14" ht="13.5" thickBot="1" x14ac:dyDescent="0.25">
      <c r="A313" s="48" t="s">
        <v>134</v>
      </c>
      <c r="B313" s="224" t="s">
        <v>133</v>
      </c>
      <c r="C313" s="48" t="s">
        <v>39</v>
      </c>
      <c r="D313" s="226">
        <v>35087</v>
      </c>
      <c r="E313" s="208">
        <v>0</v>
      </c>
      <c r="F313" s="208">
        <v>0</v>
      </c>
      <c r="G313" s="208">
        <v>0</v>
      </c>
      <c r="H313" s="208">
        <v>0</v>
      </c>
      <c r="I313" s="208">
        <v>0</v>
      </c>
      <c r="J313" s="208">
        <v>30431</v>
      </c>
      <c r="K313" s="208">
        <v>21005</v>
      </c>
      <c r="L313" s="208">
        <v>0</v>
      </c>
      <c r="M313" s="208">
        <v>0</v>
      </c>
      <c r="N313" s="208">
        <v>51436</v>
      </c>
    </row>
    <row r="314" spans="1:14" ht="13.5" thickBot="1" x14ac:dyDescent="0.25">
      <c r="A314" s="48" t="s">
        <v>150</v>
      </c>
      <c r="B314" s="224" t="s">
        <v>149</v>
      </c>
      <c r="C314" s="48" t="s">
        <v>39</v>
      </c>
      <c r="D314" s="226">
        <v>38002</v>
      </c>
      <c r="E314" s="208">
        <v>0</v>
      </c>
      <c r="F314" s="208">
        <v>0</v>
      </c>
      <c r="G314" s="208">
        <v>0</v>
      </c>
      <c r="H314" s="208">
        <v>0</v>
      </c>
      <c r="I314" s="208">
        <v>0</v>
      </c>
      <c r="J314" s="208">
        <v>8238</v>
      </c>
      <c r="K314" s="208">
        <v>8159</v>
      </c>
      <c r="L314" s="208">
        <v>37451</v>
      </c>
      <c r="M314" s="208">
        <v>88969</v>
      </c>
      <c r="N314" s="208">
        <v>142817</v>
      </c>
    </row>
    <row r="315" spans="1:14" ht="13.5" thickBot="1" x14ac:dyDescent="0.25">
      <c r="A315" s="48" t="s">
        <v>170</v>
      </c>
      <c r="B315" s="224" t="s">
        <v>169</v>
      </c>
      <c r="C315" s="48" t="s">
        <v>39</v>
      </c>
      <c r="D315" s="226">
        <v>43381</v>
      </c>
      <c r="E315" s="208">
        <v>0</v>
      </c>
      <c r="F315" s="208">
        <v>0</v>
      </c>
      <c r="G315" s="208">
        <v>0</v>
      </c>
      <c r="H315" s="208">
        <v>15431</v>
      </c>
      <c r="I315" s="208">
        <v>15431</v>
      </c>
      <c r="J315" s="208">
        <v>13505</v>
      </c>
      <c r="K315" s="208">
        <v>7937</v>
      </c>
      <c r="L315" s="208">
        <v>0</v>
      </c>
      <c r="M315" s="208">
        <v>0</v>
      </c>
      <c r="N315" s="208">
        <v>21442</v>
      </c>
    </row>
    <row r="316" spans="1:14" ht="13.5" thickBot="1" x14ac:dyDescent="0.25">
      <c r="A316" s="48" t="s">
        <v>174</v>
      </c>
      <c r="B316" s="224" t="s">
        <v>173</v>
      </c>
      <c r="C316" s="48" t="s">
        <v>39</v>
      </c>
      <c r="D316" s="226">
        <v>35563</v>
      </c>
      <c r="E316" s="208">
        <v>0</v>
      </c>
      <c r="F316" s="208">
        <v>0</v>
      </c>
      <c r="G316" s="208">
        <v>0</v>
      </c>
      <c r="H316" s="208">
        <v>0</v>
      </c>
      <c r="I316" s="208">
        <v>0</v>
      </c>
      <c r="J316" s="208">
        <v>0</v>
      </c>
      <c r="K316" s="208">
        <v>159591</v>
      </c>
      <c r="L316" s="208">
        <v>0</v>
      </c>
      <c r="M316" s="208">
        <v>0</v>
      </c>
      <c r="N316" s="208">
        <v>159591</v>
      </c>
    </row>
    <row r="317" spans="1:14" ht="13.5" thickBot="1" x14ac:dyDescent="0.25">
      <c r="A317" s="48" t="s">
        <v>188</v>
      </c>
      <c r="B317" s="224" t="s">
        <v>187</v>
      </c>
      <c r="C317" s="48" t="s">
        <v>39</v>
      </c>
      <c r="D317" s="226">
        <v>40186</v>
      </c>
      <c r="E317" s="208">
        <v>0</v>
      </c>
      <c r="F317" s="208">
        <v>0</v>
      </c>
      <c r="G317" s="208">
        <v>0</v>
      </c>
      <c r="H317" s="208">
        <v>0</v>
      </c>
      <c r="I317" s="208">
        <v>0</v>
      </c>
      <c r="J317" s="208">
        <v>0</v>
      </c>
      <c r="K317" s="208">
        <v>15561</v>
      </c>
      <c r="L317" s="208">
        <v>0</v>
      </c>
      <c r="M317" s="208">
        <v>1214</v>
      </c>
      <c r="N317" s="208">
        <v>16775</v>
      </c>
    </row>
    <row r="318" spans="1:14" ht="13.5" thickBot="1" x14ac:dyDescent="0.25">
      <c r="A318" s="48" t="s">
        <v>190</v>
      </c>
      <c r="B318" s="224" t="s">
        <v>189</v>
      </c>
      <c r="C318" s="48" t="s">
        <v>39</v>
      </c>
      <c r="D318" s="226">
        <v>28263</v>
      </c>
      <c r="E318" s="208">
        <v>0</v>
      </c>
      <c r="F318" s="208">
        <v>0</v>
      </c>
      <c r="G318" s="208">
        <v>0</v>
      </c>
      <c r="H318" s="208">
        <v>0</v>
      </c>
      <c r="I318" s="208">
        <v>0</v>
      </c>
      <c r="J318" s="203">
        <v>0</v>
      </c>
      <c r="K318" s="208">
        <v>37000</v>
      </c>
      <c r="L318" s="203">
        <v>0</v>
      </c>
      <c r="M318" s="203">
        <v>0</v>
      </c>
      <c r="N318" s="208">
        <v>37000</v>
      </c>
    </row>
    <row r="319" spans="1:14" ht="13.5" thickBot="1" x14ac:dyDescent="0.25">
      <c r="A319" s="48" t="s">
        <v>200</v>
      </c>
      <c r="B319" s="224" t="s">
        <v>199</v>
      </c>
      <c r="C319" s="48" t="s">
        <v>39</v>
      </c>
      <c r="D319" s="226">
        <v>26391</v>
      </c>
      <c r="E319" s="208">
        <v>0</v>
      </c>
      <c r="F319" s="208">
        <v>0</v>
      </c>
      <c r="G319" s="208">
        <v>0</v>
      </c>
      <c r="H319" s="208">
        <v>0</v>
      </c>
      <c r="I319" s="208">
        <v>0</v>
      </c>
      <c r="J319" s="208">
        <v>5895</v>
      </c>
      <c r="K319" s="208">
        <v>10996</v>
      </c>
      <c r="L319" s="208">
        <v>181469</v>
      </c>
      <c r="M319" s="208">
        <v>546</v>
      </c>
      <c r="N319" s="208">
        <v>198906</v>
      </c>
    </row>
    <row r="320" spans="1:14" ht="13.5" thickBot="1" x14ac:dyDescent="0.25">
      <c r="A320" s="48" t="s">
        <v>218</v>
      </c>
      <c r="B320" s="224" t="s">
        <v>217</v>
      </c>
      <c r="C320" s="48" t="s">
        <v>39</v>
      </c>
      <c r="D320" s="226">
        <v>32799</v>
      </c>
      <c r="E320" s="208">
        <v>0</v>
      </c>
      <c r="F320" s="208">
        <v>0</v>
      </c>
      <c r="G320" s="208">
        <v>0</v>
      </c>
      <c r="H320" s="208">
        <v>40645</v>
      </c>
      <c r="I320" s="208">
        <v>40645</v>
      </c>
      <c r="J320" s="203">
        <v>0</v>
      </c>
      <c r="K320" s="203">
        <v>0</v>
      </c>
      <c r="L320" s="203">
        <v>0</v>
      </c>
      <c r="M320" s="203">
        <v>0</v>
      </c>
      <c r="N320" s="203">
        <v>0</v>
      </c>
    </row>
    <row r="321" spans="1:14" ht="13.5" thickBot="1" x14ac:dyDescent="0.25">
      <c r="A321" s="48" t="s">
        <v>228</v>
      </c>
      <c r="B321" s="224" t="s">
        <v>227</v>
      </c>
      <c r="C321" s="48" t="s">
        <v>39</v>
      </c>
      <c r="D321" s="226">
        <v>26168</v>
      </c>
      <c r="E321" s="208">
        <v>0</v>
      </c>
      <c r="F321" s="208">
        <v>0</v>
      </c>
      <c r="G321" s="208">
        <v>0</v>
      </c>
      <c r="H321" s="208">
        <v>0</v>
      </c>
      <c r="I321" s="208">
        <v>0</v>
      </c>
      <c r="J321" s="208">
        <v>0</v>
      </c>
      <c r="K321" s="208">
        <v>2542</v>
      </c>
      <c r="L321" s="208">
        <v>1705</v>
      </c>
      <c r="M321" s="208">
        <v>0</v>
      </c>
      <c r="N321" s="208">
        <v>4247</v>
      </c>
    </row>
    <row r="322" spans="1:14" ht="13.5" thickBot="1" x14ac:dyDescent="0.25">
      <c r="A322" s="48" t="s">
        <v>240</v>
      </c>
      <c r="B322" s="224" t="s">
        <v>239</v>
      </c>
      <c r="C322" s="48" t="s">
        <v>39</v>
      </c>
      <c r="D322" s="226">
        <v>48579</v>
      </c>
      <c r="E322" s="208">
        <v>0</v>
      </c>
      <c r="F322" s="208">
        <v>0</v>
      </c>
      <c r="G322" s="208">
        <v>0</v>
      </c>
      <c r="H322" s="208">
        <v>49101</v>
      </c>
      <c r="I322" s="208">
        <v>49101</v>
      </c>
      <c r="J322" s="208">
        <v>64000</v>
      </c>
      <c r="K322" s="208">
        <v>7100</v>
      </c>
      <c r="L322" s="208">
        <v>16000</v>
      </c>
      <c r="M322" s="208">
        <v>0</v>
      </c>
      <c r="N322" s="208">
        <v>87100</v>
      </c>
    </row>
    <row r="323" spans="1:14" ht="13.5" thickBot="1" x14ac:dyDescent="0.25">
      <c r="A323" s="48" t="s">
        <v>242</v>
      </c>
      <c r="B323" s="224" t="s">
        <v>241</v>
      </c>
      <c r="C323" s="48" t="s">
        <v>39</v>
      </c>
      <c r="D323" s="226">
        <v>32442</v>
      </c>
      <c r="E323" s="208">
        <v>0</v>
      </c>
      <c r="F323" s="208">
        <v>0</v>
      </c>
      <c r="G323" s="208">
        <v>0</v>
      </c>
      <c r="H323" s="208">
        <v>0</v>
      </c>
      <c r="I323" s="208">
        <v>0</v>
      </c>
      <c r="J323" s="208">
        <v>0</v>
      </c>
      <c r="K323" s="208">
        <v>0</v>
      </c>
      <c r="L323" s="208">
        <v>0</v>
      </c>
      <c r="M323" s="208">
        <v>0</v>
      </c>
      <c r="N323" s="208">
        <v>0</v>
      </c>
    </row>
    <row r="324" spans="1:14" ht="13.5" thickBot="1" x14ac:dyDescent="0.25">
      <c r="A324" s="48" t="s">
        <v>300</v>
      </c>
      <c r="B324" s="224" t="s">
        <v>299</v>
      </c>
      <c r="C324" s="48" t="s">
        <v>39</v>
      </c>
      <c r="D324" s="226">
        <v>27692</v>
      </c>
      <c r="E324" s="208">
        <v>0</v>
      </c>
      <c r="F324" s="208">
        <v>0</v>
      </c>
      <c r="G324" s="208">
        <v>0</v>
      </c>
      <c r="H324" s="208">
        <v>0</v>
      </c>
      <c r="I324" s="208">
        <v>0</v>
      </c>
      <c r="J324" s="208">
        <v>0</v>
      </c>
      <c r="K324" s="208">
        <v>0</v>
      </c>
      <c r="L324" s="208">
        <v>0</v>
      </c>
      <c r="M324" s="208">
        <v>0</v>
      </c>
      <c r="N324" s="208">
        <v>0</v>
      </c>
    </row>
    <row r="325" spans="1:14" ht="13.5" thickBot="1" x14ac:dyDescent="0.25">
      <c r="A325" s="48" t="s">
        <v>308</v>
      </c>
      <c r="B325" s="224" t="s">
        <v>307</v>
      </c>
      <c r="C325" s="48" t="s">
        <v>39</v>
      </c>
      <c r="D325" s="226">
        <v>46985</v>
      </c>
      <c r="E325" s="208">
        <v>0</v>
      </c>
      <c r="F325" s="208">
        <v>0</v>
      </c>
      <c r="G325" s="208">
        <v>0</v>
      </c>
      <c r="H325" s="208">
        <v>0</v>
      </c>
      <c r="I325" s="208">
        <v>0</v>
      </c>
      <c r="J325" s="208">
        <v>0</v>
      </c>
      <c r="K325" s="208">
        <v>0</v>
      </c>
      <c r="L325" s="208">
        <v>8705673</v>
      </c>
      <c r="M325" s="208">
        <v>0</v>
      </c>
      <c r="N325" s="208">
        <v>8705673</v>
      </c>
    </row>
    <row r="326" spans="1:14" ht="13.5" thickBot="1" x14ac:dyDescent="0.25">
      <c r="A326" s="48" t="s">
        <v>328</v>
      </c>
      <c r="B326" s="224" t="s">
        <v>327</v>
      </c>
      <c r="C326" s="48" t="s">
        <v>39</v>
      </c>
      <c r="D326" s="226">
        <v>40898</v>
      </c>
      <c r="E326" s="208">
        <v>0</v>
      </c>
      <c r="F326" s="208">
        <v>0</v>
      </c>
      <c r="G326" s="208">
        <v>0</v>
      </c>
      <c r="H326" s="208">
        <v>0</v>
      </c>
      <c r="I326" s="208">
        <v>0</v>
      </c>
      <c r="J326" s="208">
        <v>0</v>
      </c>
      <c r="K326" s="208">
        <v>500</v>
      </c>
      <c r="L326" s="208">
        <v>24065</v>
      </c>
      <c r="M326" s="208">
        <v>0</v>
      </c>
      <c r="N326" s="208">
        <v>24565</v>
      </c>
    </row>
    <row r="327" spans="1:14" ht="13.5" thickBot="1" x14ac:dyDescent="0.25">
      <c r="A327" s="48" t="s">
        <v>386</v>
      </c>
      <c r="B327" s="224" t="s">
        <v>385</v>
      </c>
      <c r="C327" s="48" t="s">
        <v>39</v>
      </c>
      <c r="D327" s="226">
        <v>41786</v>
      </c>
      <c r="E327" s="208">
        <v>0</v>
      </c>
      <c r="F327" s="208">
        <v>0</v>
      </c>
      <c r="G327" s="208">
        <v>0</v>
      </c>
      <c r="H327" s="208">
        <v>0</v>
      </c>
      <c r="I327" s="208">
        <v>0</v>
      </c>
      <c r="J327" s="208">
        <v>0</v>
      </c>
      <c r="K327" s="208">
        <v>30193</v>
      </c>
      <c r="L327" s="208">
        <v>0</v>
      </c>
      <c r="M327" s="208">
        <v>0</v>
      </c>
      <c r="N327" s="208">
        <v>30193</v>
      </c>
    </row>
    <row r="328" spans="1:14" ht="13.5" thickBot="1" x14ac:dyDescent="0.25">
      <c r="A328" s="48" t="s">
        <v>431</v>
      </c>
      <c r="B328" s="224" t="s">
        <v>430</v>
      </c>
      <c r="C328" s="48" t="s">
        <v>39</v>
      </c>
      <c r="D328" s="226">
        <v>40771</v>
      </c>
      <c r="E328" s="208">
        <v>0</v>
      </c>
      <c r="F328" s="208">
        <v>0</v>
      </c>
      <c r="G328" s="208">
        <v>0</v>
      </c>
      <c r="H328" s="208">
        <v>0</v>
      </c>
      <c r="I328" s="208">
        <v>0</v>
      </c>
      <c r="J328" s="208">
        <v>0</v>
      </c>
      <c r="K328" s="208">
        <v>0</v>
      </c>
      <c r="L328" s="208">
        <v>0</v>
      </c>
      <c r="M328" s="208">
        <v>9240</v>
      </c>
      <c r="N328" s="208">
        <v>9240</v>
      </c>
    </row>
    <row r="329" spans="1:14" ht="13.5" thickBot="1" x14ac:dyDescent="0.25">
      <c r="A329" s="48" t="s">
        <v>437</v>
      </c>
      <c r="B329" s="224" t="s">
        <v>436</v>
      </c>
      <c r="C329" s="48" t="s">
        <v>39</v>
      </c>
      <c r="D329" s="226">
        <v>38144</v>
      </c>
      <c r="E329" s="208">
        <v>0</v>
      </c>
      <c r="F329" s="208">
        <v>0</v>
      </c>
      <c r="G329" s="208">
        <v>0</v>
      </c>
      <c r="H329" s="208">
        <v>0</v>
      </c>
      <c r="I329" s="208">
        <v>0</v>
      </c>
      <c r="J329" s="208">
        <v>19390</v>
      </c>
      <c r="K329" s="208">
        <v>2544</v>
      </c>
      <c r="L329" s="208">
        <v>14808</v>
      </c>
      <c r="M329" s="208">
        <v>0</v>
      </c>
      <c r="N329" s="208">
        <v>36742</v>
      </c>
    </row>
    <row r="330" spans="1:14" ht="13.5" thickBot="1" x14ac:dyDescent="0.25">
      <c r="A330" s="48" t="s">
        <v>448</v>
      </c>
      <c r="B330" s="224" t="s">
        <v>447</v>
      </c>
      <c r="C330" s="48" t="s">
        <v>39</v>
      </c>
      <c r="D330" s="226">
        <v>35540</v>
      </c>
      <c r="E330" s="208">
        <v>0</v>
      </c>
      <c r="F330" s="208">
        <v>0</v>
      </c>
      <c r="G330" s="208">
        <v>39010</v>
      </c>
      <c r="H330" s="208">
        <v>0</v>
      </c>
      <c r="I330" s="208">
        <v>39010</v>
      </c>
      <c r="J330" s="208">
        <v>8485</v>
      </c>
      <c r="K330" s="208">
        <v>8924</v>
      </c>
      <c r="L330" s="208">
        <v>110987</v>
      </c>
      <c r="M330" s="208">
        <v>0</v>
      </c>
      <c r="N330" s="208">
        <v>128396</v>
      </c>
    </row>
    <row r="331" spans="1:14" ht="13.5" thickBot="1" x14ac:dyDescent="0.25">
      <c r="A331" s="48" t="s">
        <v>464</v>
      </c>
      <c r="B331" s="224" t="s">
        <v>463</v>
      </c>
      <c r="C331" s="48" t="s">
        <v>39</v>
      </c>
      <c r="D331" s="226">
        <v>29694</v>
      </c>
      <c r="E331" s="208">
        <v>0</v>
      </c>
      <c r="F331" s="208">
        <v>0</v>
      </c>
      <c r="G331" s="208">
        <v>0</v>
      </c>
      <c r="H331" s="208">
        <v>0</v>
      </c>
      <c r="I331" s="208">
        <v>0</v>
      </c>
      <c r="J331" s="208">
        <v>0</v>
      </c>
      <c r="K331" s="208">
        <v>0</v>
      </c>
      <c r="L331" s="208">
        <v>0</v>
      </c>
      <c r="M331" s="208">
        <v>0</v>
      </c>
      <c r="N331" s="208">
        <v>0</v>
      </c>
    </row>
    <row r="332" spans="1:14" ht="13.5" thickBot="1" x14ac:dyDescent="0.25">
      <c r="A332" s="48" t="s">
        <v>484</v>
      </c>
      <c r="B332" s="224" t="s">
        <v>483</v>
      </c>
      <c r="C332" s="48" t="s">
        <v>39</v>
      </c>
      <c r="D332" s="226">
        <v>28646</v>
      </c>
      <c r="E332" s="208">
        <v>0</v>
      </c>
      <c r="F332" s="208">
        <v>0</v>
      </c>
      <c r="G332" s="208">
        <v>0</v>
      </c>
      <c r="H332" s="208">
        <v>0</v>
      </c>
      <c r="I332" s="208">
        <v>0</v>
      </c>
      <c r="J332" s="203">
        <v>0</v>
      </c>
      <c r="K332" s="208">
        <v>23254</v>
      </c>
      <c r="L332" s="203">
        <v>0</v>
      </c>
      <c r="M332" s="203">
        <v>0</v>
      </c>
      <c r="N332" s="208">
        <v>23254</v>
      </c>
    </row>
    <row r="333" spans="1:14" ht="13.5" thickBot="1" x14ac:dyDescent="0.25">
      <c r="A333" s="48" t="s">
        <v>538</v>
      </c>
      <c r="B333" s="224" t="s">
        <v>537</v>
      </c>
      <c r="C333" s="48" t="s">
        <v>39</v>
      </c>
      <c r="D333" s="226">
        <v>34467</v>
      </c>
      <c r="E333" s="208">
        <v>0</v>
      </c>
      <c r="F333" s="208">
        <v>0</v>
      </c>
      <c r="G333" s="208">
        <v>0</v>
      </c>
      <c r="H333" s="208">
        <v>0</v>
      </c>
      <c r="I333" s="208">
        <v>0</v>
      </c>
      <c r="J333" s="208">
        <v>8699</v>
      </c>
      <c r="K333" s="208">
        <v>39428</v>
      </c>
      <c r="L333" s="208">
        <v>51749</v>
      </c>
      <c r="M333" s="208">
        <v>1935</v>
      </c>
      <c r="N333" s="208">
        <v>101811</v>
      </c>
    </row>
    <row r="334" spans="1:14" ht="13.5" thickBot="1" x14ac:dyDescent="0.25">
      <c r="A334" s="48" t="s">
        <v>544</v>
      </c>
      <c r="B334" s="224" t="s">
        <v>543</v>
      </c>
      <c r="C334" s="48" t="s">
        <v>39</v>
      </c>
      <c r="D334" s="226">
        <v>29319</v>
      </c>
      <c r="E334" s="208">
        <v>0</v>
      </c>
      <c r="F334" s="208">
        <v>0</v>
      </c>
      <c r="G334" s="208">
        <v>0</v>
      </c>
      <c r="H334" s="208">
        <v>0</v>
      </c>
      <c r="I334" s="208">
        <v>0</v>
      </c>
      <c r="J334" s="208">
        <v>0</v>
      </c>
      <c r="K334" s="208">
        <v>0</v>
      </c>
      <c r="L334" s="208">
        <v>0</v>
      </c>
      <c r="M334" s="208">
        <v>0</v>
      </c>
      <c r="N334" s="208">
        <v>0</v>
      </c>
    </row>
    <row r="335" spans="1:14" ht="13.5" thickBot="1" x14ac:dyDescent="0.25">
      <c r="A335" s="48" t="s">
        <v>550</v>
      </c>
      <c r="B335" s="224" t="s">
        <v>549</v>
      </c>
      <c r="C335" s="48" t="s">
        <v>39</v>
      </c>
      <c r="D335" s="226">
        <v>35394</v>
      </c>
      <c r="E335" s="208">
        <v>0</v>
      </c>
      <c r="F335" s="208">
        <v>0</v>
      </c>
      <c r="G335" s="208">
        <v>0</v>
      </c>
      <c r="H335" s="208">
        <v>0</v>
      </c>
      <c r="I335" s="208">
        <v>0</v>
      </c>
      <c r="J335" s="208">
        <v>19437</v>
      </c>
      <c r="K335" s="208">
        <v>16009</v>
      </c>
      <c r="L335" s="208">
        <v>16828</v>
      </c>
      <c r="M335" s="208">
        <v>15550</v>
      </c>
      <c r="N335" s="208">
        <v>67824</v>
      </c>
    </row>
    <row r="336" spans="1:14" ht="13.5" thickBot="1" x14ac:dyDescent="0.25">
      <c r="A336" s="48" t="s">
        <v>578</v>
      </c>
      <c r="B336" s="224" t="s">
        <v>577</v>
      </c>
      <c r="C336" s="48" t="s">
        <v>39</v>
      </c>
      <c r="D336" s="226">
        <v>36441</v>
      </c>
      <c r="E336" s="208">
        <v>0</v>
      </c>
      <c r="F336" s="208">
        <v>0</v>
      </c>
      <c r="G336" s="208">
        <v>0</v>
      </c>
      <c r="H336" s="208">
        <v>0</v>
      </c>
      <c r="I336" s="208">
        <v>0</v>
      </c>
      <c r="J336" s="208">
        <v>0</v>
      </c>
      <c r="K336" s="208">
        <v>9963</v>
      </c>
      <c r="L336" s="208">
        <v>63293</v>
      </c>
      <c r="M336" s="208">
        <v>0</v>
      </c>
      <c r="N336" s="208">
        <v>73256</v>
      </c>
    </row>
    <row r="337" spans="1:14" ht="13.5" thickBot="1" x14ac:dyDescent="0.25">
      <c r="A337" s="48" t="s">
        <v>588</v>
      </c>
      <c r="B337" s="224" t="s">
        <v>587</v>
      </c>
      <c r="C337" s="48" t="s">
        <v>39</v>
      </c>
      <c r="D337" s="226">
        <v>36656</v>
      </c>
      <c r="E337" s="208">
        <v>0</v>
      </c>
      <c r="F337" s="208">
        <v>0</v>
      </c>
      <c r="G337" s="208">
        <v>0</v>
      </c>
      <c r="H337" s="208">
        <v>0</v>
      </c>
      <c r="I337" s="208">
        <v>0</v>
      </c>
      <c r="J337" s="208">
        <v>0</v>
      </c>
      <c r="K337" s="208">
        <v>0</v>
      </c>
      <c r="L337" s="208">
        <v>0</v>
      </c>
      <c r="M337" s="208">
        <v>0</v>
      </c>
      <c r="N337" s="208">
        <v>0</v>
      </c>
    </row>
    <row r="338" spans="1:14" ht="13.5" thickBot="1" x14ac:dyDescent="0.25">
      <c r="A338" s="48" t="s">
        <v>616</v>
      </c>
      <c r="B338" s="224" t="s">
        <v>615</v>
      </c>
      <c r="C338" s="48" t="s">
        <v>39</v>
      </c>
      <c r="D338" s="226">
        <v>48362</v>
      </c>
      <c r="E338" s="208">
        <v>0</v>
      </c>
      <c r="F338" s="208">
        <v>0</v>
      </c>
      <c r="G338" s="208">
        <v>0</v>
      </c>
      <c r="H338" s="208">
        <v>0</v>
      </c>
      <c r="I338" s="208">
        <v>0</v>
      </c>
      <c r="J338" s="208">
        <v>2856</v>
      </c>
      <c r="K338" s="208">
        <v>573</v>
      </c>
      <c r="L338" s="208">
        <v>149256</v>
      </c>
      <c r="M338" s="208">
        <v>0</v>
      </c>
      <c r="N338" s="208">
        <v>152685</v>
      </c>
    </row>
    <row r="339" spans="1:14" ht="13.5" thickBot="1" x14ac:dyDescent="0.25">
      <c r="A339" s="48" t="s">
        <v>640</v>
      </c>
      <c r="B339" s="224" t="s">
        <v>639</v>
      </c>
      <c r="C339" s="48" t="s">
        <v>39</v>
      </c>
      <c r="D339" s="226">
        <v>33839</v>
      </c>
      <c r="E339" s="208">
        <v>0</v>
      </c>
      <c r="F339" s="208">
        <v>0</v>
      </c>
      <c r="G339" s="208">
        <v>0</v>
      </c>
      <c r="H339" s="208">
        <v>0</v>
      </c>
      <c r="I339" s="208">
        <v>0</v>
      </c>
      <c r="J339" s="208">
        <v>35131</v>
      </c>
      <c r="K339" s="208">
        <v>99299</v>
      </c>
      <c r="L339" s="208">
        <v>130052</v>
      </c>
      <c r="M339" s="208">
        <v>67714</v>
      </c>
      <c r="N339" s="208">
        <v>332196</v>
      </c>
    </row>
    <row r="340" spans="1:14" ht="13.5" thickBot="1" x14ac:dyDescent="0.25">
      <c r="A340" s="48" t="s">
        <v>642</v>
      </c>
      <c r="B340" s="224" t="s">
        <v>641</v>
      </c>
      <c r="C340" s="48" t="s">
        <v>39</v>
      </c>
      <c r="D340" s="226">
        <v>39868</v>
      </c>
      <c r="E340" s="208">
        <v>0</v>
      </c>
      <c r="F340" s="208">
        <v>0</v>
      </c>
      <c r="G340" s="208">
        <v>0</v>
      </c>
      <c r="H340" s="208">
        <v>0</v>
      </c>
      <c r="I340" s="208">
        <v>0</v>
      </c>
      <c r="J340" s="208">
        <v>8126</v>
      </c>
      <c r="K340" s="208">
        <v>2975</v>
      </c>
      <c r="L340" s="208">
        <v>22667</v>
      </c>
      <c r="M340" s="208">
        <v>0</v>
      </c>
      <c r="N340" s="208">
        <v>33768</v>
      </c>
    </row>
    <row r="341" spans="1:14" ht="13.5" thickBot="1" x14ac:dyDescent="0.25">
      <c r="A341" s="48" t="s">
        <v>646</v>
      </c>
      <c r="B341" s="224" t="s">
        <v>645</v>
      </c>
      <c r="C341" s="48" t="s">
        <v>39</v>
      </c>
      <c r="D341" s="226">
        <v>47299</v>
      </c>
      <c r="E341" s="208">
        <v>0</v>
      </c>
      <c r="F341" s="208">
        <v>0</v>
      </c>
      <c r="G341" s="208">
        <v>0</v>
      </c>
      <c r="H341" s="208">
        <v>0</v>
      </c>
      <c r="I341" s="208">
        <v>0</v>
      </c>
      <c r="J341" s="208">
        <v>75924</v>
      </c>
      <c r="K341" s="208">
        <v>860</v>
      </c>
      <c r="L341" s="208">
        <v>111719</v>
      </c>
      <c r="M341" s="208">
        <v>0</v>
      </c>
      <c r="N341" s="208">
        <v>188503</v>
      </c>
    </row>
    <row r="342" spans="1:14" ht="13.5" thickBot="1" x14ac:dyDescent="0.25">
      <c r="A342" s="48" t="s">
        <v>664</v>
      </c>
      <c r="B342" s="224" t="s">
        <v>663</v>
      </c>
      <c r="C342" s="48" t="s">
        <v>39</v>
      </c>
      <c r="D342" s="226">
        <v>26376</v>
      </c>
      <c r="E342" s="208">
        <v>0</v>
      </c>
      <c r="F342" s="208">
        <v>0</v>
      </c>
      <c r="G342" s="208">
        <v>0</v>
      </c>
      <c r="H342" s="208">
        <v>0</v>
      </c>
      <c r="I342" s="208">
        <v>0</v>
      </c>
      <c r="J342" s="208">
        <v>0</v>
      </c>
      <c r="K342" s="208">
        <v>0</v>
      </c>
      <c r="L342" s="208">
        <v>0</v>
      </c>
      <c r="M342" s="208">
        <v>0</v>
      </c>
      <c r="N342" s="208">
        <v>0</v>
      </c>
    </row>
    <row r="343" spans="1:14" ht="13.5" thickBot="1" x14ac:dyDescent="0.25">
      <c r="A343" s="48" t="s">
        <v>688</v>
      </c>
      <c r="B343" s="224" t="s">
        <v>687</v>
      </c>
      <c r="C343" s="48" t="s">
        <v>39</v>
      </c>
      <c r="D343" s="226">
        <v>27920</v>
      </c>
      <c r="E343" s="208">
        <v>0</v>
      </c>
      <c r="F343" s="208">
        <v>0</v>
      </c>
      <c r="G343" s="208">
        <v>0</v>
      </c>
      <c r="H343" s="208">
        <v>0</v>
      </c>
      <c r="I343" s="208">
        <v>0</v>
      </c>
      <c r="J343" s="203">
        <v>0</v>
      </c>
      <c r="K343" s="203">
        <v>0</v>
      </c>
      <c r="L343" s="203">
        <v>0</v>
      </c>
      <c r="M343" s="203">
        <v>0</v>
      </c>
      <c r="N343" s="203">
        <v>0</v>
      </c>
    </row>
    <row r="344" spans="1:14" ht="13.5" thickBot="1" x14ac:dyDescent="0.25">
      <c r="A344" s="48" t="s">
        <v>698</v>
      </c>
      <c r="B344" s="224" t="s">
        <v>697</v>
      </c>
      <c r="C344" s="48" t="s">
        <v>39</v>
      </c>
      <c r="D344" s="226">
        <v>30047</v>
      </c>
      <c r="E344" s="208">
        <v>0</v>
      </c>
      <c r="F344" s="208">
        <v>0</v>
      </c>
      <c r="G344" s="208">
        <v>0</v>
      </c>
      <c r="H344" s="208">
        <v>0</v>
      </c>
      <c r="I344" s="208">
        <v>0</v>
      </c>
      <c r="J344" s="208">
        <v>0</v>
      </c>
      <c r="K344" s="208">
        <v>4618</v>
      </c>
      <c r="L344" s="208">
        <v>35990</v>
      </c>
      <c r="M344" s="203">
        <v>0</v>
      </c>
      <c r="N344" s="208">
        <v>40608</v>
      </c>
    </row>
    <row r="345" spans="1:14" ht="13.5" thickBot="1" x14ac:dyDescent="0.25">
      <c r="A345" s="48" t="s">
        <v>716</v>
      </c>
      <c r="B345" s="224" t="s">
        <v>715</v>
      </c>
      <c r="C345" s="48" t="s">
        <v>39</v>
      </c>
      <c r="D345" s="226">
        <v>43031</v>
      </c>
      <c r="E345" s="208">
        <v>0</v>
      </c>
      <c r="F345" s="208">
        <v>0</v>
      </c>
      <c r="G345" s="208">
        <v>0</v>
      </c>
      <c r="H345" s="208">
        <v>0</v>
      </c>
      <c r="I345" s="208">
        <v>0</v>
      </c>
      <c r="J345" s="208">
        <v>4600</v>
      </c>
      <c r="K345" s="208">
        <v>1300</v>
      </c>
      <c r="L345" s="208">
        <v>38000</v>
      </c>
      <c r="M345" s="208">
        <v>0</v>
      </c>
      <c r="N345" s="208">
        <v>43900</v>
      </c>
    </row>
    <row r="346" spans="1:14" ht="13.5" thickBot="1" x14ac:dyDescent="0.25">
      <c r="A346" s="48" t="s">
        <v>760</v>
      </c>
      <c r="B346" s="224" t="s">
        <v>759</v>
      </c>
      <c r="C346" s="48" t="s">
        <v>39</v>
      </c>
      <c r="D346" s="226">
        <v>44265</v>
      </c>
      <c r="E346" s="208">
        <v>0</v>
      </c>
      <c r="F346" s="208">
        <v>0</v>
      </c>
      <c r="G346" s="208">
        <v>0</v>
      </c>
      <c r="H346" s="208">
        <v>0</v>
      </c>
      <c r="I346" s="208">
        <v>0</v>
      </c>
      <c r="J346" s="208">
        <v>37561</v>
      </c>
      <c r="K346" s="208">
        <v>4243</v>
      </c>
      <c r="L346" s="208">
        <v>225</v>
      </c>
      <c r="M346" s="208">
        <v>3223</v>
      </c>
      <c r="N346" s="208">
        <v>45252</v>
      </c>
    </row>
    <row r="347" spans="1:14" ht="13.5" thickBot="1" x14ac:dyDescent="0.25">
      <c r="A347" s="48" t="s">
        <v>800</v>
      </c>
      <c r="B347" s="224" t="s">
        <v>799</v>
      </c>
      <c r="C347" s="48" t="s">
        <v>39</v>
      </c>
      <c r="D347" s="226">
        <v>30019</v>
      </c>
      <c r="E347" s="208">
        <v>0</v>
      </c>
      <c r="F347" s="208">
        <v>0</v>
      </c>
      <c r="G347" s="208">
        <v>8193379</v>
      </c>
      <c r="H347" s="208">
        <v>0</v>
      </c>
      <c r="I347" s="208">
        <v>8193379</v>
      </c>
      <c r="J347" s="208">
        <v>13110</v>
      </c>
      <c r="K347" s="208">
        <v>318347</v>
      </c>
      <c r="L347" s="208">
        <v>6509550</v>
      </c>
      <c r="M347" s="208">
        <v>1978802</v>
      </c>
      <c r="N347" s="208">
        <v>8819809</v>
      </c>
    </row>
    <row r="348" spans="1:14" ht="13.5" thickBot="1" x14ac:dyDescent="0.25">
      <c r="A348" s="48" t="s">
        <v>53</v>
      </c>
      <c r="B348" s="224" t="s">
        <v>52</v>
      </c>
      <c r="C348" s="48" t="s">
        <v>54</v>
      </c>
      <c r="D348" s="226">
        <v>163590</v>
      </c>
      <c r="E348" s="208">
        <v>0</v>
      </c>
      <c r="F348" s="208">
        <v>0</v>
      </c>
      <c r="G348" s="208">
        <v>0</v>
      </c>
      <c r="H348" s="208">
        <v>0</v>
      </c>
      <c r="I348" s="208">
        <v>0</v>
      </c>
      <c r="J348" s="208">
        <v>0</v>
      </c>
      <c r="K348" s="208">
        <v>34420</v>
      </c>
      <c r="L348" s="208">
        <v>1113982</v>
      </c>
      <c r="M348" s="208">
        <v>316838</v>
      </c>
      <c r="N348" s="208">
        <v>1465240</v>
      </c>
    </row>
    <row r="349" spans="1:14" ht="13.5" thickBot="1" x14ac:dyDescent="0.25">
      <c r="A349" s="48" t="s">
        <v>78</v>
      </c>
      <c r="B349" s="224" t="s">
        <v>77</v>
      </c>
      <c r="C349" s="48" t="s">
        <v>54</v>
      </c>
      <c r="D349" s="226">
        <v>107681</v>
      </c>
      <c r="E349" s="208">
        <v>0</v>
      </c>
      <c r="F349" s="208">
        <v>0</v>
      </c>
      <c r="G349" s="208">
        <v>0</v>
      </c>
      <c r="H349" s="208">
        <v>0</v>
      </c>
      <c r="I349" s="208">
        <v>0</v>
      </c>
      <c r="J349" s="208">
        <v>0</v>
      </c>
      <c r="K349" s="208">
        <v>0</v>
      </c>
      <c r="L349" s="208">
        <v>0</v>
      </c>
      <c r="M349" s="208">
        <v>0</v>
      </c>
      <c r="N349" s="208">
        <v>0</v>
      </c>
    </row>
    <row r="350" spans="1:14" ht="13.5" thickBot="1" x14ac:dyDescent="0.25">
      <c r="A350" s="48" t="s">
        <v>140</v>
      </c>
      <c r="B350" s="224" t="s">
        <v>139</v>
      </c>
      <c r="C350" s="48" t="s">
        <v>54</v>
      </c>
      <c r="D350" s="226">
        <v>90173</v>
      </c>
      <c r="E350" s="208">
        <v>0</v>
      </c>
      <c r="F350" s="208">
        <v>0</v>
      </c>
      <c r="G350" s="208">
        <v>0</v>
      </c>
      <c r="H350" s="208">
        <v>0</v>
      </c>
      <c r="I350" s="208">
        <v>0</v>
      </c>
      <c r="J350" s="208">
        <v>148904</v>
      </c>
      <c r="K350" s="208">
        <v>162410</v>
      </c>
      <c r="L350" s="208">
        <v>412405</v>
      </c>
      <c r="M350" s="208">
        <v>225706</v>
      </c>
      <c r="N350" s="208">
        <v>949425</v>
      </c>
    </row>
    <row r="351" spans="1:14" ht="13.5" thickBot="1" x14ac:dyDescent="0.25">
      <c r="A351" s="48" t="s">
        <v>142</v>
      </c>
      <c r="B351" s="224" t="s">
        <v>141</v>
      </c>
      <c r="C351" s="48" t="s">
        <v>54</v>
      </c>
      <c r="D351" s="226">
        <v>238859</v>
      </c>
      <c r="E351" s="208">
        <v>0</v>
      </c>
      <c r="F351" s="208">
        <v>0</v>
      </c>
      <c r="G351" s="208">
        <v>0</v>
      </c>
      <c r="H351" s="208">
        <v>0</v>
      </c>
      <c r="I351" s="208">
        <v>0</v>
      </c>
      <c r="J351" s="208">
        <v>145350</v>
      </c>
      <c r="K351" s="208">
        <v>20912</v>
      </c>
      <c r="L351" s="208">
        <v>296937</v>
      </c>
      <c r="M351" s="208">
        <v>193437</v>
      </c>
      <c r="N351" s="208">
        <v>656636</v>
      </c>
    </row>
    <row r="352" spans="1:14" ht="13.5" thickBot="1" x14ac:dyDescent="0.25">
      <c r="A352" s="48" t="s">
        <v>172</v>
      </c>
      <c r="B352" s="224" t="s">
        <v>171</v>
      </c>
      <c r="C352" s="48" t="s">
        <v>54</v>
      </c>
      <c r="D352" s="226">
        <v>51640</v>
      </c>
      <c r="E352" s="208">
        <v>0</v>
      </c>
      <c r="F352" s="208">
        <v>0</v>
      </c>
      <c r="G352" s="208">
        <v>0</v>
      </c>
      <c r="H352" s="208">
        <v>0</v>
      </c>
      <c r="I352" s="208">
        <v>0</v>
      </c>
      <c r="J352" s="208">
        <v>16745</v>
      </c>
      <c r="K352" s="208">
        <v>26413</v>
      </c>
      <c r="L352" s="208">
        <v>1700</v>
      </c>
      <c r="M352" s="208">
        <v>0</v>
      </c>
      <c r="N352" s="208">
        <v>44858</v>
      </c>
    </row>
    <row r="353" spans="1:14" ht="13.5" thickBot="1" x14ac:dyDescent="0.25">
      <c r="A353" s="48" t="s">
        <v>178</v>
      </c>
      <c r="B353" s="224" t="s">
        <v>177</v>
      </c>
      <c r="C353" s="48" t="s">
        <v>54</v>
      </c>
      <c r="D353" s="226">
        <v>169833</v>
      </c>
      <c r="E353" s="208">
        <v>0</v>
      </c>
      <c r="F353" s="208">
        <v>0</v>
      </c>
      <c r="G353" s="208">
        <v>0</v>
      </c>
      <c r="H353" s="208">
        <v>0</v>
      </c>
      <c r="I353" s="208">
        <v>0</v>
      </c>
      <c r="J353" s="208">
        <v>392439</v>
      </c>
      <c r="K353" s="208">
        <v>0</v>
      </c>
      <c r="L353" s="208">
        <v>0</v>
      </c>
      <c r="M353" s="208">
        <v>0</v>
      </c>
      <c r="N353" s="208">
        <v>392439</v>
      </c>
    </row>
    <row r="354" spans="1:14" ht="13.5" thickBot="1" x14ac:dyDescent="0.25">
      <c r="A354" s="48" t="s">
        <v>212</v>
      </c>
      <c r="B354" s="224" t="s">
        <v>211</v>
      </c>
      <c r="C354" s="48" t="s">
        <v>54</v>
      </c>
      <c r="D354" s="226">
        <v>57774</v>
      </c>
      <c r="E354" s="208">
        <v>0</v>
      </c>
      <c r="F354" s="208">
        <v>0</v>
      </c>
      <c r="G354" s="208">
        <v>0</v>
      </c>
      <c r="H354" s="208">
        <v>0</v>
      </c>
      <c r="I354" s="208">
        <v>0</v>
      </c>
      <c r="J354" s="208">
        <v>0</v>
      </c>
      <c r="K354" s="208">
        <v>0</v>
      </c>
      <c r="L354" s="208">
        <v>545294</v>
      </c>
      <c r="M354" s="208">
        <v>0</v>
      </c>
      <c r="N354" s="208">
        <v>545294</v>
      </c>
    </row>
    <row r="355" spans="1:14" ht="13.5" thickBot="1" x14ac:dyDescent="0.25">
      <c r="A355" s="48" t="s">
        <v>214</v>
      </c>
      <c r="B355" s="224" t="s">
        <v>213</v>
      </c>
      <c r="C355" s="48" t="s">
        <v>54</v>
      </c>
      <c r="D355" s="226">
        <v>98153</v>
      </c>
      <c r="E355" s="208">
        <v>0</v>
      </c>
      <c r="F355" s="208">
        <v>0</v>
      </c>
      <c r="G355" s="208">
        <v>0</v>
      </c>
      <c r="H355" s="208">
        <v>0</v>
      </c>
      <c r="I355" s="208">
        <v>0</v>
      </c>
      <c r="J355" s="208">
        <v>0</v>
      </c>
      <c r="K355" s="208">
        <v>250597</v>
      </c>
      <c r="L355" s="208">
        <v>1087677</v>
      </c>
      <c r="M355" s="208">
        <v>4498880</v>
      </c>
      <c r="N355" s="208">
        <v>5837154</v>
      </c>
    </row>
    <row r="356" spans="1:14" ht="13.5" thickBot="1" x14ac:dyDescent="0.25">
      <c r="A356" s="48" t="s">
        <v>222</v>
      </c>
      <c r="B356" s="224" t="s">
        <v>221</v>
      </c>
      <c r="C356" s="48" t="s">
        <v>54</v>
      </c>
      <c r="D356" s="226">
        <v>713777</v>
      </c>
      <c r="E356" s="208">
        <v>0</v>
      </c>
      <c r="F356" s="208">
        <v>0</v>
      </c>
      <c r="G356" s="208">
        <v>0</v>
      </c>
      <c r="H356" s="208">
        <v>0</v>
      </c>
      <c r="I356" s="208">
        <v>0</v>
      </c>
      <c r="J356" s="208">
        <v>0</v>
      </c>
      <c r="K356" s="208">
        <v>0</v>
      </c>
      <c r="L356" s="208">
        <v>0</v>
      </c>
      <c r="M356" s="208">
        <v>0</v>
      </c>
      <c r="N356" s="208">
        <v>0</v>
      </c>
    </row>
    <row r="357" spans="1:14" ht="13.5" thickBot="1" x14ac:dyDescent="0.25">
      <c r="A357" s="48" t="s">
        <v>266</v>
      </c>
      <c r="B357" s="224" t="s">
        <v>265</v>
      </c>
      <c r="C357" s="48" t="s">
        <v>54</v>
      </c>
      <c r="D357" s="226">
        <v>90112</v>
      </c>
      <c r="E357" s="208">
        <v>0</v>
      </c>
      <c r="F357" s="208">
        <v>0</v>
      </c>
      <c r="G357" s="208">
        <v>0</v>
      </c>
      <c r="H357" s="208">
        <v>0</v>
      </c>
      <c r="I357" s="208">
        <v>0</v>
      </c>
      <c r="J357" s="208">
        <v>283922</v>
      </c>
      <c r="K357" s="208">
        <v>50125</v>
      </c>
      <c r="L357" s="208">
        <v>92814</v>
      </c>
      <c r="M357" s="208">
        <v>26358</v>
      </c>
      <c r="N357" s="208">
        <v>453219</v>
      </c>
    </row>
    <row r="358" spans="1:14" ht="13.5" thickBot="1" x14ac:dyDescent="0.25">
      <c r="A358" s="48" t="s">
        <v>278</v>
      </c>
      <c r="B358" s="224" t="s">
        <v>277</v>
      </c>
      <c r="C358" s="48" t="s">
        <v>54</v>
      </c>
      <c r="D358" s="226">
        <v>102434</v>
      </c>
      <c r="E358" s="208">
        <v>0</v>
      </c>
      <c r="F358" s="208">
        <v>0</v>
      </c>
      <c r="G358" s="208">
        <v>0</v>
      </c>
      <c r="H358" s="208">
        <v>0</v>
      </c>
      <c r="I358" s="208">
        <v>0</v>
      </c>
      <c r="J358" s="203">
        <v>0</v>
      </c>
      <c r="K358" s="203">
        <v>0</v>
      </c>
      <c r="L358" s="208">
        <v>1439093</v>
      </c>
      <c r="M358" s="203">
        <v>0</v>
      </c>
      <c r="N358" s="208">
        <v>1439093</v>
      </c>
    </row>
    <row r="359" spans="1:14" ht="13.5" thickBot="1" x14ac:dyDescent="0.25">
      <c r="A359" s="48" t="s">
        <v>304</v>
      </c>
      <c r="B359" s="224" t="s">
        <v>303</v>
      </c>
      <c r="C359" s="48" t="s">
        <v>54</v>
      </c>
      <c r="D359" s="226">
        <v>332567</v>
      </c>
      <c r="E359" s="208">
        <v>0</v>
      </c>
      <c r="F359" s="208">
        <v>0</v>
      </c>
      <c r="G359" s="208">
        <v>0</v>
      </c>
      <c r="H359" s="208">
        <v>0</v>
      </c>
      <c r="I359" s="208">
        <v>0</v>
      </c>
      <c r="J359" s="208">
        <v>0</v>
      </c>
      <c r="K359" s="208">
        <v>19565</v>
      </c>
      <c r="L359" s="208">
        <v>0</v>
      </c>
      <c r="M359" s="208">
        <v>0</v>
      </c>
      <c r="N359" s="208">
        <v>19565</v>
      </c>
    </row>
    <row r="360" spans="1:14" ht="13.5" thickBot="1" x14ac:dyDescent="0.25">
      <c r="A360" s="48" t="s">
        <v>318</v>
      </c>
      <c r="B360" s="224" t="s">
        <v>317</v>
      </c>
      <c r="C360" s="48" t="s">
        <v>54</v>
      </c>
      <c r="D360" s="226">
        <v>76707</v>
      </c>
      <c r="E360" s="208">
        <v>0</v>
      </c>
      <c r="F360" s="208">
        <v>0</v>
      </c>
      <c r="G360" s="208">
        <v>0</v>
      </c>
      <c r="H360" s="208">
        <v>0</v>
      </c>
      <c r="I360" s="208">
        <v>0</v>
      </c>
      <c r="J360" s="208">
        <v>0</v>
      </c>
      <c r="K360" s="208">
        <v>0</v>
      </c>
      <c r="L360" s="208">
        <v>9212</v>
      </c>
      <c r="M360" s="208">
        <v>85328</v>
      </c>
      <c r="N360" s="208">
        <v>94540</v>
      </c>
    </row>
    <row r="361" spans="1:14" ht="13.5" thickBot="1" x14ac:dyDescent="0.25">
      <c r="A361" s="48" t="s">
        <v>322</v>
      </c>
      <c r="B361" s="224" t="s">
        <v>321</v>
      </c>
      <c r="C361" s="48" t="s">
        <v>54</v>
      </c>
      <c r="D361" s="226">
        <v>188040</v>
      </c>
      <c r="E361" s="208">
        <v>0</v>
      </c>
      <c r="F361" s="208">
        <v>0</v>
      </c>
      <c r="G361" s="208">
        <v>1339564</v>
      </c>
      <c r="H361" s="208">
        <v>0</v>
      </c>
      <c r="I361" s="208">
        <v>1339564</v>
      </c>
      <c r="J361" s="208">
        <v>0</v>
      </c>
      <c r="K361" s="208">
        <v>98178</v>
      </c>
      <c r="L361" s="208">
        <v>1200000</v>
      </c>
      <c r="M361" s="208">
        <v>377201</v>
      </c>
      <c r="N361" s="208">
        <v>1675379</v>
      </c>
    </row>
    <row r="362" spans="1:14" ht="13.5" thickBot="1" x14ac:dyDescent="0.25">
      <c r="A362" s="48" t="s">
        <v>326</v>
      </c>
      <c r="B362" s="224" t="s">
        <v>325</v>
      </c>
      <c r="C362" s="48" t="s">
        <v>54</v>
      </c>
      <c r="D362" s="226">
        <v>51133</v>
      </c>
      <c r="E362" s="208">
        <v>0</v>
      </c>
      <c r="F362" s="208">
        <v>0</v>
      </c>
      <c r="G362" s="208">
        <v>0</v>
      </c>
      <c r="H362" s="208">
        <v>0</v>
      </c>
      <c r="I362" s="208">
        <v>0</v>
      </c>
      <c r="J362" s="208">
        <v>0</v>
      </c>
      <c r="K362" s="208">
        <v>205532</v>
      </c>
      <c r="L362" s="208">
        <v>9799</v>
      </c>
      <c r="M362" s="208">
        <v>110684</v>
      </c>
      <c r="N362" s="208">
        <v>326015</v>
      </c>
    </row>
    <row r="363" spans="1:14" ht="13.5" thickBot="1" x14ac:dyDescent="0.25">
      <c r="A363" s="48" t="s">
        <v>352</v>
      </c>
      <c r="B363" s="224" t="s">
        <v>351</v>
      </c>
      <c r="C363" s="48" t="s">
        <v>54</v>
      </c>
      <c r="D363" s="226">
        <v>102423</v>
      </c>
      <c r="E363" s="208">
        <v>0</v>
      </c>
      <c r="F363" s="208">
        <v>0</v>
      </c>
      <c r="G363" s="208">
        <v>0</v>
      </c>
      <c r="H363" s="208">
        <v>0</v>
      </c>
      <c r="I363" s="208">
        <v>0</v>
      </c>
      <c r="J363" s="203">
        <v>0</v>
      </c>
      <c r="K363" s="208">
        <v>125098</v>
      </c>
      <c r="L363" s="208">
        <v>610000</v>
      </c>
      <c r="M363" s="203">
        <v>0</v>
      </c>
      <c r="N363" s="208">
        <v>735098</v>
      </c>
    </row>
    <row r="364" spans="1:14" ht="13.5" thickBot="1" x14ac:dyDescent="0.25">
      <c r="A364" s="48" t="s">
        <v>374</v>
      </c>
      <c r="B364" s="224" t="s">
        <v>373</v>
      </c>
      <c r="C364" s="48" t="s">
        <v>54</v>
      </c>
      <c r="D364" s="226">
        <v>52529</v>
      </c>
      <c r="E364" s="208">
        <v>0</v>
      </c>
      <c r="F364" s="208">
        <v>0</v>
      </c>
      <c r="G364" s="208">
        <v>0</v>
      </c>
      <c r="H364" s="208">
        <v>0</v>
      </c>
      <c r="I364" s="208">
        <v>0</v>
      </c>
      <c r="J364" s="208">
        <v>0</v>
      </c>
      <c r="K364" s="208">
        <v>0</v>
      </c>
      <c r="L364" s="208">
        <v>0</v>
      </c>
      <c r="M364" s="208">
        <v>211750</v>
      </c>
      <c r="N364" s="208">
        <v>211750</v>
      </c>
    </row>
    <row r="365" spans="1:14" ht="13.5" thickBot="1" x14ac:dyDescent="0.25">
      <c r="A365" s="48" t="s">
        <v>394</v>
      </c>
      <c r="B365" s="224" t="s">
        <v>393</v>
      </c>
      <c r="C365" s="48" t="s">
        <v>54</v>
      </c>
      <c r="D365" s="226">
        <v>160248</v>
      </c>
      <c r="E365" s="208">
        <v>0</v>
      </c>
      <c r="F365" s="208">
        <v>0</v>
      </c>
      <c r="G365" s="208">
        <v>0</v>
      </c>
      <c r="H365" s="208">
        <v>0</v>
      </c>
      <c r="I365" s="208">
        <v>0</v>
      </c>
      <c r="J365" s="208">
        <v>61773</v>
      </c>
      <c r="K365" s="208">
        <v>114360</v>
      </c>
      <c r="L365" s="208">
        <v>73680</v>
      </c>
      <c r="M365" s="208">
        <v>0</v>
      </c>
      <c r="N365" s="208">
        <v>249813</v>
      </c>
    </row>
    <row r="366" spans="1:14" ht="13.5" thickBot="1" x14ac:dyDescent="0.25">
      <c r="A366" s="48" t="s">
        <v>402</v>
      </c>
      <c r="B366" s="224" t="s">
        <v>401</v>
      </c>
      <c r="C366" s="48" t="s">
        <v>54</v>
      </c>
      <c r="D366" s="226">
        <v>123979</v>
      </c>
      <c r="E366" s="208">
        <v>0</v>
      </c>
      <c r="F366" s="208">
        <v>0</v>
      </c>
      <c r="G366" s="208">
        <v>0</v>
      </c>
      <c r="H366" s="208">
        <v>0</v>
      </c>
      <c r="I366" s="208">
        <v>0</v>
      </c>
      <c r="J366" s="208">
        <v>658494</v>
      </c>
      <c r="K366" s="208">
        <v>157974</v>
      </c>
      <c r="L366" s="208">
        <v>337573</v>
      </c>
      <c r="M366" s="208">
        <v>0</v>
      </c>
      <c r="N366" s="208">
        <v>1154041</v>
      </c>
    </row>
    <row r="367" spans="1:14" ht="13.5" thickBot="1" x14ac:dyDescent="0.25">
      <c r="A367" s="48" t="s">
        <v>406</v>
      </c>
      <c r="B367" s="224" t="s">
        <v>405</v>
      </c>
      <c r="C367" s="48" t="s">
        <v>54</v>
      </c>
      <c r="D367" s="226">
        <v>395660</v>
      </c>
      <c r="E367" s="208">
        <v>0</v>
      </c>
      <c r="F367" s="208">
        <v>0</v>
      </c>
      <c r="G367" s="208">
        <v>0</v>
      </c>
      <c r="H367" s="208">
        <v>0</v>
      </c>
      <c r="I367" s="208">
        <v>0</v>
      </c>
      <c r="J367" s="208">
        <v>17590</v>
      </c>
      <c r="K367" s="208">
        <v>9189</v>
      </c>
      <c r="L367" s="208">
        <v>754681</v>
      </c>
      <c r="M367" s="208">
        <v>0</v>
      </c>
      <c r="N367" s="208">
        <v>781460</v>
      </c>
    </row>
    <row r="368" spans="1:14" ht="13.5" thickBot="1" x14ac:dyDescent="0.25">
      <c r="A368" s="48" t="s">
        <v>417</v>
      </c>
      <c r="B368" s="224" t="s">
        <v>416</v>
      </c>
      <c r="C368" s="48" t="s">
        <v>54</v>
      </c>
      <c r="D368" s="226">
        <v>60006</v>
      </c>
      <c r="E368" s="208">
        <v>0</v>
      </c>
      <c r="F368" s="208">
        <v>0</v>
      </c>
      <c r="G368" s="208">
        <v>0</v>
      </c>
      <c r="H368" s="208">
        <v>0</v>
      </c>
      <c r="I368" s="208">
        <v>0</v>
      </c>
      <c r="J368" s="208">
        <v>27146</v>
      </c>
      <c r="K368" s="208">
        <v>15155</v>
      </c>
      <c r="L368" s="203">
        <v>0</v>
      </c>
      <c r="M368" s="208">
        <v>27797</v>
      </c>
      <c r="N368" s="208">
        <v>70098</v>
      </c>
    </row>
    <row r="369" spans="1:14" ht="13.5" thickBot="1" x14ac:dyDescent="0.25">
      <c r="A369" s="48" t="s">
        <v>443</v>
      </c>
      <c r="B369" s="224" t="s">
        <v>442</v>
      </c>
      <c r="C369" s="48" t="s">
        <v>54</v>
      </c>
      <c r="D369" s="226">
        <v>96942</v>
      </c>
      <c r="E369" s="208">
        <v>0</v>
      </c>
      <c r="F369" s="208">
        <v>0</v>
      </c>
      <c r="G369" s="208">
        <v>0</v>
      </c>
      <c r="H369" s="208">
        <v>0</v>
      </c>
      <c r="I369" s="208">
        <v>0</v>
      </c>
      <c r="J369" s="208">
        <v>26537</v>
      </c>
      <c r="K369" s="208">
        <v>20629</v>
      </c>
      <c r="L369" s="208">
        <v>130683</v>
      </c>
      <c r="M369" s="208">
        <v>5955</v>
      </c>
      <c r="N369" s="208">
        <v>183804</v>
      </c>
    </row>
    <row r="370" spans="1:14" ht="13.5" thickBot="1" x14ac:dyDescent="0.25">
      <c r="A370" s="48" t="s">
        <v>508</v>
      </c>
      <c r="B370" s="224" t="s">
        <v>507</v>
      </c>
      <c r="C370" s="48" t="s">
        <v>54</v>
      </c>
      <c r="D370" s="226">
        <v>149955</v>
      </c>
      <c r="E370" s="208">
        <v>0</v>
      </c>
      <c r="F370" s="208">
        <v>0</v>
      </c>
      <c r="G370" s="208">
        <v>0</v>
      </c>
      <c r="H370" s="208">
        <v>0</v>
      </c>
      <c r="I370" s="208">
        <v>0</v>
      </c>
      <c r="J370" s="208">
        <v>205978</v>
      </c>
      <c r="K370" s="208">
        <v>323731</v>
      </c>
      <c r="L370" s="208">
        <v>142561</v>
      </c>
      <c r="M370" s="208">
        <v>579745</v>
      </c>
      <c r="N370" s="208">
        <v>1252015</v>
      </c>
    </row>
    <row r="371" spans="1:14" ht="13.5" thickBot="1" x14ac:dyDescent="0.25">
      <c r="A371" s="48" t="s">
        <v>522</v>
      </c>
      <c r="B371" s="224" t="s">
        <v>521</v>
      </c>
      <c r="C371" s="48" t="s">
        <v>54</v>
      </c>
      <c r="D371" s="226">
        <v>105852</v>
      </c>
      <c r="E371" s="208">
        <v>0</v>
      </c>
      <c r="F371" s="208">
        <v>0</v>
      </c>
      <c r="G371" s="208">
        <v>0</v>
      </c>
      <c r="H371" s="208">
        <v>0</v>
      </c>
      <c r="I371" s="208">
        <v>0</v>
      </c>
      <c r="J371" s="208">
        <v>42289</v>
      </c>
      <c r="K371" s="208">
        <v>84379</v>
      </c>
      <c r="L371" s="208">
        <v>24237</v>
      </c>
      <c r="M371" s="208">
        <v>111298</v>
      </c>
      <c r="N371" s="208">
        <v>262203</v>
      </c>
    </row>
    <row r="372" spans="1:14" ht="13.5" thickBot="1" x14ac:dyDescent="0.25">
      <c r="A372" s="48" t="s">
        <v>542</v>
      </c>
      <c r="B372" s="224" t="s">
        <v>541</v>
      </c>
      <c r="C372" s="48" t="s">
        <v>54</v>
      </c>
      <c r="D372" s="226">
        <v>55374</v>
      </c>
      <c r="E372" s="208">
        <v>0</v>
      </c>
      <c r="F372" s="208">
        <v>44384</v>
      </c>
      <c r="G372" s="208">
        <v>0</v>
      </c>
      <c r="H372" s="208">
        <v>0</v>
      </c>
      <c r="I372" s="208">
        <v>44384</v>
      </c>
      <c r="J372" s="208">
        <v>29227</v>
      </c>
      <c r="K372" s="208">
        <v>0</v>
      </c>
      <c r="L372" s="208">
        <v>0</v>
      </c>
      <c r="M372" s="208">
        <v>31433</v>
      </c>
      <c r="N372" s="208">
        <v>60660</v>
      </c>
    </row>
    <row r="373" spans="1:14" ht="13.5" thickBot="1" x14ac:dyDescent="0.25">
      <c r="A373" s="48" t="s">
        <v>590</v>
      </c>
      <c r="B373" s="224" t="s">
        <v>589</v>
      </c>
      <c r="C373" s="48" t="s">
        <v>54</v>
      </c>
      <c r="D373" s="226">
        <v>59515</v>
      </c>
      <c r="E373" s="208">
        <v>0</v>
      </c>
      <c r="F373" s="208">
        <v>0</v>
      </c>
      <c r="G373" s="208">
        <v>0</v>
      </c>
      <c r="H373" s="208">
        <v>0</v>
      </c>
      <c r="I373" s="208">
        <v>0</v>
      </c>
      <c r="J373" s="208">
        <v>0</v>
      </c>
      <c r="K373" s="208">
        <v>2271</v>
      </c>
      <c r="L373" s="208">
        <v>0</v>
      </c>
      <c r="M373" s="208">
        <v>0</v>
      </c>
      <c r="N373" s="208">
        <v>2271</v>
      </c>
    </row>
    <row r="374" spans="1:14" ht="13.5" thickBot="1" x14ac:dyDescent="0.25">
      <c r="A374" s="48" t="s">
        <v>594</v>
      </c>
      <c r="B374" s="224" t="s">
        <v>593</v>
      </c>
      <c r="C374" s="48" t="s">
        <v>54</v>
      </c>
      <c r="D374" s="226">
        <v>52170</v>
      </c>
      <c r="E374" s="208">
        <v>0</v>
      </c>
      <c r="F374" s="208">
        <v>0</v>
      </c>
      <c r="G374" s="208">
        <v>0</v>
      </c>
      <c r="H374" s="208">
        <v>0</v>
      </c>
      <c r="I374" s="208">
        <v>0</v>
      </c>
      <c r="J374" s="208">
        <v>173583</v>
      </c>
      <c r="K374" s="208">
        <v>13583</v>
      </c>
      <c r="L374" s="208">
        <v>12740</v>
      </c>
      <c r="M374" s="208">
        <v>0</v>
      </c>
      <c r="N374" s="208">
        <v>199906</v>
      </c>
    </row>
    <row r="375" spans="1:14" ht="13.5" thickBot="1" x14ac:dyDescent="0.25">
      <c r="A375" s="48" t="s">
        <v>604</v>
      </c>
      <c r="B375" s="224" t="s">
        <v>603</v>
      </c>
      <c r="C375" s="48" t="s">
        <v>54</v>
      </c>
      <c r="D375" s="226">
        <v>124690</v>
      </c>
      <c r="E375" s="208">
        <v>0</v>
      </c>
      <c r="F375" s="208">
        <v>0</v>
      </c>
      <c r="G375" s="208">
        <v>0</v>
      </c>
      <c r="H375" s="208">
        <v>21281</v>
      </c>
      <c r="I375" s="208">
        <v>21281</v>
      </c>
      <c r="J375" s="208">
        <v>0</v>
      </c>
      <c r="K375" s="208">
        <v>0</v>
      </c>
      <c r="L375" s="208">
        <v>2391909</v>
      </c>
      <c r="M375" s="208">
        <v>0</v>
      </c>
      <c r="N375" s="208">
        <v>2391909</v>
      </c>
    </row>
    <row r="376" spans="1:14" ht="13.5" thickBot="1" x14ac:dyDescent="0.25">
      <c r="A376" s="48" t="s">
        <v>638</v>
      </c>
      <c r="B376" s="224" t="s">
        <v>637</v>
      </c>
      <c r="C376" s="48" t="s">
        <v>54</v>
      </c>
      <c r="D376" s="226">
        <v>100485</v>
      </c>
      <c r="E376" s="208">
        <v>0</v>
      </c>
      <c r="F376" s="208">
        <v>0</v>
      </c>
      <c r="G376" s="208">
        <v>0</v>
      </c>
      <c r="H376" s="208">
        <v>0</v>
      </c>
      <c r="I376" s="208">
        <v>0</v>
      </c>
      <c r="J376" s="208">
        <v>0</v>
      </c>
      <c r="K376" s="208">
        <v>7035</v>
      </c>
      <c r="L376" s="208">
        <v>0</v>
      </c>
      <c r="M376" s="208">
        <v>0</v>
      </c>
      <c r="N376" s="208">
        <v>7035</v>
      </c>
    </row>
    <row r="377" spans="1:14" ht="13.5" thickBot="1" x14ac:dyDescent="0.25">
      <c r="A377" s="48" t="s">
        <v>648</v>
      </c>
      <c r="B377" s="224" t="s">
        <v>647</v>
      </c>
      <c r="C377" s="48" t="s">
        <v>54</v>
      </c>
      <c r="D377" s="226">
        <v>57236</v>
      </c>
      <c r="E377" s="208">
        <v>0</v>
      </c>
      <c r="F377" s="208">
        <v>0</v>
      </c>
      <c r="G377" s="208">
        <v>0</v>
      </c>
      <c r="H377" s="208">
        <v>0</v>
      </c>
      <c r="I377" s="208">
        <v>0</v>
      </c>
      <c r="J377" s="208">
        <v>68300</v>
      </c>
      <c r="K377" s="208">
        <v>0</v>
      </c>
      <c r="L377" s="208">
        <v>29680</v>
      </c>
      <c r="M377" s="203">
        <v>0</v>
      </c>
      <c r="N377" s="208">
        <v>97980</v>
      </c>
    </row>
    <row r="378" spans="1:14" ht="13.5" thickBot="1" x14ac:dyDescent="0.25">
      <c r="A378" s="48" t="s">
        <v>654</v>
      </c>
      <c r="B378" s="224" t="s">
        <v>653</v>
      </c>
      <c r="C378" s="48" t="s">
        <v>54</v>
      </c>
      <c r="D378" s="226">
        <v>160312</v>
      </c>
      <c r="E378" s="208">
        <v>23111</v>
      </c>
      <c r="F378" s="208">
        <v>527</v>
      </c>
      <c r="G378" s="208">
        <v>0</v>
      </c>
      <c r="H378" s="208">
        <v>0</v>
      </c>
      <c r="I378" s="208">
        <v>23638</v>
      </c>
      <c r="J378" s="208">
        <v>375057</v>
      </c>
      <c r="K378" s="208">
        <v>64123</v>
      </c>
      <c r="L378" s="208">
        <v>0</v>
      </c>
      <c r="M378" s="208">
        <v>30300</v>
      </c>
      <c r="N378" s="208">
        <v>469480</v>
      </c>
    </row>
    <row r="379" spans="1:14" ht="13.5" thickBot="1" x14ac:dyDescent="0.25">
      <c r="A379" s="48" t="s">
        <v>656</v>
      </c>
      <c r="B379" s="224" t="s">
        <v>655</v>
      </c>
      <c r="C379" s="48" t="s">
        <v>54</v>
      </c>
      <c r="D379" s="226">
        <v>59715</v>
      </c>
      <c r="E379" s="208">
        <v>0</v>
      </c>
      <c r="F379" s="208">
        <v>0</v>
      </c>
      <c r="G379" s="208">
        <v>0</v>
      </c>
      <c r="H379" s="208">
        <v>0</v>
      </c>
      <c r="I379" s="208">
        <v>0</v>
      </c>
      <c r="J379" s="208">
        <v>0</v>
      </c>
      <c r="K379" s="208">
        <v>0</v>
      </c>
      <c r="L379" s="208">
        <v>0</v>
      </c>
      <c r="M379" s="208">
        <v>0</v>
      </c>
      <c r="N379" s="208">
        <v>0</v>
      </c>
    </row>
    <row r="380" spans="1:14" ht="13.5" thickBot="1" x14ac:dyDescent="0.25">
      <c r="A380" s="48" t="s">
        <v>684</v>
      </c>
      <c r="B380" s="224" t="s">
        <v>683</v>
      </c>
      <c r="C380" s="48" t="s">
        <v>54</v>
      </c>
      <c r="D380" s="226">
        <v>73804</v>
      </c>
      <c r="E380" s="208">
        <v>0</v>
      </c>
      <c r="F380" s="208">
        <v>0</v>
      </c>
      <c r="G380" s="208">
        <v>0</v>
      </c>
      <c r="H380" s="208">
        <v>0</v>
      </c>
      <c r="I380" s="208">
        <v>0</v>
      </c>
      <c r="J380" s="208">
        <v>0</v>
      </c>
      <c r="K380" s="208">
        <v>15000</v>
      </c>
      <c r="L380" s="208">
        <v>676771</v>
      </c>
      <c r="M380" s="208">
        <v>0</v>
      </c>
      <c r="N380" s="208">
        <v>691771</v>
      </c>
    </row>
    <row r="381" spans="1:14" ht="13.5" thickBot="1" x14ac:dyDescent="0.25">
      <c r="A381" s="48" t="s">
        <v>696</v>
      </c>
      <c r="B381" s="224" t="s">
        <v>695</v>
      </c>
      <c r="C381" s="48" t="s">
        <v>54</v>
      </c>
      <c r="D381" s="226">
        <v>75814</v>
      </c>
      <c r="E381" s="208">
        <v>0</v>
      </c>
      <c r="F381" s="208">
        <v>0</v>
      </c>
      <c r="G381" s="208">
        <v>0</v>
      </c>
      <c r="H381" s="208">
        <v>0</v>
      </c>
      <c r="I381" s="208">
        <v>0</v>
      </c>
      <c r="J381" s="208">
        <v>0</v>
      </c>
      <c r="K381" s="208">
        <v>0</v>
      </c>
      <c r="L381" s="208">
        <v>159954</v>
      </c>
      <c r="M381" s="208">
        <v>2325233</v>
      </c>
      <c r="N381" s="208">
        <v>2485187</v>
      </c>
    </row>
    <row r="382" spans="1:14" ht="13.5" thickBot="1" x14ac:dyDescent="0.25">
      <c r="A382" s="48" t="s">
        <v>710</v>
      </c>
      <c r="B382" s="224" t="s">
        <v>709</v>
      </c>
      <c r="C382" s="48" t="s">
        <v>54</v>
      </c>
      <c r="D382" s="226">
        <v>129699</v>
      </c>
      <c r="E382" s="208">
        <v>0</v>
      </c>
      <c r="F382" s="208">
        <v>0</v>
      </c>
      <c r="G382" s="208">
        <v>91086</v>
      </c>
      <c r="H382" s="208">
        <v>0</v>
      </c>
      <c r="I382" s="208">
        <v>91086</v>
      </c>
      <c r="J382" s="208">
        <v>11891</v>
      </c>
      <c r="K382" s="208">
        <v>0</v>
      </c>
      <c r="L382" s="208">
        <v>79195</v>
      </c>
      <c r="M382" s="208">
        <v>0</v>
      </c>
      <c r="N382" s="208">
        <v>91086</v>
      </c>
    </row>
    <row r="383" spans="1:14" ht="13.5" thickBot="1" x14ac:dyDescent="0.25">
      <c r="A383" s="48" t="s">
        <v>726</v>
      </c>
      <c r="B383" s="224" t="s">
        <v>725</v>
      </c>
      <c r="C383" s="48" t="s">
        <v>54</v>
      </c>
      <c r="D383" s="226">
        <v>63131</v>
      </c>
      <c r="E383" s="208">
        <v>0</v>
      </c>
      <c r="F383" s="208">
        <v>0</v>
      </c>
      <c r="G383" s="208">
        <v>0</v>
      </c>
      <c r="H383" s="208">
        <v>0</v>
      </c>
      <c r="I383" s="208">
        <v>0</v>
      </c>
      <c r="J383" s="203">
        <v>0</v>
      </c>
      <c r="K383" s="203">
        <v>0</v>
      </c>
      <c r="L383" s="208">
        <v>403788</v>
      </c>
      <c r="M383" s="203">
        <v>0</v>
      </c>
      <c r="N383" s="208">
        <v>403788</v>
      </c>
    </row>
    <row r="384" spans="1:14" ht="13.5" thickBot="1" x14ac:dyDescent="0.25">
      <c r="A384" s="48" t="s">
        <v>752</v>
      </c>
      <c r="B384" s="224" t="s">
        <v>751</v>
      </c>
      <c r="C384" s="48" t="s">
        <v>54</v>
      </c>
      <c r="D384" s="226">
        <v>97396</v>
      </c>
      <c r="E384" s="208">
        <v>0</v>
      </c>
      <c r="F384" s="208">
        <v>0</v>
      </c>
      <c r="G384" s="208">
        <v>0</v>
      </c>
      <c r="H384" s="208">
        <v>0</v>
      </c>
      <c r="I384" s="208">
        <v>0</v>
      </c>
      <c r="J384" s="208">
        <v>132702</v>
      </c>
      <c r="K384" s="208">
        <v>20137</v>
      </c>
      <c r="L384" s="208">
        <v>525038</v>
      </c>
      <c r="M384" s="203">
        <v>0</v>
      </c>
      <c r="N384" s="208">
        <v>677877</v>
      </c>
    </row>
    <row r="385" spans="1:14" ht="13.5" thickBot="1" x14ac:dyDescent="0.25">
      <c r="A385" s="48" t="s">
        <v>754</v>
      </c>
      <c r="B385" s="224" t="s">
        <v>1614</v>
      </c>
      <c r="C385" s="48" t="s">
        <v>54</v>
      </c>
      <c r="D385" s="226">
        <v>72726</v>
      </c>
      <c r="E385" s="208">
        <v>0</v>
      </c>
      <c r="F385" s="208">
        <v>0</v>
      </c>
      <c r="G385" s="208">
        <v>0</v>
      </c>
      <c r="H385" s="208">
        <v>0</v>
      </c>
      <c r="I385" s="208">
        <v>0</v>
      </c>
      <c r="J385" s="208">
        <v>10577</v>
      </c>
      <c r="K385" s="208">
        <v>3970</v>
      </c>
      <c r="L385" s="203">
        <v>0</v>
      </c>
      <c r="M385" s="203">
        <v>0</v>
      </c>
      <c r="N385" s="208">
        <v>14547</v>
      </c>
    </row>
    <row r="386" spans="1:14" ht="13.5" thickBot="1" x14ac:dyDescent="0.25">
      <c r="A386" s="48" t="s">
        <v>756</v>
      </c>
      <c r="B386" s="224" t="s">
        <v>755</v>
      </c>
      <c r="C386" s="48" t="s">
        <v>54</v>
      </c>
      <c r="D386" s="226">
        <v>80980</v>
      </c>
      <c r="E386" s="208">
        <v>0</v>
      </c>
      <c r="F386" s="208">
        <v>0</v>
      </c>
      <c r="G386" s="208">
        <v>1814277</v>
      </c>
      <c r="H386" s="208">
        <v>0</v>
      </c>
      <c r="I386" s="208">
        <v>1814277</v>
      </c>
      <c r="J386" s="208">
        <v>0</v>
      </c>
      <c r="K386" s="208">
        <v>0</v>
      </c>
      <c r="L386" s="208">
        <v>35520</v>
      </c>
      <c r="M386" s="208">
        <v>1188612</v>
      </c>
      <c r="N386" s="208">
        <v>1224132</v>
      </c>
    </row>
    <row r="387" spans="1:14" ht="13.5" thickBot="1" x14ac:dyDescent="0.25">
      <c r="A387" s="48" t="s">
        <v>778</v>
      </c>
      <c r="B387" s="224" t="s">
        <v>777</v>
      </c>
      <c r="C387" s="48" t="s">
        <v>54</v>
      </c>
      <c r="D387" s="226">
        <v>134056</v>
      </c>
      <c r="E387" s="208">
        <v>0</v>
      </c>
      <c r="F387" s="208">
        <v>0</v>
      </c>
      <c r="G387" s="208">
        <v>0</v>
      </c>
      <c r="H387" s="208">
        <v>0</v>
      </c>
      <c r="I387" s="208">
        <v>0</v>
      </c>
      <c r="J387" s="208">
        <v>12310</v>
      </c>
      <c r="K387" s="208">
        <v>196556</v>
      </c>
      <c r="L387" s="208">
        <v>1777237</v>
      </c>
      <c r="M387" s="208">
        <v>11179</v>
      </c>
      <c r="N387" s="208">
        <v>1997282</v>
      </c>
    </row>
    <row r="388" spans="1:14" ht="13.5" thickBot="1" x14ac:dyDescent="0.25">
      <c r="A388" s="48" t="s">
        <v>780</v>
      </c>
      <c r="B388" s="224" t="s">
        <v>779</v>
      </c>
      <c r="C388" s="48" t="s">
        <v>54</v>
      </c>
      <c r="D388" s="226">
        <v>71997</v>
      </c>
      <c r="E388" s="208">
        <v>0</v>
      </c>
      <c r="F388" s="208">
        <v>0</v>
      </c>
      <c r="G388" s="208">
        <v>0</v>
      </c>
      <c r="H388" s="208">
        <v>0</v>
      </c>
      <c r="I388" s="208">
        <v>0</v>
      </c>
      <c r="J388" s="208">
        <v>21358</v>
      </c>
      <c r="K388" s="208">
        <v>5620</v>
      </c>
      <c r="L388" s="208">
        <v>44064</v>
      </c>
      <c r="M388" s="208">
        <v>1841</v>
      </c>
      <c r="N388" s="208">
        <v>72883</v>
      </c>
    </row>
    <row r="389" spans="1:14" ht="13.5" thickBot="1" x14ac:dyDescent="0.25">
      <c r="A389" s="48" t="s">
        <v>788</v>
      </c>
      <c r="B389" s="224" t="s">
        <v>787</v>
      </c>
      <c r="C389" s="48" t="s">
        <v>54</v>
      </c>
      <c r="D389" s="226">
        <v>71755</v>
      </c>
      <c r="E389" s="208">
        <v>0</v>
      </c>
      <c r="F389" s="208">
        <v>0</v>
      </c>
      <c r="G389" s="208">
        <v>0</v>
      </c>
      <c r="H389" s="208">
        <v>0</v>
      </c>
      <c r="I389" s="208">
        <v>0</v>
      </c>
      <c r="J389" s="208">
        <v>116530</v>
      </c>
      <c r="K389" s="208">
        <v>51642</v>
      </c>
      <c r="L389" s="208">
        <v>78478</v>
      </c>
      <c r="M389" s="203">
        <v>0</v>
      </c>
      <c r="N389" s="208">
        <v>246650</v>
      </c>
    </row>
    <row r="390" spans="1:14" ht="13.5" thickBot="1" x14ac:dyDescent="0.25">
      <c r="A390" s="48" t="s">
        <v>808</v>
      </c>
      <c r="B390" s="224" t="s">
        <v>807</v>
      </c>
      <c r="C390" s="48" t="s">
        <v>54</v>
      </c>
      <c r="D390" s="226">
        <v>89779</v>
      </c>
      <c r="E390" s="208">
        <v>0</v>
      </c>
      <c r="F390" s="208">
        <v>0</v>
      </c>
      <c r="G390" s="208">
        <v>0</v>
      </c>
      <c r="H390" s="208">
        <v>0</v>
      </c>
      <c r="I390" s="208">
        <v>0</v>
      </c>
      <c r="J390" s="208">
        <v>86279</v>
      </c>
      <c r="K390" s="208">
        <v>34077</v>
      </c>
      <c r="L390" s="208">
        <v>0</v>
      </c>
      <c r="M390" s="208">
        <v>0</v>
      </c>
      <c r="N390" s="208">
        <v>120356</v>
      </c>
    </row>
    <row r="391" spans="1:14" ht="13.5" thickBot="1" x14ac:dyDescent="0.25">
      <c r="A391" s="48" t="s">
        <v>810</v>
      </c>
      <c r="B391" s="224" t="s">
        <v>809</v>
      </c>
      <c r="C391" s="48" t="s">
        <v>54</v>
      </c>
      <c r="D391" s="226">
        <v>84094</v>
      </c>
      <c r="E391" s="208">
        <v>0</v>
      </c>
      <c r="F391" s="208">
        <v>0</v>
      </c>
      <c r="G391" s="208">
        <v>0</v>
      </c>
      <c r="H391" s="208">
        <v>0</v>
      </c>
      <c r="I391" s="208">
        <v>0</v>
      </c>
      <c r="J391" s="208">
        <v>0</v>
      </c>
      <c r="K391" s="208">
        <v>0</v>
      </c>
      <c r="L391" s="208">
        <v>0</v>
      </c>
      <c r="M391" s="208">
        <v>0</v>
      </c>
      <c r="N391" s="208">
        <v>0</v>
      </c>
    </row>
    <row r="392" spans="1:14" x14ac:dyDescent="0.2">
      <c r="A392" s="48" t="s">
        <v>816</v>
      </c>
      <c r="B392" s="231" t="s">
        <v>815</v>
      </c>
      <c r="C392" s="48" t="s">
        <v>54</v>
      </c>
      <c r="D392" s="226">
        <v>82974</v>
      </c>
      <c r="E392" s="208">
        <v>0</v>
      </c>
      <c r="F392" s="208">
        <v>42500</v>
      </c>
      <c r="G392" s="208">
        <v>0</v>
      </c>
      <c r="H392" s="208">
        <v>7103</v>
      </c>
      <c r="I392" s="208">
        <v>49603</v>
      </c>
      <c r="J392" s="208">
        <v>0</v>
      </c>
      <c r="K392" s="208">
        <v>7000</v>
      </c>
      <c r="L392" s="208">
        <v>9500</v>
      </c>
      <c r="M392" s="208">
        <v>0</v>
      </c>
      <c r="N392" s="208">
        <v>16500</v>
      </c>
    </row>
    <row r="393" spans="1:14" ht="13.5" thickBot="1" x14ac:dyDescent="0.25">
      <c r="A393" s="60"/>
    </row>
    <row r="394" spans="1:14" ht="18.75" thickBot="1" x14ac:dyDescent="0.3">
      <c r="B394" s="59" t="s">
        <v>1599</v>
      </c>
      <c r="C394" s="239">
        <f>SUBTOTAL(103,Table10[Library Class])</f>
        <v>389</v>
      </c>
      <c r="D394" s="245"/>
    </row>
    <row r="395" spans="1:14" ht="18.75" thickBot="1" x14ac:dyDescent="0.3">
      <c r="C395" s="240" t="s">
        <v>3047</v>
      </c>
      <c r="D395" s="234">
        <f>SUBTOTAL(109,Table10[Total Population Served])</f>
        <v>9842571</v>
      </c>
      <c r="E395" s="235">
        <f>SUBTOTAL(109,Table10[Federal Capital Income])</f>
        <v>289058</v>
      </c>
      <c r="F395" s="235">
        <f>SUBTOTAL(109,Table10[State Capital Income])</f>
        <v>198182</v>
      </c>
      <c r="G395" s="235">
        <f>SUBTOTAL(109,Table10[Local Capital Icome])</f>
        <v>15526263</v>
      </c>
      <c r="H395" s="235">
        <f>SUBTOTAL(109,Table10[Private Capital Income])</f>
        <v>6750331</v>
      </c>
      <c r="I395" s="235">
        <f>SUBTOTAL(109,Table10[Total Capital Income])</f>
        <v>22763834</v>
      </c>
      <c r="J395" s="235">
        <f>SUBTOTAL(109,Table10[Capital Expenditures for Electronic Access])</f>
        <v>4424254</v>
      </c>
      <c r="K395" s="235">
        <f>SUBTOTAL(109,Table10[Furnishings and Equipment Expenditures])</f>
        <v>6134784.8300000001</v>
      </c>
      <c r="L395" s="235">
        <f>SUBTOTAL(109,Table10[Building Expenditures])</f>
        <v>60801300.289999999</v>
      </c>
      <c r="M395" s="235">
        <f>SUBTOTAL(109,Table10[Other Capital Expenditures])</f>
        <v>14436802.16</v>
      </c>
      <c r="N395" s="241">
        <f>SUBTOTAL(109,Table10[Total Capital Expenditures])</f>
        <v>85797141.280000001</v>
      </c>
    </row>
    <row r="397" spans="1:14" ht="15" x14ac:dyDescent="0.25">
      <c r="A397" s="369" t="s">
        <v>3736</v>
      </c>
    </row>
  </sheetData>
  <hyperlinks>
    <hyperlink ref="G1" location="'Table of Contents'!A1" display="Return to Table of Contents" xr:uid="{C5110D56-8A37-4398-8514-82A6E5923724}"/>
  </hyperlinks>
  <pageMargins left="0.7" right="0.7" top="0.75" bottom="0.75" header="0.3" footer="0.3"/>
  <pageSetup orientation="portrait" horizontalDpi="200" verticalDpi="20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2CF28-B1F5-4E34-8956-1959A69C1F19}">
  <sheetPr>
    <tabColor rgb="FF8CC6D4"/>
  </sheetPr>
  <dimension ref="A1:K396"/>
  <sheetViews>
    <sheetView workbookViewId="0">
      <pane xSplit="2" ySplit="3" topLeftCell="C4" activePane="bottomRight" state="frozen"/>
      <selection pane="topRight" activeCell="C1" sqref="C1"/>
      <selection pane="bottomLeft" activeCell="A2" sqref="A2"/>
      <selection pane="bottomRight" activeCell="C1" sqref="C1"/>
    </sheetView>
  </sheetViews>
  <sheetFormatPr defaultRowHeight="12.75" x14ac:dyDescent="0.2"/>
  <cols>
    <col min="1" max="1" width="15.28515625" customWidth="1"/>
    <col min="2" max="2" width="71.5703125" bestFit="1" customWidth="1"/>
    <col min="3" max="3" width="33.140625" customWidth="1"/>
    <col min="4" max="4" width="25.140625" customWidth="1"/>
    <col min="5" max="6" width="15.28515625" customWidth="1"/>
    <col min="7" max="7" width="33.5703125" customWidth="1"/>
    <col min="8" max="8" width="10.42578125" customWidth="1"/>
    <col min="9" max="9" width="17" customWidth="1"/>
    <col min="10" max="10" width="31.140625" customWidth="1"/>
    <col min="11" max="11" width="13.28515625" style="49" customWidth="1"/>
  </cols>
  <sheetData>
    <row r="1" spans="1:11" ht="18.75" x14ac:dyDescent="0.3">
      <c r="A1" s="362" t="s">
        <v>3729</v>
      </c>
      <c r="B1" s="365"/>
      <c r="D1" s="364" t="s">
        <v>1595</v>
      </c>
      <c r="F1" s="360" t="s">
        <v>3727</v>
      </c>
    </row>
    <row r="3" spans="1:11" s="34" customFormat="1" ht="87" customHeight="1" thickBot="1" x14ac:dyDescent="0.25">
      <c r="A3" s="228" t="s">
        <v>1</v>
      </c>
      <c r="B3" s="228" t="s">
        <v>0</v>
      </c>
      <c r="C3" s="228" t="s">
        <v>4</v>
      </c>
      <c r="D3" s="228" t="s">
        <v>1602</v>
      </c>
      <c r="E3" s="228" t="s">
        <v>890</v>
      </c>
      <c r="F3" s="228" t="s">
        <v>894</v>
      </c>
      <c r="G3" s="228" t="s">
        <v>3048</v>
      </c>
      <c r="H3" s="228" t="s">
        <v>3049</v>
      </c>
      <c r="I3" s="228" t="s">
        <v>3050</v>
      </c>
      <c r="J3" s="228" t="s">
        <v>3051</v>
      </c>
      <c r="K3" s="228" t="s">
        <v>3052</v>
      </c>
    </row>
    <row r="4" spans="1:11" ht="13.5" thickBot="1" x14ac:dyDescent="0.25">
      <c r="A4" s="48" t="s">
        <v>33</v>
      </c>
      <c r="B4" s="224" t="s">
        <v>32</v>
      </c>
      <c r="C4" s="48" t="s">
        <v>34</v>
      </c>
      <c r="D4" s="226">
        <v>1285</v>
      </c>
      <c r="E4" s="48" t="s">
        <v>3158</v>
      </c>
      <c r="F4" s="48" t="s">
        <v>1969</v>
      </c>
      <c r="G4" s="48" t="s">
        <v>3059</v>
      </c>
      <c r="H4" s="48" t="s">
        <v>1648</v>
      </c>
      <c r="I4" s="48" t="s">
        <v>2545</v>
      </c>
      <c r="J4" s="247" t="s">
        <v>3159</v>
      </c>
      <c r="K4" s="247" t="s">
        <v>1648</v>
      </c>
    </row>
    <row r="5" spans="1:11" ht="13.5" thickBot="1" x14ac:dyDescent="0.25">
      <c r="A5" s="48" t="s">
        <v>58</v>
      </c>
      <c r="B5" s="224" t="s">
        <v>57</v>
      </c>
      <c r="C5" s="48" t="s">
        <v>34</v>
      </c>
      <c r="D5" s="226">
        <v>3248</v>
      </c>
      <c r="E5" s="48" t="s">
        <v>3401</v>
      </c>
      <c r="F5" s="48" t="s">
        <v>1984</v>
      </c>
      <c r="G5" s="48" t="s">
        <v>3058</v>
      </c>
      <c r="H5" s="48" t="s">
        <v>1649</v>
      </c>
      <c r="I5" s="48" t="s">
        <v>2009</v>
      </c>
      <c r="J5" s="247" t="s">
        <v>2009</v>
      </c>
      <c r="K5" s="247" t="s">
        <v>1648</v>
      </c>
    </row>
    <row r="6" spans="1:11" ht="13.5" thickBot="1" x14ac:dyDescent="0.25">
      <c r="A6" s="48" t="s">
        <v>80</v>
      </c>
      <c r="B6" s="224" t="s">
        <v>79</v>
      </c>
      <c r="C6" s="48" t="s">
        <v>34</v>
      </c>
      <c r="D6" s="226">
        <v>657</v>
      </c>
      <c r="E6" s="48" t="s">
        <v>3402</v>
      </c>
      <c r="F6" s="48" t="s">
        <v>2045</v>
      </c>
      <c r="G6" s="48" t="s">
        <v>3077</v>
      </c>
      <c r="H6" s="48" t="s">
        <v>1649</v>
      </c>
      <c r="I6" s="48" t="s">
        <v>2009</v>
      </c>
      <c r="J6" s="247" t="s">
        <v>2009</v>
      </c>
      <c r="K6" s="247" t="s">
        <v>2009</v>
      </c>
    </row>
    <row r="7" spans="1:11" ht="13.5" thickBot="1" x14ac:dyDescent="0.25">
      <c r="A7" s="48" t="s">
        <v>82</v>
      </c>
      <c r="B7" s="224" t="s">
        <v>81</v>
      </c>
      <c r="C7" s="48" t="s">
        <v>34</v>
      </c>
      <c r="D7" s="226">
        <v>3769</v>
      </c>
      <c r="E7" s="48" t="s">
        <v>3337</v>
      </c>
      <c r="F7" s="48" t="s">
        <v>1969</v>
      </c>
      <c r="G7" s="48" t="s">
        <v>3059</v>
      </c>
      <c r="H7" s="48" t="s">
        <v>1648</v>
      </c>
      <c r="I7" s="48" t="s">
        <v>2545</v>
      </c>
      <c r="J7" s="247" t="s">
        <v>3338</v>
      </c>
      <c r="K7" s="247" t="s">
        <v>1648</v>
      </c>
    </row>
    <row r="8" spans="1:11" ht="13.5" thickBot="1" x14ac:dyDescent="0.25">
      <c r="A8" s="48" t="s">
        <v>86</v>
      </c>
      <c r="B8" s="224" t="s">
        <v>85</v>
      </c>
      <c r="C8" s="48" t="s">
        <v>34</v>
      </c>
      <c r="D8" s="226">
        <v>3150</v>
      </c>
      <c r="E8" s="48" t="s">
        <v>2056</v>
      </c>
      <c r="F8" s="48" t="s">
        <v>2055</v>
      </c>
      <c r="G8" s="48" t="s">
        <v>3061</v>
      </c>
      <c r="H8" s="48" t="s">
        <v>1649</v>
      </c>
      <c r="I8" s="48" t="s">
        <v>2009</v>
      </c>
      <c r="J8" s="247" t="s">
        <v>2009</v>
      </c>
      <c r="K8" s="247" t="s">
        <v>2009</v>
      </c>
    </row>
    <row r="9" spans="1:11" ht="13.5" thickBot="1" x14ac:dyDescent="0.25">
      <c r="A9" s="48" t="s">
        <v>90</v>
      </c>
      <c r="B9" s="224" t="s">
        <v>89</v>
      </c>
      <c r="C9" s="48" t="s">
        <v>34</v>
      </c>
      <c r="D9" s="226">
        <v>3811</v>
      </c>
      <c r="E9" s="48" t="s">
        <v>3403</v>
      </c>
      <c r="F9" s="48" t="s">
        <v>2062</v>
      </c>
      <c r="G9" s="48" t="s">
        <v>3059</v>
      </c>
      <c r="H9" s="48" t="s">
        <v>1649</v>
      </c>
      <c r="I9" s="48" t="s">
        <v>2009</v>
      </c>
      <c r="J9" s="247" t="s">
        <v>2009</v>
      </c>
      <c r="K9" s="247" t="s">
        <v>2009</v>
      </c>
    </row>
    <row r="10" spans="1:11" ht="13.5" thickBot="1" x14ac:dyDescent="0.25">
      <c r="A10" s="48" t="s">
        <v>92</v>
      </c>
      <c r="B10" s="224" t="s">
        <v>91</v>
      </c>
      <c r="C10" s="48" t="s">
        <v>34</v>
      </c>
      <c r="D10" s="226">
        <v>3623</v>
      </c>
      <c r="E10" s="48" t="s">
        <v>2065</v>
      </c>
      <c r="F10" s="48" t="s">
        <v>2062</v>
      </c>
      <c r="G10" s="48" t="s">
        <v>3059</v>
      </c>
      <c r="H10" s="48" t="s">
        <v>1649</v>
      </c>
      <c r="I10" s="48" t="s">
        <v>2009</v>
      </c>
      <c r="J10" s="247" t="s">
        <v>2009</v>
      </c>
      <c r="K10" s="247" t="s">
        <v>1648</v>
      </c>
    </row>
    <row r="11" spans="1:11" ht="13.5" thickBot="1" x14ac:dyDescent="0.25">
      <c r="A11" s="48" t="s">
        <v>100</v>
      </c>
      <c r="B11" s="224" t="s">
        <v>99</v>
      </c>
      <c r="C11" s="48" t="s">
        <v>34</v>
      </c>
      <c r="D11" s="226">
        <v>2937</v>
      </c>
      <c r="E11" s="48" t="s">
        <v>3404</v>
      </c>
      <c r="F11" s="48" t="s">
        <v>2062</v>
      </c>
      <c r="G11" s="48" t="s">
        <v>3059</v>
      </c>
      <c r="H11" s="48" t="s">
        <v>1649</v>
      </c>
      <c r="I11" s="48" t="s">
        <v>2009</v>
      </c>
      <c r="J11" s="247" t="s">
        <v>2009</v>
      </c>
      <c r="K11" s="247" t="s">
        <v>2009</v>
      </c>
    </row>
    <row r="12" spans="1:11" ht="13.5" thickBot="1" x14ac:dyDescent="0.25">
      <c r="A12" s="48" t="s">
        <v>132</v>
      </c>
      <c r="B12" s="224" t="s">
        <v>131</v>
      </c>
      <c r="C12" s="48" t="s">
        <v>34</v>
      </c>
      <c r="D12" s="226">
        <v>2611</v>
      </c>
      <c r="E12" s="48" t="s">
        <v>2127</v>
      </c>
      <c r="F12" s="48" t="s">
        <v>2126</v>
      </c>
      <c r="G12" s="48" t="s">
        <v>3061</v>
      </c>
      <c r="H12" s="48" t="s">
        <v>1649</v>
      </c>
      <c r="I12" s="48" t="s">
        <v>2009</v>
      </c>
      <c r="J12" s="247" t="s">
        <v>2009</v>
      </c>
      <c r="K12" s="247" t="s">
        <v>1612</v>
      </c>
    </row>
    <row r="13" spans="1:11" ht="13.5" thickBot="1" x14ac:dyDescent="0.25">
      <c r="A13" s="48" t="s">
        <v>146</v>
      </c>
      <c r="B13" s="224" t="s">
        <v>145</v>
      </c>
      <c r="C13" s="48" t="s">
        <v>34</v>
      </c>
      <c r="D13" s="226">
        <v>722</v>
      </c>
      <c r="E13" s="48" t="s">
        <v>3343</v>
      </c>
      <c r="F13" s="48" t="s">
        <v>2145</v>
      </c>
      <c r="G13" s="48" t="s">
        <v>3053</v>
      </c>
      <c r="H13" s="48" t="s">
        <v>1648</v>
      </c>
      <c r="I13" s="48" t="s">
        <v>2545</v>
      </c>
      <c r="J13" s="247" t="s">
        <v>3344</v>
      </c>
      <c r="K13" s="247" t="s">
        <v>1649</v>
      </c>
    </row>
    <row r="14" spans="1:11" ht="13.5" thickBot="1" x14ac:dyDescent="0.25">
      <c r="A14" s="48" t="s">
        <v>156</v>
      </c>
      <c r="B14" s="224" t="s">
        <v>155</v>
      </c>
      <c r="C14" s="48" t="s">
        <v>34</v>
      </c>
      <c r="D14" s="226">
        <v>3995</v>
      </c>
      <c r="E14" s="48" t="s">
        <v>2160</v>
      </c>
      <c r="F14" s="48" t="s">
        <v>1969</v>
      </c>
      <c r="G14" s="48" t="s">
        <v>3059</v>
      </c>
      <c r="H14" s="48" t="s">
        <v>1648</v>
      </c>
      <c r="I14" s="48" t="s">
        <v>2545</v>
      </c>
      <c r="J14" s="247" t="s">
        <v>3366</v>
      </c>
      <c r="K14" s="247" t="s">
        <v>1648</v>
      </c>
    </row>
    <row r="15" spans="1:11" ht="13.5" thickBot="1" x14ac:dyDescent="0.25">
      <c r="A15" s="48" t="s">
        <v>164</v>
      </c>
      <c r="B15" s="224" t="s">
        <v>163</v>
      </c>
      <c r="C15" s="48" t="s">
        <v>34</v>
      </c>
      <c r="D15" s="226">
        <v>1854</v>
      </c>
      <c r="E15" s="48" t="s">
        <v>2175</v>
      </c>
      <c r="F15" s="48" t="s">
        <v>2105</v>
      </c>
      <c r="G15" s="48" t="s">
        <v>3059</v>
      </c>
      <c r="H15" s="48" t="s">
        <v>1649</v>
      </c>
      <c r="I15" s="48" t="s">
        <v>2009</v>
      </c>
      <c r="J15" s="247" t="s">
        <v>2009</v>
      </c>
      <c r="K15" s="247" t="s">
        <v>1648</v>
      </c>
    </row>
    <row r="16" spans="1:11" ht="13.5" thickBot="1" x14ac:dyDescent="0.25">
      <c r="A16" s="48" t="s">
        <v>176</v>
      </c>
      <c r="B16" s="224" t="s">
        <v>175</v>
      </c>
      <c r="C16" s="48" t="s">
        <v>34</v>
      </c>
      <c r="D16" s="226">
        <v>3604</v>
      </c>
      <c r="E16" s="48" t="s">
        <v>2037</v>
      </c>
      <c r="F16" s="48" t="s">
        <v>1947</v>
      </c>
      <c r="G16" s="48" t="s">
        <v>3061</v>
      </c>
      <c r="H16" s="48" t="s">
        <v>1648</v>
      </c>
      <c r="I16" s="48" t="s">
        <v>2545</v>
      </c>
      <c r="J16" s="247" t="s">
        <v>3166</v>
      </c>
      <c r="K16" s="247" t="s">
        <v>1648</v>
      </c>
    </row>
    <row r="17" spans="1:11" ht="13.5" thickBot="1" x14ac:dyDescent="0.25">
      <c r="A17" s="48" t="s">
        <v>184</v>
      </c>
      <c r="B17" s="224" t="s">
        <v>183</v>
      </c>
      <c r="C17" s="48" t="s">
        <v>34</v>
      </c>
      <c r="D17" s="226">
        <v>3803</v>
      </c>
      <c r="E17" s="48" t="s">
        <v>2203</v>
      </c>
      <c r="F17" s="48" t="s">
        <v>2126</v>
      </c>
      <c r="G17" s="48" t="s">
        <v>3061</v>
      </c>
      <c r="H17" s="48" t="s">
        <v>1649</v>
      </c>
      <c r="I17" s="48" t="s">
        <v>2009</v>
      </c>
      <c r="J17" s="247" t="s">
        <v>2009</v>
      </c>
      <c r="K17" s="247" t="s">
        <v>1648</v>
      </c>
    </row>
    <row r="18" spans="1:11" ht="13.5" thickBot="1" x14ac:dyDescent="0.25">
      <c r="A18" s="48" t="s">
        <v>186</v>
      </c>
      <c r="B18" s="224" t="s">
        <v>185</v>
      </c>
      <c r="C18" s="48" t="s">
        <v>34</v>
      </c>
      <c r="D18" s="226">
        <v>2373</v>
      </c>
      <c r="E18" s="48" t="s">
        <v>3405</v>
      </c>
      <c r="F18" s="48" t="s">
        <v>2122</v>
      </c>
      <c r="G18" s="48" t="s">
        <v>3058</v>
      </c>
      <c r="H18" s="48" t="s">
        <v>1649</v>
      </c>
      <c r="I18" s="48" t="s">
        <v>2009</v>
      </c>
      <c r="J18" s="247" t="s">
        <v>2009</v>
      </c>
      <c r="K18" s="247" t="s">
        <v>1648</v>
      </c>
    </row>
    <row r="19" spans="1:11" ht="13.5" thickBot="1" x14ac:dyDescent="0.25">
      <c r="A19" s="48" t="s">
        <v>202</v>
      </c>
      <c r="B19" s="224" t="s">
        <v>201</v>
      </c>
      <c r="C19" s="48" t="s">
        <v>34</v>
      </c>
      <c r="D19" s="226">
        <v>3953</v>
      </c>
      <c r="E19" s="48" t="s">
        <v>3322</v>
      </c>
      <c r="F19" s="48" t="s">
        <v>2045</v>
      </c>
      <c r="G19" s="48" t="s">
        <v>3077</v>
      </c>
      <c r="H19" s="48" t="s">
        <v>1648</v>
      </c>
      <c r="I19" s="48" t="s">
        <v>2545</v>
      </c>
      <c r="J19" s="247" t="s">
        <v>3323</v>
      </c>
      <c r="K19" s="247" t="s">
        <v>1612</v>
      </c>
    </row>
    <row r="20" spans="1:11" ht="13.5" thickBot="1" x14ac:dyDescent="0.25">
      <c r="A20" s="48" t="s">
        <v>204</v>
      </c>
      <c r="B20" s="224" t="s">
        <v>203</v>
      </c>
      <c r="C20" s="48" t="s">
        <v>34</v>
      </c>
      <c r="D20" s="226">
        <v>3228</v>
      </c>
      <c r="E20" s="48" t="s">
        <v>2237</v>
      </c>
      <c r="F20" s="48" t="s">
        <v>2237</v>
      </c>
      <c r="G20" s="48" t="s">
        <v>3074</v>
      </c>
      <c r="H20" s="48" t="s">
        <v>1648</v>
      </c>
      <c r="I20" s="48" t="s">
        <v>2545</v>
      </c>
      <c r="J20" s="246" t="s">
        <v>3075</v>
      </c>
      <c r="K20" s="247" t="s">
        <v>1612</v>
      </c>
    </row>
    <row r="21" spans="1:11" ht="13.5" thickBot="1" x14ac:dyDescent="0.25">
      <c r="A21" s="48" t="s">
        <v>206</v>
      </c>
      <c r="B21" s="224" t="s">
        <v>205</v>
      </c>
      <c r="C21" s="48" t="s">
        <v>34</v>
      </c>
      <c r="D21" s="226">
        <v>3453</v>
      </c>
      <c r="E21" s="48" t="s">
        <v>3250</v>
      </c>
      <c r="F21" s="48" t="s">
        <v>2241</v>
      </c>
      <c r="G21" s="48" t="s">
        <v>3053</v>
      </c>
      <c r="H21" s="48" t="s">
        <v>1648</v>
      </c>
      <c r="I21" s="48" t="s">
        <v>2545</v>
      </c>
      <c r="J21" s="247" t="s">
        <v>3251</v>
      </c>
      <c r="K21" s="247" t="s">
        <v>1612</v>
      </c>
    </row>
    <row r="22" spans="1:11" ht="13.5" thickBot="1" x14ac:dyDescent="0.25">
      <c r="A22" s="48" t="s">
        <v>208</v>
      </c>
      <c r="B22" s="224" t="s">
        <v>207</v>
      </c>
      <c r="C22" s="48" t="s">
        <v>34</v>
      </c>
      <c r="D22" s="226">
        <v>1236</v>
      </c>
      <c r="E22" s="48" t="s">
        <v>3406</v>
      </c>
      <c r="F22" s="48" t="s">
        <v>1964</v>
      </c>
      <c r="G22" s="48" t="s">
        <v>3053</v>
      </c>
      <c r="H22" s="48" t="s">
        <v>1649</v>
      </c>
      <c r="I22" s="48" t="s">
        <v>2009</v>
      </c>
      <c r="J22" s="247" t="s">
        <v>2009</v>
      </c>
      <c r="K22" s="247" t="s">
        <v>1612</v>
      </c>
    </row>
    <row r="23" spans="1:11" ht="13.5" thickBot="1" x14ac:dyDescent="0.25">
      <c r="A23" s="48" t="s">
        <v>210</v>
      </c>
      <c r="B23" s="224" t="s">
        <v>209</v>
      </c>
      <c r="C23" s="48" t="s">
        <v>34</v>
      </c>
      <c r="D23" s="226">
        <v>3179</v>
      </c>
      <c r="E23" s="48" t="s">
        <v>3407</v>
      </c>
      <c r="F23" s="48" t="s">
        <v>2062</v>
      </c>
      <c r="G23" s="48" t="s">
        <v>3059</v>
      </c>
      <c r="H23" s="48" t="s">
        <v>1649</v>
      </c>
      <c r="I23" s="48" t="s">
        <v>2009</v>
      </c>
      <c r="J23" s="247" t="s">
        <v>2009</v>
      </c>
      <c r="K23" s="247" t="s">
        <v>1648</v>
      </c>
    </row>
    <row r="24" spans="1:11" ht="13.5" thickBot="1" x14ac:dyDescent="0.25">
      <c r="A24" s="48" t="s">
        <v>256</v>
      </c>
      <c r="B24" s="224" t="s">
        <v>255</v>
      </c>
      <c r="C24" s="48" t="s">
        <v>34</v>
      </c>
      <c r="D24" s="226">
        <v>2769</v>
      </c>
      <c r="E24" s="48" t="s">
        <v>3408</v>
      </c>
      <c r="F24" s="48" t="s">
        <v>1953</v>
      </c>
      <c r="G24" s="48" t="s">
        <v>3058</v>
      </c>
      <c r="H24" s="48" t="s">
        <v>1649</v>
      </c>
      <c r="I24" s="48" t="s">
        <v>2009</v>
      </c>
      <c r="J24" s="247" t="s">
        <v>2009</v>
      </c>
      <c r="K24" s="247" t="s">
        <v>1648</v>
      </c>
    </row>
    <row r="25" spans="1:11" ht="13.5" thickBot="1" x14ac:dyDescent="0.25">
      <c r="A25" s="48" t="s">
        <v>258</v>
      </c>
      <c r="B25" s="224" t="s">
        <v>257</v>
      </c>
      <c r="C25" s="48" t="s">
        <v>34</v>
      </c>
      <c r="D25" s="226">
        <v>3738</v>
      </c>
      <c r="E25" s="48" t="s">
        <v>3299</v>
      </c>
      <c r="F25" s="48" t="s">
        <v>2037</v>
      </c>
      <c r="G25" s="48" t="s">
        <v>3058</v>
      </c>
      <c r="H25" s="48" t="s">
        <v>1648</v>
      </c>
      <c r="I25" s="48" t="s">
        <v>2545</v>
      </c>
      <c r="J25" s="247" t="s">
        <v>3300</v>
      </c>
      <c r="K25" s="247" t="s">
        <v>1648</v>
      </c>
    </row>
    <row r="26" spans="1:11" ht="13.5" thickBot="1" x14ac:dyDescent="0.25">
      <c r="A26" s="48" t="s">
        <v>264</v>
      </c>
      <c r="B26" s="224" t="s">
        <v>263</v>
      </c>
      <c r="C26" s="48" t="s">
        <v>34</v>
      </c>
      <c r="D26" s="226">
        <v>3112</v>
      </c>
      <c r="E26" s="48" t="s">
        <v>2320</v>
      </c>
      <c r="F26" s="48" t="s">
        <v>2122</v>
      </c>
      <c r="G26" s="48" t="s">
        <v>3058</v>
      </c>
      <c r="H26" s="48" t="s">
        <v>1649</v>
      </c>
      <c r="I26" s="48" t="s">
        <v>2009</v>
      </c>
      <c r="J26" s="247" t="s">
        <v>2009</v>
      </c>
      <c r="K26" s="247" t="s">
        <v>2009</v>
      </c>
    </row>
    <row r="27" spans="1:11" ht="13.5" thickBot="1" x14ac:dyDescent="0.25">
      <c r="A27" s="48" t="s">
        <v>272</v>
      </c>
      <c r="B27" s="224" t="s">
        <v>271</v>
      </c>
      <c r="C27" s="48" t="s">
        <v>34</v>
      </c>
      <c r="D27" s="226">
        <v>2791</v>
      </c>
      <c r="E27" s="48" t="s">
        <v>2335</v>
      </c>
      <c r="F27" s="48" t="s">
        <v>2334</v>
      </c>
      <c r="G27" s="48" t="s">
        <v>3077</v>
      </c>
      <c r="H27" s="48" t="s">
        <v>1649</v>
      </c>
      <c r="I27" s="48" t="s">
        <v>2009</v>
      </c>
      <c r="J27" s="247" t="s">
        <v>2009</v>
      </c>
      <c r="K27" s="247" t="s">
        <v>2009</v>
      </c>
    </row>
    <row r="28" spans="1:11" ht="13.5" thickBot="1" x14ac:dyDescent="0.25">
      <c r="A28" s="48" t="s">
        <v>286</v>
      </c>
      <c r="B28" s="224" t="s">
        <v>285</v>
      </c>
      <c r="C28" s="48" t="s">
        <v>34</v>
      </c>
      <c r="D28" s="226">
        <v>3150</v>
      </c>
      <c r="E28" s="48" t="s">
        <v>3354</v>
      </c>
      <c r="F28" s="48" t="s">
        <v>1940</v>
      </c>
      <c r="G28" s="48" t="s">
        <v>3098</v>
      </c>
      <c r="H28" s="48" t="s">
        <v>1648</v>
      </c>
      <c r="I28" s="48" t="s">
        <v>2545</v>
      </c>
      <c r="J28" s="247" t="s">
        <v>3355</v>
      </c>
      <c r="K28" s="247" t="s">
        <v>2009</v>
      </c>
    </row>
    <row r="29" spans="1:11" ht="13.5" thickBot="1" x14ac:dyDescent="0.25">
      <c r="A29" s="48" t="s">
        <v>298</v>
      </c>
      <c r="B29" s="224" t="s">
        <v>297</v>
      </c>
      <c r="C29" s="48" t="s">
        <v>34</v>
      </c>
      <c r="D29" s="226">
        <v>3043</v>
      </c>
      <c r="E29" s="48" t="s">
        <v>2373</v>
      </c>
      <c r="F29" s="48" t="s">
        <v>2057</v>
      </c>
      <c r="G29" s="48" t="s">
        <v>3072</v>
      </c>
      <c r="H29" s="48" t="s">
        <v>1649</v>
      </c>
      <c r="I29" s="48" t="s">
        <v>2009</v>
      </c>
      <c r="J29" s="247" t="s">
        <v>2009</v>
      </c>
      <c r="K29" s="247" t="s">
        <v>1648</v>
      </c>
    </row>
    <row r="30" spans="1:11" ht="13.5" thickBot="1" x14ac:dyDescent="0.25">
      <c r="A30" s="48" t="s">
        <v>306</v>
      </c>
      <c r="B30" s="224" t="s">
        <v>305</v>
      </c>
      <c r="C30" s="48" t="s">
        <v>34</v>
      </c>
      <c r="D30" s="226">
        <v>2047</v>
      </c>
      <c r="E30" s="48" t="s">
        <v>2386</v>
      </c>
      <c r="F30" s="48" t="s">
        <v>2264</v>
      </c>
      <c r="G30" s="48" t="s">
        <v>3061</v>
      </c>
      <c r="H30" s="48" t="s">
        <v>1649</v>
      </c>
      <c r="I30" s="48" t="s">
        <v>2009</v>
      </c>
      <c r="J30" s="247" t="s">
        <v>2009</v>
      </c>
      <c r="K30" s="247" t="s">
        <v>1612</v>
      </c>
    </row>
    <row r="31" spans="1:11" ht="13.5" thickBot="1" x14ac:dyDescent="0.25">
      <c r="A31" s="48" t="s">
        <v>314</v>
      </c>
      <c r="B31" s="224" t="s">
        <v>313</v>
      </c>
      <c r="C31" s="48" t="s">
        <v>34</v>
      </c>
      <c r="D31" s="226">
        <v>3650</v>
      </c>
      <c r="E31" s="48" t="s">
        <v>2394</v>
      </c>
      <c r="F31" s="48" t="s">
        <v>2393</v>
      </c>
      <c r="G31" s="48" t="s">
        <v>3059</v>
      </c>
      <c r="H31" s="48" t="s">
        <v>1648</v>
      </c>
      <c r="I31" s="48" t="s">
        <v>3056</v>
      </c>
      <c r="J31" s="246">
        <v>10</v>
      </c>
      <c r="K31" s="247" t="s">
        <v>1612</v>
      </c>
    </row>
    <row r="32" spans="1:11" ht="13.5" thickBot="1" x14ac:dyDescent="0.25">
      <c r="A32" s="48" t="s">
        <v>316</v>
      </c>
      <c r="B32" s="224" t="s">
        <v>315</v>
      </c>
      <c r="C32" s="48" t="s">
        <v>34</v>
      </c>
      <c r="D32" s="226">
        <v>1828</v>
      </c>
      <c r="E32" s="48" t="s">
        <v>3054</v>
      </c>
      <c r="F32" s="48" t="s">
        <v>1992</v>
      </c>
      <c r="G32" s="48" t="s">
        <v>3055</v>
      </c>
      <c r="H32" s="48" t="s">
        <v>1648</v>
      </c>
      <c r="I32" s="48" t="s">
        <v>3056</v>
      </c>
      <c r="J32" s="246">
        <v>5</v>
      </c>
      <c r="K32" s="247" t="s">
        <v>1612</v>
      </c>
    </row>
    <row r="33" spans="1:11" ht="13.5" thickBot="1" x14ac:dyDescent="0.25">
      <c r="A33" s="48" t="s">
        <v>364</v>
      </c>
      <c r="B33" s="224" t="s">
        <v>363</v>
      </c>
      <c r="C33" s="48" t="s">
        <v>34</v>
      </c>
      <c r="D33" s="226">
        <v>3926</v>
      </c>
      <c r="E33" s="48" t="s">
        <v>2475</v>
      </c>
      <c r="F33" s="48" t="s">
        <v>1960</v>
      </c>
      <c r="G33" s="48" t="s">
        <v>3061</v>
      </c>
      <c r="H33" s="48" t="s">
        <v>1649</v>
      </c>
      <c r="I33" s="48" t="s">
        <v>2009</v>
      </c>
      <c r="J33" s="247" t="s">
        <v>2009</v>
      </c>
      <c r="K33" s="247" t="s">
        <v>1648</v>
      </c>
    </row>
    <row r="34" spans="1:11" ht="13.5" thickBot="1" x14ac:dyDescent="0.25">
      <c r="A34" s="48" t="s">
        <v>380</v>
      </c>
      <c r="B34" s="224" t="s">
        <v>379</v>
      </c>
      <c r="C34" s="48" t="s">
        <v>34</v>
      </c>
      <c r="D34" s="226">
        <v>3038</v>
      </c>
      <c r="E34" s="48" t="s">
        <v>3076</v>
      </c>
      <c r="F34" s="48" t="s">
        <v>2178</v>
      </c>
      <c r="G34" s="48" t="s">
        <v>3077</v>
      </c>
      <c r="H34" s="48" t="s">
        <v>1648</v>
      </c>
      <c r="I34" s="48" t="s">
        <v>2545</v>
      </c>
      <c r="J34" s="246" t="s">
        <v>3078</v>
      </c>
      <c r="K34" s="247" t="s">
        <v>1612</v>
      </c>
    </row>
    <row r="35" spans="1:11" ht="13.5" thickBot="1" x14ac:dyDescent="0.25">
      <c r="A35" s="48" t="s">
        <v>412</v>
      </c>
      <c r="B35" s="224" t="s">
        <v>411</v>
      </c>
      <c r="C35" s="48" t="s">
        <v>34</v>
      </c>
      <c r="D35" s="226">
        <v>3730</v>
      </c>
      <c r="E35" s="48" t="s">
        <v>3409</v>
      </c>
      <c r="F35" s="48" t="s">
        <v>2131</v>
      </c>
      <c r="G35" s="48" t="s">
        <v>3053</v>
      </c>
      <c r="H35" s="48" t="s">
        <v>1649</v>
      </c>
      <c r="I35" s="48" t="s">
        <v>2009</v>
      </c>
      <c r="J35" s="247" t="s">
        <v>2009</v>
      </c>
      <c r="K35" s="247" t="s">
        <v>1612</v>
      </c>
    </row>
    <row r="36" spans="1:11" ht="13.5" thickBot="1" x14ac:dyDescent="0.25">
      <c r="A36" s="48" t="s">
        <v>419</v>
      </c>
      <c r="B36" s="224" t="s">
        <v>418</v>
      </c>
      <c r="C36" s="48" t="s">
        <v>34</v>
      </c>
      <c r="D36" s="226">
        <v>2735</v>
      </c>
      <c r="E36" s="48" t="s">
        <v>2528</v>
      </c>
      <c r="F36" s="48" t="s">
        <v>2022</v>
      </c>
      <c r="G36" s="48" t="s">
        <v>3072</v>
      </c>
      <c r="H36" s="48" t="s">
        <v>1648</v>
      </c>
      <c r="I36" s="48" t="s">
        <v>2545</v>
      </c>
      <c r="J36" s="247" t="s">
        <v>3367</v>
      </c>
      <c r="K36" s="247" t="s">
        <v>1648</v>
      </c>
    </row>
    <row r="37" spans="1:11" ht="13.5" thickBot="1" x14ac:dyDescent="0.25">
      <c r="A37" s="48" t="s">
        <v>421</v>
      </c>
      <c r="B37" s="224" t="s">
        <v>420</v>
      </c>
      <c r="C37" s="48" t="s">
        <v>34</v>
      </c>
      <c r="D37" s="226">
        <v>1900</v>
      </c>
      <c r="E37" s="48" t="s">
        <v>3410</v>
      </c>
      <c r="F37" s="48" t="s">
        <v>2446</v>
      </c>
      <c r="G37" s="48" t="s">
        <v>3072</v>
      </c>
      <c r="H37" s="48" t="s">
        <v>1649</v>
      </c>
      <c r="I37" s="48" t="s">
        <v>2009</v>
      </c>
      <c r="J37" s="247" t="s">
        <v>2009</v>
      </c>
      <c r="K37" s="247" t="s">
        <v>1612</v>
      </c>
    </row>
    <row r="38" spans="1:11" ht="13.5" thickBot="1" x14ac:dyDescent="0.25">
      <c r="A38" s="48" t="s">
        <v>425</v>
      </c>
      <c r="B38" s="224" t="s">
        <v>424</v>
      </c>
      <c r="C38" s="48" t="s">
        <v>34</v>
      </c>
      <c r="D38" s="226">
        <v>2027</v>
      </c>
      <c r="E38" s="48" t="s">
        <v>3411</v>
      </c>
      <c r="F38" s="48" t="s">
        <v>2393</v>
      </c>
      <c r="G38" s="48" t="s">
        <v>3059</v>
      </c>
      <c r="H38" s="48" t="s">
        <v>1649</v>
      </c>
      <c r="I38" s="48" t="s">
        <v>2009</v>
      </c>
      <c r="J38" s="247" t="s">
        <v>2009</v>
      </c>
      <c r="K38" s="247" t="s">
        <v>1612</v>
      </c>
    </row>
    <row r="39" spans="1:11" ht="13.5" thickBot="1" x14ac:dyDescent="0.25">
      <c r="A39" s="48" t="s">
        <v>435</v>
      </c>
      <c r="B39" s="224" t="s">
        <v>434</v>
      </c>
      <c r="C39" s="48" t="s">
        <v>34</v>
      </c>
      <c r="D39" s="226">
        <v>2835</v>
      </c>
      <c r="E39" s="48" t="s">
        <v>2543</v>
      </c>
      <c r="F39" s="48" t="s">
        <v>2316</v>
      </c>
      <c r="G39" s="48" t="s">
        <v>3059</v>
      </c>
      <c r="H39" s="48" t="s">
        <v>1649</v>
      </c>
      <c r="I39" s="48" t="s">
        <v>2009</v>
      </c>
      <c r="J39" s="247" t="s">
        <v>2009</v>
      </c>
      <c r="K39" s="247" t="s">
        <v>1648</v>
      </c>
    </row>
    <row r="40" spans="1:11" ht="13.5" thickBot="1" x14ac:dyDescent="0.25">
      <c r="A40" s="48" t="s">
        <v>441</v>
      </c>
      <c r="B40" s="224" t="s">
        <v>440</v>
      </c>
      <c r="C40" s="48" t="s">
        <v>34</v>
      </c>
      <c r="D40" s="226">
        <v>2372</v>
      </c>
      <c r="E40" s="48" t="s">
        <v>2550</v>
      </c>
      <c r="F40" s="48" t="s">
        <v>2134</v>
      </c>
      <c r="G40" s="48" t="s">
        <v>3061</v>
      </c>
      <c r="H40" s="48" t="s">
        <v>1649</v>
      </c>
      <c r="I40" s="48" t="s">
        <v>2009</v>
      </c>
      <c r="J40" s="247" t="s">
        <v>2009</v>
      </c>
      <c r="K40" s="247" t="s">
        <v>1649</v>
      </c>
    </row>
    <row r="41" spans="1:11" ht="13.5" thickBot="1" x14ac:dyDescent="0.25">
      <c r="A41" s="48" t="s">
        <v>454</v>
      </c>
      <c r="B41" s="224" t="s">
        <v>453</v>
      </c>
      <c r="C41" s="48" t="s">
        <v>34</v>
      </c>
      <c r="D41" s="226">
        <v>3667</v>
      </c>
      <c r="E41" s="48" t="s">
        <v>2565</v>
      </c>
      <c r="F41" s="48" t="s">
        <v>2002</v>
      </c>
      <c r="G41" s="48" t="s">
        <v>3061</v>
      </c>
      <c r="H41" s="48" t="s">
        <v>1649</v>
      </c>
      <c r="I41" s="48" t="s">
        <v>2009</v>
      </c>
      <c r="J41" s="247" t="s">
        <v>2009</v>
      </c>
      <c r="K41" s="247" t="s">
        <v>1648</v>
      </c>
    </row>
    <row r="42" spans="1:11" ht="13.5" thickBot="1" x14ac:dyDescent="0.25">
      <c r="A42" s="48" t="s">
        <v>460</v>
      </c>
      <c r="B42" s="224" t="s">
        <v>459</v>
      </c>
      <c r="C42" s="48" t="s">
        <v>34</v>
      </c>
      <c r="D42" s="226">
        <v>492</v>
      </c>
      <c r="E42" s="48" t="s">
        <v>3060</v>
      </c>
      <c r="F42" s="48" t="s">
        <v>2571</v>
      </c>
      <c r="G42" s="48" t="s">
        <v>3053</v>
      </c>
      <c r="H42" s="48" t="s">
        <v>1648</v>
      </c>
      <c r="I42" s="48" t="s">
        <v>2545</v>
      </c>
      <c r="J42" s="246">
        <v>10</v>
      </c>
      <c r="K42" s="247" t="s">
        <v>1612</v>
      </c>
    </row>
    <row r="43" spans="1:11" ht="13.5" thickBot="1" x14ac:dyDescent="0.25">
      <c r="A43" s="48" t="s">
        <v>476</v>
      </c>
      <c r="B43" s="224" t="s">
        <v>475</v>
      </c>
      <c r="C43" s="48" t="s">
        <v>34</v>
      </c>
      <c r="D43" s="226">
        <v>3115</v>
      </c>
      <c r="E43" s="48" t="s">
        <v>3412</v>
      </c>
      <c r="F43" s="48" t="s">
        <v>2037</v>
      </c>
      <c r="G43" s="48" t="s">
        <v>3058</v>
      </c>
      <c r="H43" s="48" t="s">
        <v>1649</v>
      </c>
      <c r="I43" s="48" t="s">
        <v>2009</v>
      </c>
      <c r="J43" s="247" t="s">
        <v>2009</v>
      </c>
      <c r="K43" s="247" t="s">
        <v>1648</v>
      </c>
    </row>
    <row r="44" spans="1:11" ht="13.5" thickBot="1" x14ac:dyDescent="0.25">
      <c r="A44" s="48" t="s">
        <v>498</v>
      </c>
      <c r="B44" s="224" t="s">
        <v>497</v>
      </c>
      <c r="C44" s="48" t="s">
        <v>34</v>
      </c>
      <c r="D44" s="226">
        <v>3433</v>
      </c>
      <c r="E44" s="48" t="s">
        <v>3413</v>
      </c>
      <c r="F44" s="48" t="s">
        <v>2101</v>
      </c>
      <c r="G44" s="48" t="s">
        <v>3058</v>
      </c>
      <c r="H44" s="48" t="s">
        <v>1649</v>
      </c>
      <c r="I44" s="48" t="s">
        <v>2009</v>
      </c>
      <c r="J44" s="247" t="s">
        <v>2009</v>
      </c>
      <c r="K44" s="247" t="s">
        <v>1648</v>
      </c>
    </row>
    <row r="45" spans="1:11" ht="13.5" thickBot="1" x14ac:dyDescent="0.25">
      <c r="A45" s="48" t="s">
        <v>518</v>
      </c>
      <c r="B45" s="224" t="s">
        <v>517</v>
      </c>
      <c r="C45" s="48" t="s">
        <v>34</v>
      </c>
      <c r="D45" s="226">
        <v>1848</v>
      </c>
      <c r="E45" s="48" t="s">
        <v>3414</v>
      </c>
      <c r="F45" s="48" t="s">
        <v>2055</v>
      </c>
      <c r="G45" s="48" t="s">
        <v>3061</v>
      </c>
      <c r="H45" s="48" t="s">
        <v>1649</v>
      </c>
      <c r="I45" s="48" t="s">
        <v>2009</v>
      </c>
      <c r="J45" s="247" t="s">
        <v>2009</v>
      </c>
      <c r="K45" s="247" t="s">
        <v>1612</v>
      </c>
    </row>
    <row r="46" spans="1:11" ht="13.5" thickBot="1" x14ac:dyDescent="0.25">
      <c r="A46" s="48" t="s">
        <v>534</v>
      </c>
      <c r="B46" s="224" t="s">
        <v>533</v>
      </c>
      <c r="C46" s="48" t="s">
        <v>34</v>
      </c>
      <c r="D46" s="226">
        <v>3645</v>
      </c>
      <c r="E46" s="48" t="s">
        <v>2658</v>
      </c>
      <c r="F46" s="48" t="s">
        <v>1992</v>
      </c>
      <c r="G46" s="48" t="s">
        <v>3055</v>
      </c>
      <c r="H46" s="48" t="s">
        <v>1648</v>
      </c>
      <c r="I46" s="48" t="s">
        <v>2545</v>
      </c>
      <c r="J46" s="247" t="s">
        <v>3287</v>
      </c>
      <c r="K46" s="247" t="s">
        <v>1612</v>
      </c>
    </row>
    <row r="47" spans="1:11" ht="13.5" thickBot="1" x14ac:dyDescent="0.25">
      <c r="A47" s="48" t="s">
        <v>548</v>
      </c>
      <c r="B47" s="224" t="s">
        <v>547</v>
      </c>
      <c r="C47" s="48" t="s">
        <v>34</v>
      </c>
      <c r="D47" s="226">
        <v>3679</v>
      </c>
      <c r="E47" s="48" t="s">
        <v>2145</v>
      </c>
      <c r="F47" s="48" t="s">
        <v>2145</v>
      </c>
      <c r="G47" s="48" t="s">
        <v>3053</v>
      </c>
      <c r="H47" s="48" t="s">
        <v>1648</v>
      </c>
      <c r="I47" s="48" t="s">
        <v>2545</v>
      </c>
      <c r="J47" s="247" t="s">
        <v>3165</v>
      </c>
      <c r="K47" s="247" t="s">
        <v>1648</v>
      </c>
    </row>
    <row r="48" spans="1:11" ht="13.5" thickBot="1" x14ac:dyDescent="0.25">
      <c r="A48" s="48" t="s">
        <v>552</v>
      </c>
      <c r="B48" s="224" t="s">
        <v>551</v>
      </c>
      <c r="C48" s="48" t="s">
        <v>34</v>
      </c>
      <c r="D48" s="226">
        <v>1830</v>
      </c>
      <c r="E48" s="48" t="s">
        <v>3415</v>
      </c>
      <c r="F48" s="48" t="s">
        <v>2131</v>
      </c>
      <c r="G48" s="48" t="s">
        <v>3053</v>
      </c>
      <c r="H48" s="48" t="s">
        <v>1649</v>
      </c>
      <c r="I48" s="48" t="s">
        <v>2009</v>
      </c>
      <c r="J48" s="247" t="s">
        <v>2009</v>
      </c>
      <c r="K48" s="247" t="s">
        <v>1612</v>
      </c>
    </row>
    <row r="49" spans="1:11" ht="13.5" thickBot="1" x14ac:dyDescent="0.25">
      <c r="A49" s="48" t="s">
        <v>574</v>
      </c>
      <c r="B49" s="224" t="s">
        <v>573</v>
      </c>
      <c r="C49" s="48" t="s">
        <v>34</v>
      </c>
      <c r="D49" s="226">
        <v>1939</v>
      </c>
      <c r="E49" s="48" t="s">
        <v>2705</v>
      </c>
      <c r="F49" s="48" t="s">
        <v>2442</v>
      </c>
      <c r="G49" s="48" t="s">
        <v>3059</v>
      </c>
      <c r="H49" s="48" t="s">
        <v>1648</v>
      </c>
      <c r="I49" s="48" t="s">
        <v>2545</v>
      </c>
      <c r="J49" s="247" t="s">
        <v>3164</v>
      </c>
      <c r="K49" s="247" t="s">
        <v>1648</v>
      </c>
    </row>
    <row r="50" spans="1:11" ht="13.5" thickBot="1" x14ac:dyDescent="0.25">
      <c r="A50" s="48" t="s">
        <v>612</v>
      </c>
      <c r="B50" s="224" t="s">
        <v>611</v>
      </c>
      <c r="C50" s="48" t="s">
        <v>34</v>
      </c>
      <c r="D50" s="226">
        <v>3739</v>
      </c>
      <c r="E50" s="48" t="s">
        <v>2764</v>
      </c>
      <c r="F50" s="48" t="s">
        <v>2010</v>
      </c>
      <c r="G50" s="48" t="s">
        <v>3144</v>
      </c>
      <c r="H50" s="48" t="s">
        <v>1648</v>
      </c>
      <c r="I50" s="48" t="s">
        <v>2545</v>
      </c>
      <c r="J50" s="246" t="s">
        <v>3145</v>
      </c>
      <c r="K50" s="247" t="s">
        <v>2009</v>
      </c>
    </row>
    <row r="51" spans="1:11" ht="13.5" thickBot="1" x14ac:dyDescent="0.25">
      <c r="A51" s="48" t="s">
        <v>622</v>
      </c>
      <c r="B51" s="224" t="s">
        <v>621</v>
      </c>
      <c r="C51" s="48" t="s">
        <v>34</v>
      </c>
      <c r="D51" s="226">
        <v>1508</v>
      </c>
      <c r="E51" s="48" t="s">
        <v>2774</v>
      </c>
      <c r="F51" s="48" t="s">
        <v>2349</v>
      </c>
      <c r="G51" s="48" t="s">
        <v>3053</v>
      </c>
      <c r="H51" s="48" t="s">
        <v>1649</v>
      </c>
      <c r="I51" s="48" t="s">
        <v>2009</v>
      </c>
      <c r="J51" s="247" t="s">
        <v>2009</v>
      </c>
      <c r="K51" s="247" t="s">
        <v>1612</v>
      </c>
    </row>
    <row r="52" spans="1:11" ht="13.5" thickBot="1" x14ac:dyDescent="0.25">
      <c r="A52" s="48" t="s">
        <v>624</v>
      </c>
      <c r="B52" s="224" t="s">
        <v>623</v>
      </c>
      <c r="C52" s="48" t="s">
        <v>34</v>
      </c>
      <c r="D52" s="226">
        <v>3731</v>
      </c>
      <c r="E52" s="48" t="s">
        <v>3416</v>
      </c>
      <c r="F52" s="48" t="s">
        <v>2478</v>
      </c>
      <c r="G52" s="48" t="s">
        <v>3059</v>
      </c>
      <c r="H52" s="48" t="s">
        <v>1649</v>
      </c>
      <c r="I52" s="48" t="s">
        <v>2009</v>
      </c>
      <c r="J52" s="247" t="s">
        <v>2009</v>
      </c>
      <c r="K52" s="247" t="s">
        <v>1612</v>
      </c>
    </row>
    <row r="53" spans="1:11" ht="13.5" thickBot="1" x14ac:dyDescent="0.25">
      <c r="A53" s="48" t="s">
        <v>628</v>
      </c>
      <c r="B53" s="224" t="s">
        <v>627</v>
      </c>
      <c r="C53" s="48" t="s">
        <v>34</v>
      </c>
      <c r="D53" s="226">
        <v>3674</v>
      </c>
      <c r="E53" s="48" t="s">
        <v>3417</v>
      </c>
      <c r="F53" s="48" t="s">
        <v>2148</v>
      </c>
      <c r="G53" s="48" t="s">
        <v>3059</v>
      </c>
      <c r="H53" s="48" t="s">
        <v>1649</v>
      </c>
      <c r="I53" s="48" t="s">
        <v>2009</v>
      </c>
      <c r="J53" s="247" t="s">
        <v>2009</v>
      </c>
      <c r="K53" s="247" t="s">
        <v>1648</v>
      </c>
    </row>
    <row r="54" spans="1:11" ht="13.5" thickBot="1" x14ac:dyDescent="0.25">
      <c r="A54" s="48" t="s">
        <v>630</v>
      </c>
      <c r="B54" s="224" t="s">
        <v>629</v>
      </c>
      <c r="C54" s="48" t="s">
        <v>34</v>
      </c>
      <c r="D54" s="226">
        <v>882</v>
      </c>
      <c r="E54" s="48" t="s">
        <v>3418</v>
      </c>
      <c r="F54" s="48" t="s">
        <v>2349</v>
      </c>
      <c r="G54" s="48" t="s">
        <v>3053</v>
      </c>
      <c r="H54" s="48" t="s">
        <v>1649</v>
      </c>
      <c r="I54" s="48" t="s">
        <v>2009</v>
      </c>
      <c r="J54" s="247" t="s">
        <v>2009</v>
      </c>
      <c r="K54" s="247" t="s">
        <v>1649</v>
      </c>
    </row>
    <row r="55" spans="1:11" ht="13.5" thickBot="1" x14ac:dyDescent="0.25">
      <c r="A55" s="48" t="s">
        <v>674</v>
      </c>
      <c r="B55" s="224" t="s">
        <v>673</v>
      </c>
      <c r="C55" s="48" t="s">
        <v>34</v>
      </c>
      <c r="D55" s="226">
        <v>3775</v>
      </c>
      <c r="E55" s="48" t="s">
        <v>2583</v>
      </c>
      <c r="F55" s="48" t="s">
        <v>2022</v>
      </c>
      <c r="G55" s="48" t="s">
        <v>3061</v>
      </c>
      <c r="H55" s="48" t="s">
        <v>1648</v>
      </c>
      <c r="I55" s="48" t="s">
        <v>2545</v>
      </c>
      <c r="J55" s="247" t="s">
        <v>3300</v>
      </c>
      <c r="K55" s="247" t="s">
        <v>1648</v>
      </c>
    </row>
    <row r="56" spans="1:11" ht="13.5" thickBot="1" x14ac:dyDescent="0.25">
      <c r="A56" s="48" t="s">
        <v>680</v>
      </c>
      <c r="B56" s="224" t="s">
        <v>679</v>
      </c>
      <c r="C56" s="48" t="s">
        <v>34</v>
      </c>
      <c r="D56" s="226">
        <v>3138</v>
      </c>
      <c r="E56" s="48" t="s">
        <v>3419</v>
      </c>
      <c r="F56" s="48" t="s">
        <v>1984</v>
      </c>
      <c r="G56" s="48" t="s">
        <v>3059</v>
      </c>
      <c r="H56" s="48" t="s">
        <v>1649</v>
      </c>
      <c r="I56" s="48" t="s">
        <v>2009</v>
      </c>
      <c r="J56" s="247" t="s">
        <v>2009</v>
      </c>
      <c r="K56" s="247" t="s">
        <v>1648</v>
      </c>
    </row>
    <row r="57" spans="1:11" ht="13.5" thickBot="1" x14ac:dyDescent="0.25">
      <c r="A57" s="48" t="s">
        <v>690</v>
      </c>
      <c r="B57" s="224" t="s">
        <v>689</v>
      </c>
      <c r="C57" s="48" t="s">
        <v>34</v>
      </c>
      <c r="D57" s="226">
        <v>3428</v>
      </c>
      <c r="E57" s="48" t="s">
        <v>3358</v>
      </c>
      <c r="F57" s="48" t="s">
        <v>2028</v>
      </c>
      <c r="G57" s="48" t="s">
        <v>3058</v>
      </c>
      <c r="H57" s="48" t="s">
        <v>1648</v>
      </c>
      <c r="I57" s="48" t="s">
        <v>2545</v>
      </c>
      <c r="J57" s="247" t="s">
        <v>3359</v>
      </c>
      <c r="K57" s="247" t="s">
        <v>1648</v>
      </c>
    </row>
    <row r="58" spans="1:11" ht="13.5" thickBot="1" x14ac:dyDescent="0.25">
      <c r="A58" s="48" t="s">
        <v>692</v>
      </c>
      <c r="B58" s="224" t="s">
        <v>691</v>
      </c>
      <c r="C58" s="48" t="s">
        <v>34</v>
      </c>
      <c r="D58" s="226">
        <v>1932</v>
      </c>
      <c r="E58" s="48" t="s">
        <v>3420</v>
      </c>
      <c r="F58" s="48" t="s">
        <v>2057</v>
      </c>
      <c r="G58" s="48" t="s">
        <v>3072</v>
      </c>
      <c r="H58" s="48" t="s">
        <v>1649</v>
      </c>
      <c r="I58" s="48" t="s">
        <v>2009</v>
      </c>
      <c r="J58" s="247" t="s">
        <v>2009</v>
      </c>
      <c r="K58" s="247" t="s">
        <v>1649</v>
      </c>
    </row>
    <row r="59" spans="1:11" ht="13.5" thickBot="1" x14ac:dyDescent="0.25">
      <c r="A59" s="48" t="s">
        <v>714</v>
      </c>
      <c r="B59" s="224" t="s">
        <v>713</v>
      </c>
      <c r="C59" s="48" t="s">
        <v>34</v>
      </c>
      <c r="D59" s="226">
        <v>2387</v>
      </c>
      <c r="E59" s="48" t="s">
        <v>2882</v>
      </c>
      <c r="F59" s="48" t="s">
        <v>2055</v>
      </c>
      <c r="G59" s="48" t="s">
        <v>3061</v>
      </c>
      <c r="H59" s="48" t="s">
        <v>1649</v>
      </c>
      <c r="I59" s="48" t="s">
        <v>2009</v>
      </c>
      <c r="J59" s="247" t="s">
        <v>2009</v>
      </c>
      <c r="K59" s="247" t="s">
        <v>1612</v>
      </c>
    </row>
    <row r="60" spans="1:11" ht="13.5" thickBot="1" x14ac:dyDescent="0.25">
      <c r="A60" s="48" t="s">
        <v>732</v>
      </c>
      <c r="B60" s="224" t="s">
        <v>731</v>
      </c>
      <c r="C60" s="48" t="s">
        <v>34</v>
      </c>
      <c r="D60" s="226">
        <v>1873</v>
      </c>
      <c r="E60" s="48" t="s">
        <v>2900</v>
      </c>
      <c r="F60" s="48" t="s">
        <v>1960</v>
      </c>
      <c r="G60" s="48" t="s">
        <v>3061</v>
      </c>
      <c r="H60" s="48" t="s">
        <v>1648</v>
      </c>
      <c r="I60" s="48" t="s">
        <v>2545</v>
      </c>
      <c r="J60" s="246" t="s">
        <v>3071</v>
      </c>
      <c r="K60" s="247" t="s">
        <v>1648</v>
      </c>
    </row>
    <row r="61" spans="1:11" ht="13.5" thickBot="1" x14ac:dyDescent="0.25">
      <c r="A61" s="48" t="s">
        <v>750</v>
      </c>
      <c r="B61" s="224" t="s">
        <v>749</v>
      </c>
      <c r="C61" s="48" t="s">
        <v>34</v>
      </c>
      <c r="D61" s="226">
        <v>2294</v>
      </c>
      <c r="E61" s="48" t="s">
        <v>3421</v>
      </c>
      <c r="F61" s="48" t="s">
        <v>2178</v>
      </c>
      <c r="G61" s="48" t="s">
        <v>3077</v>
      </c>
      <c r="H61" s="48" t="s">
        <v>1649</v>
      </c>
      <c r="I61" s="48" t="s">
        <v>2009</v>
      </c>
      <c r="J61" s="247" t="s">
        <v>2009</v>
      </c>
      <c r="K61" s="247" t="s">
        <v>2009</v>
      </c>
    </row>
    <row r="62" spans="1:11" ht="13.5" thickBot="1" x14ac:dyDescent="0.25">
      <c r="A62" s="48" t="s">
        <v>762</v>
      </c>
      <c r="B62" s="224" t="s">
        <v>761</v>
      </c>
      <c r="C62" s="48" t="s">
        <v>34</v>
      </c>
      <c r="D62" s="226">
        <v>3895</v>
      </c>
      <c r="E62" s="48" t="s">
        <v>2936</v>
      </c>
      <c r="F62" s="48" t="s">
        <v>2055</v>
      </c>
      <c r="G62" s="48" t="s">
        <v>3061</v>
      </c>
      <c r="H62" s="48" t="s">
        <v>1649</v>
      </c>
      <c r="I62" s="48" t="s">
        <v>2009</v>
      </c>
      <c r="J62" s="247" t="s">
        <v>2009</v>
      </c>
      <c r="K62" s="247" t="s">
        <v>1648</v>
      </c>
    </row>
    <row r="63" spans="1:11" ht="13.5" thickBot="1" x14ac:dyDescent="0.25">
      <c r="A63" s="48" t="s">
        <v>768</v>
      </c>
      <c r="B63" s="224" t="s">
        <v>767</v>
      </c>
      <c r="C63" s="48" t="s">
        <v>34</v>
      </c>
      <c r="D63" s="226">
        <v>2156</v>
      </c>
      <c r="E63" s="48" t="s">
        <v>3086</v>
      </c>
      <c r="F63" s="48" t="s">
        <v>2072</v>
      </c>
      <c r="G63" s="48" t="s">
        <v>3053</v>
      </c>
      <c r="H63" s="48" t="s">
        <v>1648</v>
      </c>
      <c r="I63" s="48" t="s">
        <v>2545</v>
      </c>
      <c r="J63" s="246" t="s">
        <v>3087</v>
      </c>
      <c r="K63" s="247" t="s">
        <v>1648</v>
      </c>
    </row>
    <row r="64" spans="1:11" ht="13.5" thickBot="1" x14ac:dyDescent="0.25">
      <c r="A64" s="48" t="s">
        <v>770</v>
      </c>
      <c r="B64" s="224" t="s">
        <v>769</v>
      </c>
      <c r="C64" s="48" t="s">
        <v>34</v>
      </c>
      <c r="D64" s="226">
        <v>2475</v>
      </c>
      <c r="E64" s="48" t="s">
        <v>3422</v>
      </c>
      <c r="F64" s="48" t="s">
        <v>2134</v>
      </c>
      <c r="G64" s="48" t="s">
        <v>3061</v>
      </c>
      <c r="H64" s="48" t="s">
        <v>1649</v>
      </c>
      <c r="I64" s="48" t="s">
        <v>2009</v>
      </c>
      <c r="J64" s="247" t="s">
        <v>2009</v>
      </c>
      <c r="K64" s="247" t="s">
        <v>1648</v>
      </c>
    </row>
    <row r="65" spans="1:11" ht="13.5" thickBot="1" x14ac:dyDescent="0.25">
      <c r="A65" s="48" t="s">
        <v>772</v>
      </c>
      <c r="B65" s="224" t="s">
        <v>771</v>
      </c>
      <c r="C65" s="48" t="s">
        <v>34</v>
      </c>
      <c r="D65" s="226">
        <v>1968</v>
      </c>
      <c r="E65" s="48" t="s">
        <v>3423</v>
      </c>
      <c r="F65" s="48" t="s">
        <v>2442</v>
      </c>
      <c r="G65" s="48" t="s">
        <v>3059</v>
      </c>
      <c r="H65" s="48" t="s">
        <v>1649</v>
      </c>
      <c r="I65" s="48" t="s">
        <v>2009</v>
      </c>
      <c r="J65" s="247" t="s">
        <v>2009</v>
      </c>
      <c r="K65" s="247" t="s">
        <v>2009</v>
      </c>
    </row>
    <row r="66" spans="1:11" ht="13.5" thickBot="1" x14ac:dyDescent="0.25">
      <c r="A66" s="48" t="s">
        <v>782</v>
      </c>
      <c r="B66" s="224" t="s">
        <v>781</v>
      </c>
      <c r="C66" s="48" t="s">
        <v>34</v>
      </c>
      <c r="D66" s="226">
        <v>2202</v>
      </c>
      <c r="E66" s="48" t="s">
        <v>3424</v>
      </c>
      <c r="F66" s="48" t="s">
        <v>2122</v>
      </c>
      <c r="G66" s="48" t="s">
        <v>3058</v>
      </c>
      <c r="H66" s="48" t="s">
        <v>1649</v>
      </c>
      <c r="I66" s="48" t="s">
        <v>2009</v>
      </c>
      <c r="J66" s="247" t="s">
        <v>2009</v>
      </c>
      <c r="K66" s="247" t="s">
        <v>1612</v>
      </c>
    </row>
    <row r="67" spans="1:11" ht="13.5" thickBot="1" x14ac:dyDescent="0.25">
      <c r="A67" s="48" t="s">
        <v>794</v>
      </c>
      <c r="B67" s="224" t="s">
        <v>793</v>
      </c>
      <c r="C67" s="48" t="s">
        <v>34</v>
      </c>
      <c r="D67" s="226">
        <v>2913</v>
      </c>
      <c r="E67" s="48" t="s">
        <v>3425</v>
      </c>
      <c r="F67" s="48" t="s">
        <v>2034</v>
      </c>
      <c r="G67" s="48" t="s">
        <v>3059</v>
      </c>
      <c r="H67" s="48" t="s">
        <v>1649</v>
      </c>
      <c r="I67" s="48" t="s">
        <v>2009</v>
      </c>
      <c r="J67" s="247" t="s">
        <v>2009</v>
      </c>
      <c r="K67" s="247" t="s">
        <v>1648</v>
      </c>
    </row>
    <row r="68" spans="1:11" ht="13.5" thickBot="1" x14ac:dyDescent="0.25">
      <c r="A68" s="48" t="s">
        <v>806</v>
      </c>
      <c r="B68" s="224" t="s">
        <v>805</v>
      </c>
      <c r="C68" s="48" t="s">
        <v>34</v>
      </c>
      <c r="D68" s="226">
        <v>575</v>
      </c>
      <c r="E68" s="48" t="s">
        <v>3057</v>
      </c>
      <c r="F68" s="48" t="s">
        <v>2266</v>
      </c>
      <c r="G68" s="48" t="s">
        <v>3053</v>
      </c>
      <c r="H68" s="48" t="s">
        <v>1648</v>
      </c>
      <c r="I68" s="48" t="s">
        <v>3056</v>
      </c>
      <c r="J68" s="246">
        <v>5</v>
      </c>
      <c r="K68" s="247" t="s">
        <v>1612</v>
      </c>
    </row>
    <row r="69" spans="1:11" ht="13.5" thickBot="1" x14ac:dyDescent="0.25">
      <c r="A69" s="48" t="s">
        <v>814</v>
      </c>
      <c r="B69" s="224" t="s">
        <v>813</v>
      </c>
      <c r="C69" s="48" t="s">
        <v>34</v>
      </c>
      <c r="D69" s="226">
        <v>2738</v>
      </c>
      <c r="E69" s="48" t="s">
        <v>3426</v>
      </c>
      <c r="F69" s="48" t="s">
        <v>2178</v>
      </c>
      <c r="G69" s="48" t="s">
        <v>3077</v>
      </c>
      <c r="H69" s="48" t="s">
        <v>1649</v>
      </c>
      <c r="I69" s="48" t="s">
        <v>2009</v>
      </c>
      <c r="J69" s="247" t="s">
        <v>2009</v>
      </c>
      <c r="K69" s="247" t="s">
        <v>2009</v>
      </c>
    </row>
    <row r="70" spans="1:11" ht="13.5" thickBot="1" x14ac:dyDescent="0.25">
      <c r="A70" s="48" t="s">
        <v>14</v>
      </c>
      <c r="B70" s="224" t="s">
        <v>13</v>
      </c>
      <c r="C70" s="48" t="s">
        <v>17</v>
      </c>
      <c r="D70" s="226">
        <v>6351</v>
      </c>
      <c r="E70" s="48" t="s">
        <v>3427</v>
      </c>
      <c r="F70" s="48" t="s">
        <v>1940</v>
      </c>
      <c r="G70" s="48" t="s">
        <v>3098</v>
      </c>
      <c r="H70" s="48" t="s">
        <v>1649</v>
      </c>
      <c r="I70" s="48" t="s">
        <v>2009</v>
      </c>
      <c r="J70" s="247" t="s">
        <v>2009</v>
      </c>
      <c r="K70" s="247" t="s">
        <v>1649</v>
      </c>
    </row>
    <row r="71" spans="1:11" ht="13.5" thickBot="1" x14ac:dyDescent="0.25">
      <c r="A71" s="48" t="s">
        <v>45</v>
      </c>
      <c r="B71" s="224" t="s">
        <v>44</v>
      </c>
      <c r="C71" s="48" t="s">
        <v>17</v>
      </c>
      <c r="D71" s="226">
        <v>6583</v>
      </c>
      <c r="E71" s="48" t="s">
        <v>1993</v>
      </c>
      <c r="F71" s="48" t="s">
        <v>1992</v>
      </c>
      <c r="G71" s="48" t="s">
        <v>3055</v>
      </c>
      <c r="H71" s="48" t="s">
        <v>1649</v>
      </c>
      <c r="I71" s="48" t="s">
        <v>2009</v>
      </c>
      <c r="J71" s="247" t="s">
        <v>2009</v>
      </c>
      <c r="K71" s="247" t="s">
        <v>1612</v>
      </c>
    </row>
    <row r="72" spans="1:11" ht="13.5" thickBot="1" x14ac:dyDescent="0.25">
      <c r="A72" s="48" t="s">
        <v>56</v>
      </c>
      <c r="B72" s="224" t="s">
        <v>55</v>
      </c>
      <c r="C72" s="48" t="s">
        <v>17</v>
      </c>
      <c r="D72" s="226">
        <v>5379</v>
      </c>
      <c r="E72" s="48" t="s">
        <v>2011</v>
      </c>
      <c r="F72" s="48" t="s">
        <v>2010</v>
      </c>
      <c r="G72" s="48" t="s">
        <v>3144</v>
      </c>
      <c r="H72" s="48" t="s">
        <v>1648</v>
      </c>
      <c r="I72" s="48" t="s">
        <v>2545</v>
      </c>
      <c r="J72" s="247" t="s">
        <v>3220</v>
      </c>
      <c r="K72" s="247" t="s">
        <v>1649</v>
      </c>
    </row>
    <row r="73" spans="1:11" ht="13.5" thickBot="1" x14ac:dyDescent="0.25">
      <c r="A73" s="48" t="s">
        <v>60</v>
      </c>
      <c r="B73" s="224" t="s">
        <v>59</v>
      </c>
      <c r="C73" s="48" t="s">
        <v>17</v>
      </c>
      <c r="D73" s="226">
        <v>4265</v>
      </c>
      <c r="E73" s="48" t="s">
        <v>2017</v>
      </c>
      <c r="F73" s="48" t="s">
        <v>1960</v>
      </c>
      <c r="G73" s="48" t="s">
        <v>3061</v>
      </c>
      <c r="H73" s="48" t="s">
        <v>1648</v>
      </c>
      <c r="I73" s="48" t="s">
        <v>3056</v>
      </c>
      <c r="J73" s="247" t="s">
        <v>3209</v>
      </c>
      <c r="K73" s="247" t="s">
        <v>1648</v>
      </c>
    </row>
    <row r="74" spans="1:11" ht="13.5" thickBot="1" x14ac:dyDescent="0.25">
      <c r="A74" s="48" t="s">
        <v>70</v>
      </c>
      <c r="B74" s="224" t="s">
        <v>69</v>
      </c>
      <c r="C74" s="48" t="s">
        <v>17</v>
      </c>
      <c r="D74" s="226">
        <v>6621</v>
      </c>
      <c r="E74" s="48" t="s">
        <v>3276</v>
      </c>
      <c r="F74" s="48" t="s">
        <v>2028</v>
      </c>
      <c r="G74" s="48" t="s">
        <v>3058</v>
      </c>
      <c r="H74" s="48" t="s">
        <v>1648</v>
      </c>
      <c r="I74" s="48" t="s">
        <v>2545</v>
      </c>
      <c r="J74" s="247" t="s">
        <v>3277</v>
      </c>
      <c r="K74" s="247" t="s">
        <v>1612</v>
      </c>
    </row>
    <row r="75" spans="1:11" ht="13.5" thickBot="1" x14ac:dyDescent="0.25">
      <c r="A75" s="48" t="s">
        <v>74</v>
      </c>
      <c r="B75" s="224" t="s">
        <v>73</v>
      </c>
      <c r="C75" s="48" t="s">
        <v>17</v>
      </c>
      <c r="D75" s="226">
        <v>4075</v>
      </c>
      <c r="E75" s="48" t="s">
        <v>3428</v>
      </c>
      <c r="F75" s="48" t="s">
        <v>2034</v>
      </c>
      <c r="G75" s="48" t="s">
        <v>3059</v>
      </c>
      <c r="H75" s="48" t="s">
        <v>1649</v>
      </c>
      <c r="I75" s="48" t="s">
        <v>2009</v>
      </c>
      <c r="J75" s="247" t="s">
        <v>2009</v>
      </c>
      <c r="K75" s="247" t="s">
        <v>1648</v>
      </c>
    </row>
    <row r="76" spans="1:11" ht="13.5" thickBot="1" x14ac:dyDescent="0.25">
      <c r="A76" s="48" t="s">
        <v>98</v>
      </c>
      <c r="B76" s="224" t="s">
        <v>97</v>
      </c>
      <c r="C76" s="48" t="s">
        <v>17</v>
      </c>
      <c r="D76" s="226">
        <v>5414</v>
      </c>
      <c r="E76" s="48" t="s">
        <v>3214</v>
      </c>
      <c r="F76" s="48" t="s">
        <v>2072</v>
      </c>
      <c r="G76" s="48" t="s">
        <v>3053</v>
      </c>
      <c r="H76" s="48" t="s">
        <v>1648</v>
      </c>
      <c r="I76" s="48" t="s">
        <v>2545</v>
      </c>
      <c r="J76" s="247" t="s">
        <v>3215</v>
      </c>
      <c r="K76" s="247" t="s">
        <v>1648</v>
      </c>
    </row>
    <row r="77" spans="1:11" ht="13.5" thickBot="1" x14ac:dyDescent="0.25">
      <c r="A77" s="48" t="s">
        <v>120</v>
      </c>
      <c r="B77" s="224" t="s">
        <v>119</v>
      </c>
      <c r="C77" s="48" t="s">
        <v>17</v>
      </c>
      <c r="D77" s="226">
        <v>6296</v>
      </c>
      <c r="E77" s="48" t="s">
        <v>3212</v>
      </c>
      <c r="F77" s="48" t="s">
        <v>2057</v>
      </c>
      <c r="G77" s="48" t="s">
        <v>3072</v>
      </c>
      <c r="H77" s="48" t="s">
        <v>1648</v>
      </c>
      <c r="I77" s="48" t="s">
        <v>2545</v>
      </c>
      <c r="J77" s="247" t="s">
        <v>3213</v>
      </c>
      <c r="K77" s="247" t="s">
        <v>1648</v>
      </c>
    </row>
    <row r="78" spans="1:11" ht="13.5" thickBot="1" x14ac:dyDescent="0.25">
      <c r="A78" s="48" t="s">
        <v>126</v>
      </c>
      <c r="B78" s="224" t="s">
        <v>125</v>
      </c>
      <c r="C78" s="48" t="s">
        <v>17</v>
      </c>
      <c r="D78" s="226">
        <v>4005</v>
      </c>
      <c r="E78" s="48" t="s">
        <v>3429</v>
      </c>
      <c r="F78" s="48" t="s">
        <v>1953</v>
      </c>
      <c r="G78" s="48" t="s">
        <v>3058</v>
      </c>
      <c r="H78" s="48" t="s">
        <v>1649</v>
      </c>
      <c r="I78" s="48" t="s">
        <v>2009</v>
      </c>
      <c r="J78" s="247" t="s">
        <v>2009</v>
      </c>
      <c r="K78" s="247" t="s">
        <v>1648</v>
      </c>
    </row>
    <row r="79" spans="1:11" ht="13.5" thickBot="1" x14ac:dyDescent="0.25">
      <c r="A79" s="48" t="s">
        <v>138</v>
      </c>
      <c r="B79" s="224" t="s">
        <v>137</v>
      </c>
      <c r="C79" s="48" t="s">
        <v>17</v>
      </c>
      <c r="D79" s="226">
        <v>4191</v>
      </c>
      <c r="E79" s="48" t="s">
        <v>2135</v>
      </c>
      <c r="F79" s="48" t="s">
        <v>2134</v>
      </c>
      <c r="G79" s="48" t="s">
        <v>3061</v>
      </c>
      <c r="H79" s="48" t="s">
        <v>1648</v>
      </c>
      <c r="I79" s="48" t="s">
        <v>2545</v>
      </c>
      <c r="J79" s="246">
        <v>10</v>
      </c>
      <c r="K79" s="247" t="s">
        <v>1648</v>
      </c>
    </row>
    <row r="80" spans="1:11" ht="13.5" thickBot="1" x14ac:dyDescent="0.25">
      <c r="A80" s="48" t="s">
        <v>180</v>
      </c>
      <c r="B80" s="224" t="s">
        <v>179</v>
      </c>
      <c r="C80" s="48" t="s">
        <v>17</v>
      </c>
      <c r="D80" s="226">
        <v>4622</v>
      </c>
      <c r="E80" s="48" t="s">
        <v>3262</v>
      </c>
      <c r="F80" s="48" t="s">
        <v>2198</v>
      </c>
      <c r="G80" s="48" t="s">
        <v>3055</v>
      </c>
      <c r="H80" s="48" t="s">
        <v>1648</v>
      </c>
      <c r="I80" s="48" t="s">
        <v>2545</v>
      </c>
      <c r="J80" s="247" t="s">
        <v>3263</v>
      </c>
      <c r="K80" s="247" t="s">
        <v>1648</v>
      </c>
    </row>
    <row r="81" spans="1:11" ht="13.5" thickBot="1" x14ac:dyDescent="0.25">
      <c r="A81" s="48" t="s">
        <v>194</v>
      </c>
      <c r="B81" s="224" t="s">
        <v>193</v>
      </c>
      <c r="C81" s="48" t="s">
        <v>17</v>
      </c>
      <c r="D81" s="226">
        <v>4986</v>
      </c>
      <c r="E81" s="48" t="s">
        <v>2220</v>
      </c>
      <c r="F81" s="48" t="s">
        <v>2126</v>
      </c>
      <c r="G81" s="48" t="s">
        <v>3061</v>
      </c>
      <c r="H81" s="48" t="s">
        <v>1649</v>
      </c>
      <c r="I81" s="48" t="s">
        <v>2009</v>
      </c>
      <c r="J81" s="247" t="s">
        <v>2009</v>
      </c>
      <c r="K81" s="247" t="s">
        <v>1648</v>
      </c>
    </row>
    <row r="82" spans="1:11" ht="13.5" thickBot="1" x14ac:dyDescent="0.25">
      <c r="A82" s="48" t="s">
        <v>216</v>
      </c>
      <c r="B82" s="224" t="s">
        <v>215</v>
      </c>
      <c r="C82" s="48" t="s">
        <v>17</v>
      </c>
      <c r="D82" s="226">
        <v>4514</v>
      </c>
      <c r="E82" s="48" t="s">
        <v>3430</v>
      </c>
      <c r="F82" s="48" t="s">
        <v>1953</v>
      </c>
      <c r="G82" s="48" t="s">
        <v>3058</v>
      </c>
      <c r="H82" s="48" t="s">
        <v>1649</v>
      </c>
      <c r="I82" s="48" t="s">
        <v>2009</v>
      </c>
      <c r="J82" s="247" t="s">
        <v>2009</v>
      </c>
      <c r="K82" s="247" t="s">
        <v>1648</v>
      </c>
    </row>
    <row r="83" spans="1:11" ht="13.5" thickBot="1" x14ac:dyDescent="0.25">
      <c r="A83" s="48" t="s">
        <v>230</v>
      </c>
      <c r="B83" s="224" t="s">
        <v>229</v>
      </c>
      <c r="C83" s="48" t="s">
        <v>17</v>
      </c>
      <c r="D83" s="226">
        <v>6838</v>
      </c>
      <c r="E83" s="48" t="s">
        <v>3431</v>
      </c>
      <c r="F83" s="48" t="s">
        <v>2055</v>
      </c>
      <c r="G83" s="48" t="s">
        <v>3061</v>
      </c>
      <c r="H83" s="48" t="s">
        <v>1649</v>
      </c>
      <c r="I83" s="48" t="s">
        <v>2009</v>
      </c>
      <c r="J83" s="247" t="s">
        <v>2009</v>
      </c>
      <c r="K83" s="247" t="s">
        <v>1612</v>
      </c>
    </row>
    <row r="84" spans="1:11" ht="13.5" thickBot="1" x14ac:dyDescent="0.25">
      <c r="A84" s="48" t="s">
        <v>236</v>
      </c>
      <c r="B84" s="224" t="s">
        <v>235</v>
      </c>
      <c r="C84" s="48" t="s">
        <v>17</v>
      </c>
      <c r="D84" s="226">
        <v>4869</v>
      </c>
      <c r="E84" s="48" t="s">
        <v>3088</v>
      </c>
      <c r="F84" s="48" t="s">
        <v>2264</v>
      </c>
      <c r="G84" s="48" t="s">
        <v>3061</v>
      </c>
      <c r="H84" s="48" t="s">
        <v>1648</v>
      </c>
      <c r="I84" s="48" t="s">
        <v>2545</v>
      </c>
      <c r="J84" s="246" t="s">
        <v>3087</v>
      </c>
      <c r="K84" s="247" t="s">
        <v>2009</v>
      </c>
    </row>
    <row r="85" spans="1:11" ht="13.5" thickBot="1" x14ac:dyDescent="0.25">
      <c r="A85" s="48" t="s">
        <v>238</v>
      </c>
      <c r="B85" s="224" t="s">
        <v>237</v>
      </c>
      <c r="C85" s="48" t="s">
        <v>17</v>
      </c>
      <c r="D85" s="226">
        <v>4768</v>
      </c>
      <c r="E85" s="48" t="s">
        <v>2291</v>
      </c>
      <c r="F85" s="48" t="s">
        <v>1992</v>
      </c>
      <c r="G85" s="48" t="s">
        <v>3055</v>
      </c>
      <c r="H85" s="48" t="s">
        <v>1648</v>
      </c>
      <c r="I85" s="48" t="s">
        <v>3056</v>
      </c>
      <c r="J85" s="247" t="s">
        <v>3357</v>
      </c>
      <c r="K85" s="247" t="s">
        <v>1649</v>
      </c>
    </row>
    <row r="86" spans="1:11" ht="13.5" thickBot="1" x14ac:dyDescent="0.25">
      <c r="A86" s="48" t="s">
        <v>252</v>
      </c>
      <c r="B86" s="224" t="s">
        <v>251</v>
      </c>
      <c r="C86" s="48" t="s">
        <v>17</v>
      </c>
      <c r="D86" s="226">
        <v>5432</v>
      </c>
      <c r="E86" s="48" t="s">
        <v>2308</v>
      </c>
      <c r="F86" s="48" t="s">
        <v>1969</v>
      </c>
      <c r="G86" s="48" t="s">
        <v>3077</v>
      </c>
      <c r="H86" s="48" t="s">
        <v>1648</v>
      </c>
      <c r="I86" s="48" t="s">
        <v>2545</v>
      </c>
      <c r="J86" s="246" t="s">
        <v>3092</v>
      </c>
      <c r="K86" s="247" t="s">
        <v>1648</v>
      </c>
    </row>
    <row r="87" spans="1:11" ht="13.5" thickBot="1" x14ac:dyDescent="0.25">
      <c r="A87" s="48" t="s">
        <v>280</v>
      </c>
      <c r="B87" s="224" t="s">
        <v>279</v>
      </c>
      <c r="C87" s="48" t="s">
        <v>17</v>
      </c>
      <c r="D87" s="226">
        <v>6164</v>
      </c>
      <c r="E87" s="48" t="s">
        <v>3432</v>
      </c>
      <c r="F87" s="48" t="s">
        <v>2349</v>
      </c>
      <c r="G87" s="48" t="s">
        <v>3053</v>
      </c>
      <c r="H87" s="48" t="s">
        <v>1649</v>
      </c>
      <c r="I87" s="48" t="s">
        <v>2009</v>
      </c>
      <c r="J87" s="247" t="s">
        <v>2009</v>
      </c>
      <c r="K87" s="247" t="s">
        <v>1612</v>
      </c>
    </row>
    <row r="88" spans="1:11" ht="13.5" thickBot="1" x14ac:dyDescent="0.25">
      <c r="A88" s="48" t="s">
        <v>290</v>
      </c>
      <c r="B88" s="224" t="s">
        <v>289</v>
      </c>
      <c r="C88" s="48" t="s">
        <v>17</v>
      </c>
      <c r="D88" s="226">
        <v>5641</v>
      </c>
      <c r="E88" s="48" t="s">
        <v>3433</v>
      </c>
      <c r="F88" s="48" t="s">
        <v>2264</v>
      </c>
      <c r="G88" s="48" t="s">
        <v>3074</v>
      </c>
      <c r="H88" s="48" t="s">
        <v>1649</v>
      </c>
      <c r="I88" s="48" t="s">
        <v>2009</v>
      </c>
      <c r="J88" s="247" t="s">
        <v>2009</v>
      </c>
      <c r="K88" s="247" t="s">
        <v>2009</v>
      </c>
    </row>
    <row r="89" spans="1:11" ht="24" customHeight="1" thickBot="1" x14ac:dyDescent="0.25">
      <c r="A89" s="48" t="s">
        <v>334</v>
      </c>
      <c r="B89" s="224" t="s">
        <v>333</v>
      </c>
      <c r="C89" s="48" t="s">
        <v>17</v>
      </c>
      <c r="D89" s="226">
        <v>6119</v>
      </c>
      <c r="E89" s="48" t="s">
        <v>3239</v>
      </c>
      <c r="F89" s="48" t="s">
        <v>2028</v>
      </c>
      <c r="G89" s="48" t="s">
        <v>3058</v>
      </c>
      <c r="H89" s="48" t="s">
        <v>1648</v>
      </c>
      <c r="I89" s="48" t="s">
        <v>2545</v>
      </c>
      <c r="J89" s="247" t="s">
        <v>3240</v>
      </c>
      <c r="K89" s="247" t="s">
        <v>1648</v>
      </c>
    </row>
    <row r="90" spans="1:11" ht="13.5" thickBot="1" x14ac:dyDescent="0.25">
      <c r="A90" s="48" t="s">
        <v>344</v>
      </c>
      <c r="B90" s="224" t="s">
        <v>343</v>
      </c>
      <c r="C90" s="48" t="s">
        <v>17</v>
      </c>
      <c r="D90" s="226">
        <v>6582</v>
      </c>
      <c r="E90" s="48" t="s">
        <v>3434</v>
      </c>
      <c r="F90" s="48" t="s">
        <v>2446</v>
      </c>
      <c r="G90" s="48" t="s">
        <v>3072</v>
      </c>
      <c r="H90" s="48" t="s">
        <v>1649</v>
      </c>
      <c r="I90" s="48" t="s">
        <v>2009</v>
      </c>
      <c r="J90" s="247" t="s">
        <v>2009</v>
      </c>
      <c r="K90" s="247" t="s">
        <v>1648</v>
      </c>
    </row>
    <row r="91" spans="1:11" ht="13.5" thickBot="1" x14ac:dyDescent="0.25">
      <c r="A91" s="48" t="s">
        <v>354</v>
      </c>
      <c r="B91" s="224" t="s">
        <v>353</v>
      </c>
      <c r="C91" s="48" t="s">
        <v>17</v>
      </c>
      <c r="D91" s="226">
        <v>5933</v>
      </c>
      <c r="E91" s="48" t="s">
        <v>3101</v>
      </c>
      <c r="F91" s="48" t="s">
        <v>2237</v>
      </c>
      <c r="G91" s="48" t="s">
        <v>3074</v>
      </c>
      <c r="H91" s="48" t="s">
        <v>1648</v>
      </c>
      <c r="I91" s="48" t="s">
        <v>2545</v>
      </c>
      <c r="J91" s="246" t="s">
        <v>3102</v>
      </c>
      <c r="K91" s="247" t="s">
        <v>1612</v>
      </c>
    </row>
    <row r="92" spans="1:11" ht="13.5" thickBot="1" x14ac:dyDescent="0.25">
      <c r="A92" s="48" t="s">
        <v>362</v>
      </c>
      <c r="B92" s="224" t="s">
        <v>361</v>
      </c>
      <c r="C92" s="48" t="s">
        <v>17</v>
      </c>
      <c r="D92" s="226">
        <v>4220</v>
      </c>
      <c r="E92" s="48" t="s">
        <v>3210</v>
      </c>
      <c r="F92" s="48" t="s">
        <v>2148</v>
      </c>
      <c r="G92" s="48" t="s">
        <v>3074</v>
      </c>
      <c r="H92" s="48" t="s">
        <v>1648</v>
      </c>
      <c r="I92" s="48" t="s">
        <v>2545</v>
      </c>
      <c r="J92" s="247" t="s">
        <v>3211</v>
      </c>
      <c r="K92" s="247" t="s">
        <v>1648</v>
      </c>
    </row>
    <row r="93" spans="1:11" ht="13.5" thickBot="1" x14ac:dyDescent="0.25">
      <c r="A93" s="48" t="s">
        <v>366</v>
      </c>
      <c r="B93" s="224" t="s">
        <v>365</v>
      </c>
      <c r="C93" s="48" t="s">
        <v>17</v>
      </c>
      <c r="D93" s="226">
        <v>4610</v>
      </c>
      <c r="E93" s="48" t="s">
        <v>2477</v>
      </c>
      <c r="F93" s="48" t="s">
        <v>1973</v>
      </c>
      <c r="G93" s="48" t="s">
        <v>3074</v>
      </c>
      <c r="H93" s="48" t="s">
        <v>1648</v>
      </c>
      <c r="I93" s="48" t="s">
        <v>2545</v>
      </c>
      <c r="J93" s="247" t="s">
        <v>3374</v>
      </c>
      <c r="K93" s="247" t="s">
        <v>1612</v>
      </c>
    </row>
    <row r="94" spans="1:11" ht="13.5" thickBot="1" x14ac:dyDescent="0.25">
      <c r="A94" s="48" t="s">
        <v>372</v>
      </c>
      <c r="B94" s="224" t="s">
        <v>371</v>
      </c>
      <c r="C94" s="48" t="s">
        <v>17</v>
      </c>
      <c r="D94" s="226">
        <v>5531</v>
      </c>
      <c r="E94" s="48" t="s">
        <v>3435</v>
      </c>
      <c r="F94" s="48" t="s">
        <v>1984</v>
      </c>
      <c r="G94" s="48" t="s">
        <v>3058</v>
      </c>
      <c r="H94" s="48" t="s">
        <v>1649</v>
      </c>
      <c r="I94" s="48" t="s">
        <v>2009</v>
      </c>
      <c r="J94" s="247" t="s">
        <v>2009</v>
      </c>
      <c r="K94" s="247" t="s">
        <v>1648</v>
      </c>
    </row>
    <row r="95" spans="1:11" ht="13.5" thickBot="1" x14ac:dyDescent="0.25">
      <c r="A95" s="48" t="s">
        <v>376</v>
      </c>
      <c r="B95" s="224" t="s">
        <v>375</v>
      </c>
      <c r="C95" s="48" t="s">
        <v>17</v>
      </c>
      <c r="D95" s="226">
        <v>5107</v>
      </c>
      <c r="E95" s="48" t="s">
        <v>2487</v>
      </c>
      <c r="F95" s="48" t="s">
        <v>1947</v>
      </c>
      <c r="G95" s="48" t="s">
        <v>3061</v>
      </c>
      <c r="H95" s="48" t="s">
        <v>1648</v>
      </c>
      <c r="I95" s="48" t="s">
        <v>2545</v>
      </c>
      <c r="J95" s="247" t="s">
        <v>3254</v>
      </c>
      <c r="K95" s="247" t="s">
        <v>1648</v>
      </c>
    </row>
    <row r="96" spans="1:11" ht="13.5" thickBot="1" x14ac:dyDescent="0.25">
      <c r="A96" s="48" t="s">
        <v>382</v>
      </c>
      <c r="B96" s="224" t="s">
        <v>381</v>
      </c>
      <c r="C96" s="48" t="s">
        <v>17</v>
      </c>
      <c r="D96" s="226">
        <v>5784</v>
      </c>
      <c r="E96" s="48" t="s">
        <v>3436</v>
      </c>
      <c r="F96" s="48" t="s">
        <v>2334</v>
      </c>
      <c r="G96" s="48" t="s">
        <v>3077</v>
      </c>
      <c r="H96" s="48" t="s">
        <v>1649</v>
      </c>
      <c r="I96" s="48" t="s">
        <v>2009</v>
      </c>
      <c r="J96" s="247" t="s">
        <v>2009</v>
      </c>
      <c r="K96" s="247" t="s">
        <v>1612</v>
      </c>
    </row>
    <row r="97" spans="1:11" ht="13.5" thickBot="1" x14ac:dyDescent="0.25">
      <c r="A97" s="48" t="s">
        <v>388</v>
      </c>
      <c r="B97" s="224" t="s">
        <v>387</v>
      </c>
      <c r="C97" s="48" t="s">
        <v>17</v>
      </c>
      <c r="D97" s="226">
        <v>5713</v>
      </c>
      <c r="E97" s="48" t="s">
        <v>2496</v>
      </c>
      <c r="F97" s="48" t="s">
        <v>2072</v>
      </c>
      <c r="G97" s="48" t="s">
        <v>3053</v>
      </c>
      <c r="H97" s="48" t="s">
        <v>1648</v>
      </c>
      <c r="I97" s="48" t="s">
        <v>2545</v>
      </c>
      <c r="J97" s="247" t="s">
        <v>3370</v>
      </c>
      <c r="K97" s="247" t="s">
        <v>1648</v>
      </c>
    </row>
    <row r="98" spans="1:11" ht="13.5" thickBot="1" x14ac:dyDescent="0.25">
      <c r="A98" s="48" t="s">
        <v>392</v>
      </c>
      <c r="B98" s="224" t="s">
        <v>391</v>
      </c>
      <c r="C98" s="48" t="s">
        <v>17</v>
      </c>
      <c r="D98" s="226">
        <v>6443</v>
      </c>
      <c r="E98" s="48" t="s">
        <v>2500</v>
      </c>
      <c r="F98" s="48" t="s">
        <v>1973</v>
      </c>
      <c r="G98" s="48" t="s">
        <v>3072</v>
      </c>
      <c r="H98" s="48" t="s">
        <v>1649</v>
      </c>
      <c r="I98" s="48" t="s">
        <v>2009</v>
      </c>
      <c r="J98" s="247" t="s">
        <v>2009</v>
      </c>
      <c r="K98" s="247" t="s">
        <v>1648</v>
      </c>
    </row>
    <row r="99" spans="1:11" ht="13.5" thickBot="1" x14ac:dyDescent="0.25">
      <c r="A99" s="48" t="s">
        <v>396</v>
      </c>
      <c r="B99" s="224" t="s">
        <v>395</v>
      </c>
      <c r="C99" s="48" t="s">
        <v>17</v>
      </c>
      <c r="D99" s="226">
        <v>4080</v>
      </c>
      <c r="E99" s="48" t="s">
        <v>2503</v>
      </c>
      <c r="F99" s="48" t="s">
        <v>2122</v>
      </c>
      <c r="G99" s="48" t="s">
        <v>3058</v>
      </c>
      <c r="H99" s="48" t="s">
        <v>1649</v>
      </c>
      <c r="I99" s="48" t="s">
        <v>2009</v>
      </c>
      <c r="J99" s="247" t="s">
        <v>2009</v>
      </c>
      <c r="K99" s="247" t="s">
        <v>1648</v>
      </c>
    </row>
    <row r="100" spans="1:11" ht="13.5" thickBot="1" x14ac:dyDescent="0.25">
      <c r="A100" s="48" t="s">
        <v>398</v>
      </c>
      <c r="B100" s="224" t="s">
        <v>397</v>
      </c>
      <c r="C100" s="48" t="s">
        <v>17</v>
      </c>
      <c r="D100" s="226">
        <v>5210</v>
      </c>
      <c r="E100" s="48" t="s">
        <v>3062</v>
      </c>
      <c r="F100" s="48" t="s">
        <v>2134</v>
      </c>
      <c r="G100" s="48" t="s">
        <v>3061</v>
      </c>
      <c r="H100" s="48" t="s">
        <v>1648</v>
      </c>
      <c r="I100" s="48" t="s">
        <v>2545</v>
      </c>
      <c r="J100" s="246">
        <v>10</v>
      </c>
      <c r="K100" s="247" t="s">
        <v>1648</v>
      </c>
    </row>
    <row r="101" spans="1:11" ht="13.5" thickBot="1" x14ac:dyDescent="0.25">
      <c r="A101" s="48" t="s">
        <v>400</v>
      </c>
      <c r="B101" s="224" t="s">
        <v>399</v>
      </c>
      <c r="C101" s="48" t="s">
        <v>17</v>
      </c>
      <c r="D101" s="226">
        <v>6997</v>
      </c>
      <c r="E101" s="48" t="s">
        <v>3319</v>
      </c>
      <c r="F101" s="48" t="s">
        <v>2045</v>
      </c>
      <c r="G101" s="48" t="s">
        <v>3077</v>
      </c>
      <c r="H101" s="48" t="s">
        <v>1648</v>
      </c>
      <c r="I101" s="48" t="s">
        <v>2545</v>
      </c>
      <c r="J101" s="247" t="s">
        <v>3320</v>
      </c>
      <c r="K101" s="247" t="s">
        <v>1648</v>
      </c>
    </row>
    <row r="102" spans="1:11" ht="13.5" thickBot="1" x14ac:dyDescent="0.25">
      <c r="A102" s="48" t="s">
        <v>414</v>
      </c>
      <c r="B102" s="224" t="s">
        <v>413</v>
      </c>
      <c r="C102" s="48" t="s">
        <v>17</v>
      </c>
      <c r="D102" s="226">
        <v>4168</v>
      </c>
      <c r="E102" s="48" t="s">
        <v>3437</v>
      </c>
      <c r="F102" s="48" t="s">
        <v>2002</v>
      </c>
      <c r="G102" s="48" t="s">
        <v>3074</v>
      </c>
      <c r="H102" s="48" t="s">
        <v>1649</v>
      </c>
      <c r="I102" s="48" t="s">
        <v>2009</v>
      </c>
      <c r="J102" s="247" t="s">
        <v>2009</v>
      </c>
      <c r="K102" s="247" t="s">
        <v>1648</v>
      </c>
    </row>
    <row r="103" spans="1:11" ht="13.5" thickBot="1" x14ac:dyDescent="0.25">
      <c r="A103" s="48" t="s">
        <v>427</v>
      </c>
      <c r="B103" s="224" t="s">
        <v>426</v>
      </c>
      <c r="C103" s="48" t="s">
        <v>17</v>
      </c>
      <c r="D103" s="226">
        <v>4934</v>
      </c>
      <c r="E103" s="48" t="s">
        <v>3305</v>
      </c>
      <c r="F103" s="48" t="s">
        <v>1973</v>
      </c>
      <c r="G103" s="48" t="s">
        <v>3074</v>
      </c>
      <c r="H103" s="48" t="s">
        <v>1648</v>
      </c>
      <c r="I103" s="48" t="s">
        <v>2545</v>
      </c>
      <c r="J103" s="247" t="s">
        <v>3306</v>
      </c>
      <c r="K103" s="247" t="s">
        <v>1612</v>
      </c>
    </row>
    <row r="104" spans="1:11" ht="13.5" thickBot="1" x14ac:dyDescent="0.25">
      <c r="A104" s="48" t="s">
        <v>429</v>
      </c>
      <c r="B104" s="224" t="s">
        <v>428</v>
      </c>
      <c r="C104" s="48" t="s">
        <v>17</v>
      </c>
      <c r="D104" s="226">
        <v>5857</v>
      </c>
      <c r="E104" s="48" t="s">
        <v>2535</v>
      </c>
      <c r="F104" s="48" t="s">
        <v>2393</v>
      </c>
      <c r="G104" s="48" t="s">
        <v>3059</v>
      </c>
      <c r="H104" s="48" t="s">
        <v>1649</v>
      </c>
      <c r="I104" s="48" t="s">
        <v>2009</v>
      </c>
      <c r="J104" s="247" t="s">
        <v>2009</v>
      </c>
      <c r="K104" s="247" t="s">
        <v>1648</v>
      </c>
    </row>
    <row r="105" spans="1:11" ht="13.5" thickBot="1" x14ac:dyDescent="0.25">
      <c r="A105" s="48" t="s">
        <v>450</v>
      </c>
      <c r="B105" s="224" t="s">
        <v>449</v>
      </c>
      <c r="C105" s="48" t="s">
        <v>17</v>
      </c>
      <c r="D105" s="226">
        <v>4141</v>
      </c>
      <c r="E105" s="48" t="s">
        <v>3438</v>
      </c>
      <c r="F105" s="48" t="s">
        <v>2105</v>
      </c>
      <c r="G105" s="48" t="s">
        <v>3059</v>
      </c>
      <c r="H105" s="48" t="s">
        <v>1649</v>
      </c>
      <c r="I105" s="48" t="s">
        <v>2009</v>
      </c>
      <c r="J105" s="247" t="s">
        <v>2009</v>
      </c>
      <c r="K105" s="247" t="s">
        <v>1648</v>
      </c>
    </row>
    <row r="106" spans="1:11" ht="13.5" thickBot="1" x14ac:dyDescent="0.25">
      <c r="A106" s="48" t="s">
        <v>456</v>
      </c>
      <c r="B106" s="224" t="s">
        <v>455</v>
      </c>
      <c r="C106" s="48" t="s">
        <v>17</v>
      </c>
      <c r="D106" s="226">
        <v>4197</v>
      </c>
      <c r="E106" s="48" t="s">
        <v>2259</v>
      </c>
      <c r="F106" s="48" t="s">
        <v>2316</v>
      </c>
      <c r="G106" s="48" t="s">
        <v>3059</v>
      </c>
      <c r="H106" s="48" t="s">
        <v>1648</v>
      </c>
      <c r="I106" s="48" t="s">
        <v>2545</v>
      </c>
      <c r="J106" s="247" t="s">
        <v>3386</v>
      </c>
      <c r="K106" s="247" t="s">
        <v>1648</v>
      </c>
    </row>
    <row r="107" spans="1:11" ht="13.5" thickBot="1" x14ac:dyDescent="0.25">
      <c r="A107" s="48" t="s">
        <v>462</v>
      </c>
      <c r="B107" s="224" t="s">
        <v>461</v>
      </c>
      <c r="C107" s="48" t="s">
        <v>17</v>
      </c>
      <c r="D107" s="226">
        <v>5068</v>
      </c>
      <c r="E107" s="48" t="s">
        <v>3089</v>
      </c>
      <c r="F107" s="48" t="s">
        <v>1958</v>
      </c>
      <c r="G107" s="48" t="s">
        <v>3077</v>
      </c>
      <c r="H107" s="48" t="s">
        <v>1648</v>
      </c>
      <c r="I107" s="48" t="s">
        <v>2545</v>
      </c>
      <c r="J107" s="246" t="s">
        <v>3090</v>
      </c>
      <c r="K107" s="247" t="s">
        <v>1648</v>
      </c>
    </row>
    <row r="108" spans="1:11" ht="13.5" thickBot="1" x14ac:dyDescent="0.25">
      <c r="A108" s="48" t="s">
        <v>466</v>
      </c>
      <c r="B108" s="224" t="s">
        <v>465</v>
      </c>
      <c r="C108" s="48" t="s">
        <v>17</v>
      </c>
      <c r="D108" s="226">
        <v>4968</v>
      </c>
      <c r="E108" s="48" t="s">
        <v>2578</v>
      </c>
      <c r="F108" s="48" t="s">
        <v>1969</v>
      </c>
      <c r="G108" s="48" t="s">
        <v>3059</v>
      </c>
      <c r="H108" s="48" t="s">
        <v>1648</v>
      </c>
      <c r="I108" s="48" t="s">
        <v>2545</v>
      </c>
      <c r="J108" s="247" t="s">
        <v>3356</v>
      </c>
      <c r="K108" s="247" t="s">
        <v>1648</v>
      </c>
    </row>
    <row r="109" spans="1:11" ht="13.5" thickBot="1" x14ac:dyDescent="0.25">
      <c r="A109" s="48" t="s">
        <v>478</v>
      </c>
      <c r="B109" s="224" t="s">
        <v>477</v>
      </c>
      <c r="C109" s="48" t="s">
        <v>17</v>
      </c>
      <c r="D109" s="226">
        <v>4101</v>
      </c>
      <c r="E109" s="48" t="s">
        <v>2587</v>
      </c>
      <c r="F109" s="48" t="s">
        <v>2152</v>
      </c>
      <c r="G109" s="48" t="s">
        <v>3072</v>
      </c>
      <c r="H109" s="48" t="s">
        <v>1648</v>
      </c>
      <c r="I109" s="48" t="s">
        <v>3056</v>
      </c>
      <c r="J109" s="246" t="s">
        <v>3073</v>
      </c>
      <c r="K109" s="247" t="s">
        <v>1648</v>
      </c>
    </row>
    <row r="110" spans="1:11" ht="13.5" thickBot="1" x14ac:dyDescent="0.25">
      <c r="A110" s="48" t="s">
        <v>480</v>
      </c>
      <c r="B110" s="224" t="s">
        <v>479</v>
      </c>
      <c r="C110" s="48" t="s">
        <v>17</v>
      </c>
      <c r="D110" s="226">
        <v>5241</v>
      </c>
      <c r="E110" s="48" t="s">
        <v>3063</v>
      </c>
      <c r="F110" s="48" t="s">
        <v>1953</v>
      </c>
      <c r="G110" s="48" t="s">
        <v>3058</v>
      </c>
      <c r="H110" s="48" t="s">
        <v>1648</v>
      </c>
      <c r="I110" s="48" t="s">
        <v>3056</v>
      </c>
      <c r="J110" s="246" t="s">
        <v>3064</v>
      </c>
      <c r="K110" s="247" t="s">
        <v>1648</v>
      </c>
    </row>
    <row r="111" spans="1:11" ht="13.5" thickBot="1" x14ac:dyDescent="0.25">
      <c r="A111" s="48" t="s">
        <v>488</v>
      </c>
      <c r="B111" s="224" t="s">
        <v>487</v>
      </c>
      <c r="C111" s="48" t="s">
        <v>17</v>
      </c>
      <c r="D111" s="226">
        <v>5160</v>
      </c>
      <c r="E111" s="48" t="s">
        <v>3439</v>
      </c>
      <c r="F111" s="48" t="s">
        <v>2122</v>
      </c>
      <c r="G111" s="48" t="s">
        <v>3058</v>
      </c>
      <c r="H111" s="48" t="s">
        <v>1649</v>
      </c>
      <c r="I111" s="48" t="s">
        <v>2009</v>
      </c>
      <c r="J111" s="247" t="s">
        <v>2009</v>
      </c>
      <c r="K111" s="247" t="s">
        <v>1648</v>
      </c>
    </row>
    <row r="112" spans="1:11" ht="13.5" thickBot="1" x14ac:dyDescent="0.25">
      <c r="A112" s="48" t="s">
        <v>490</v>
      </c>
      <c r="B112" s="224" t="s">
        <v>489</v>
      </c>
      <c r="C112" s="48" t="s">
        <v>17</v>
      </c>
      <c r="D112" s="226">
        <v>5841</v>
      </c>
      <c r="E112" s="48" t="s">
        <v>3440</v>
      </c>
      <c r="F112" s="48" t="s">
        <v>2324</v>
      </c>
      <c r="G112" s="48" t="s">
        <v>3059</v>
      </c>
      <c r="H112" s="48" t="s">
        <v>1649</v>
      </c>
      <c r="I112" s="48" t="s">
        <v>2009</v>
      </c>
      <c r="J112" s="247" t="s">
        <v>2009</v>
      </c>
      <c r="K112" s="247" t="s">
        <v>1612</v>
      </c>
    </row>
    <row r="113" spans="1:11" ht="13.5" thickBot="1" x14ac:dyDescent="0.25">
      <c r="A113" s="48" t="s">
        <v>494</v>
      </c>
      <c r="B113" s="224" t="s">
        <v>493</v>
      </c>
      <c r="C113" s="48" t="s">
        <v>17</v>
      </c>
      <c r="D113" s="226">
        <v>4730</v>
      </c>
      <c r="E113" s="48" t="s">
        <v>2605</v>
      </c>
      <c r="F113" s="48" t="s">
        <v>2126</v>
      </c>
      <c r="G113" s="48" t="s">
        <v>3061</v>
      </c>
      <c r="H113" s="48" t="s">
        <v>1649</v>
      </c>
      <c r="I113" s="48" t="s">
        <v>2009</v>
      </c>
      <c r="J113" s="247" t="s">
        <v>2009</v>
      </c>
      <c r="K113" s="247" t="s">
        <v>1612</v>
      </c>
    </row>
    <row r="114" spans="1:11" ht="13.5" thickBot="1" x14ac:dyDescent="0.25">
      <c r="A114" s="48" t="s">
        <v>512</v>
      </c>
      <c r="B114" s="224" t="s">
        <v>511</v>
      </c>
      <c r="C114" s="48" t="s">
        <v>17</v>
      </c>
      <c r="D114" s="226">
        <v>5072</v>
      </c>
      <c r="E114" s="48" t="s">
        <v>2629</v>
      </c>
      <c r="F114" s="48" t="s">
        <v>1953</v>
      </c>
      <c r="G114" s="48" t="s">
        <v>3058</v>
      </c>
      <c r="H114" s="48" t="s">
        <v>1649</v>
      </c>
      <c r="I114" s="48" t="s">
        <v>2009</v>
      </c>
      <c r="J114" s="247" t="s">
        <v>2009</v>
      </c>
      <c r="K114" s="247" t="s">
        <v>1612</v>
      </c>
    </row>
    <row r="115" spans="1:11" ht="13.5" thickBot="1" x14ac:dyDescent="0.25">
      <c r="A115" s="48" t="s">
        <v>514</v>
      </c>
      <c r="B115" s="224" t="s">
        <v>513</v>
      </c>
      <c r="C115" s="48" t="s">
        <v>17</v>
      </c>
      <c r="D115" s="226">
        <v>6634</v>
      </c>
      <c r="E115" s="48" t="s">
        <v>2034</v>
      </c>
      <c r="F115" s="48" t="s">
        <v>2034</v>
      </c>
      <c r="G115" s="48" t="s">
        <v>3059</v>
      </c>
      <c r="H115" s="48" t="s">
        <v>1648</v>
      </c>
      <c r="I115" s="48" t="s">
        <v>2545</v>
      </c>
      <c r="J115" s="247" t="s">
        <v>3247</v>
      </c>
      <c r="K115" s="247" t="s">
        <v>1648</v>
      </c>
    </row>
    <row r="116" spans="1:11" ht="13.5" thickBot="1" x14ac:dyDescent="0.25">
      <c r="A116" s="48" t="s">
        <v>526</v>
      </c>
      <c r="B116" s="224" t="s">
        <v>525</v>
      </c>
      <c r="C116" s="48" t="s">
        <v>17</v>
      </c>
      <c r="D116" s="226">
        <v>5302</v>
      </c>
      <c r="E116" s="48" t="s">
        <v>2644</v>
      </c>
      <c r="F116" s="48" t="s">
        <v>2057</v>
      </c>
      <c r="G116" s="48" t="s">
        <v>3072</v>
      </c>
      <c r="H116" s="48" t="s">
        <v>1648</v>
      </c>
      <c r="I116" s="48" t="s">
        <v>2545</v>
      </c>
      <c r="J116" s="246" t="s">
        <v>3091</v>
      </c>
      <c r="K116" s="247" t="s">
        <v>1648</v>
      </c>
    </row>
    <row r="117" spans="1:11" ht="13.5" thickBot="1" x14ac:dyDescent="0.25">
      <c r="A117" s="48" t="s">
        <v>528</v>
      </c>
      <c r="B117" s="224" t="s">
        <v>527</v>
      </c>
      <c r="C117" s="48" t="s">
        <v>17</v>
      </c>
      <c r="D117" s="226">
        <v>6834</v>
      </c>
      <c r="E117" s="48" t="s">
        <v>2237</v>
      </c>
      <c r="F117" s="48" t="s">
        <v>2237</v>
      </c>
      <c r="G117" s="48" t="s">
        <v>3074</v>
      </c>
      <c r="H117" s="48" t="s">
        <v>1648</v>
      </c>
      <c r="I117" s="48" t="s">
        <v>2545</v>
      </c>
      <c r="J117" s="247" t="s">
        <v>3377</v>
      </c>
      <c r="K117" s="247" t="s">
        <v>1648</v>
      </c>
    </row>
    <row r="118" spans="1:11" ht="13.5" thickBot="1" x14ac:dyDescent="0.25">
      <c r="A118" s="48" t="s">
        <v>532</v>
      </c>
      <c r="B118" s="224" t="s">
        <v>531</v>
      </c>
      <c r="C118" s="48" t="s">
        <v>17</v>
      </c>
      <c r="D118" s="226">
        <v>4469</v>
      </c>
      <c r="E118" s="48" t="s">
        <v>3065</v>
      </c>
      <c r="F118" s="48" t="s">
        <v>2134</v>
      </c>
      <c r="G118" s="48" t="s">
        <v>3061</v>
      </c>
      <c r="H118" s="48" t="s">
        <v>1648</v>
      </c>
      <c r="I118" s="48" t="s">
        <v>2545</v>
      </c>
      <c r="J118" s="246">
        <v>10</v>
      </c>
      <c r="K118" s="247" t="s">
        <v>1648</v>
      </c>
    </row>
    <row r="119" spans="1:11" ht="13.5" thickBot="1" x14ac:dyDescent="0.25">
      <c r="A119" s="48" t="s">
        <v>540</v>
      </c>
      <c r="B119" s="224" t="s">
        <v>539</v>
      </c>
      <c r="C119" s="48" t="s">
        <v>17</v>
      </c>
      <c r="D119" s="226">
        <v>6174</v>
      </c>
      <c r="E119" s="48" t="s">
        <v>3441</v>
      </c>
      <c r="F119" s="48" t="s">
        <v>2126</v>
      </c>
      <c r="G119" s="48" t="s">
        <v>3061</v>
      </c>
      <c r="H119" s="48" t="s">
        <v>1649</v>
      </c>
      <c r="I119" s="48" t="s">
        <v>2009</v>
      </c>
      <c r="J119" s="247" t="s">
        <v>2009</v>
      </c>
      <c r="K119" s="247" t="s">
        <v>1648</v>
      </c>
    </row>
    <row r="120" spans="1:11" ht="13.5" thickBot="1" x14ac:dyDescent="0.25">
      <c r="A120" s="48" t="s">
        <v>560</v>
      </c>
      <c r="B120" s="224" t="s">
        <v>559</v>
      </c>
      <c r="C120" s="48" t="s">
        <v>17</v>
      </c>
      <c r="D120" s="226">
        <v>5305</v>
      </c>
      <c r="E120" s="48" t="s">
        <v>2688</v>
      </c>
      <c r="F120" s="48" t="s">
        <v>2037</v>
      </c>
      <c r="G120" s="48" t="s">
        <v>3058</v>
      </c>
      <c r="H120" s="48" t="s">
        <v>1649</v>
      </c>
      <c r="I120" s="48" t="s">
        <v>2009</v>
      </c>
      <c r="J120" s="247" t="s">
        <v>2009</v>
      </c>
      <c r="K120" s="247" t="s">
        <v>1612</v>
      </c>
    </row>
    <row r="121" spans="1:11" ht="13.5" thickBot="1" x14ac:dyDescent="0.25">
      <c r="A121" s="48" t="s">
        <v>566</v>
      </c>
      <c r="B121" s="224" t="s">
        <v>565</v>
      </c>
      <c r="C121" s="48" t="s">
        <v>17</v>
      </c>
      <c r="D121" s="226">
        <v>6341</v>
      </c>
      <c r="E121" s="48" t="s">
        <v>3067</v>
      </c>
      <c r="F121" s="48" t="s">
        <v>2105</v>
      </c>
      <c r="G121" s="48" t="s">
        <v>3059</v>
      </c>
      <c r="H121" s="48" t="s">
        <v>1648</v>
      </c>
      <c r="I121" s="48" t="s">
        <v>2545</v>
      </c>
      <c r="J121" s="246" t="s">
        <v>3068</v>
      </c>
      <c r="K121" s="247" t="s">
        <v>1612</v>
      </c>
    </row>
    <row r="122" spans="1:11" ht="13.5" thickBot="1" x14ac:dyDescent="0.25">
      <c r="A122" s="48" t="s">
        <v>572</v>
      </c>
      <c r="B122" s="224" t="s">
        <v>571</v>
      </c>
      <c r="C122" s="48" t="s">
        <v>17</v>
      </c>
      <c r="D122" s="226">
        <v>5433</v>
      </c>
      <c r="E122" s="48" t="s">
        <v>3123</v>
      </c>
      <c r="F122" s="48" t="s">
        <v>2334</v>
      </c>
      <c r="G122" s="48" t="s">
        <v>3077</v>
      </c>
      <c r="H122" s="48" t="s">
        <v>1648</v>
      </c>
      <c r="I122" s="48" t="s">
        <v>2545</v>
      </c>
      <c r="J122" s="246" t="s">
        <v>3124</v>
      </c>
      <c r="K122" s="247" t="s">
        <v>1648</v>
      </c>
    </row>
    <row r="123" spans="1:11" ht="13.5" thickBot="1" x14ac:dyDescent="0.25">
      <c r="A123" s="48" t="s">
        <v>582</v>
      </c>
      <c r="B123" s="224" t="s">
        <v>581</v>
      </c>
      <c r="C123" s="48" t="s">
        <v>17</v>
      </c>
      <c r="D123" s="226">
        <v>6654</v>
      </c>
      <c r="E123" s="48" t="s">
        <v>3268</v>
      </c>
      <c r="F123" s="48" t="s">
        <v>2028</v>
      </c>
      <c r="G123" s="48" t="s">
        <v>3058</v>
      </c>
      <c r="H123" s="48" t="s">
        <v>1648</v>
      </c>
      <c r="I123" s="48" t="s">
        <v>2545</v>
      </c>
      <c r="J123" s="247" t="s">
        <v>3269</v>
      </c>
      <c r="K123" s="247" t="s">
        <v>1648</v>
      </c>
    </row>
    <row r="124" spans="1:11" ht="13.5" thickBot="1" x14ac:dyDescent="0.25">
      <c r="A124" s="48" t="s">
        <v>586</v>
      </c>
      <c r="B124" s="224" t="s">
        <v>585</v>
      </c>
      <c r="C124" s="48" t="s">
        <v>17</v>
      </c>
      <c r="D124" s="226">
        <v>4105</v>
      </c>
      <c r="E124" s="48" t="s">
        <v>2724</v>
      </c>
      <c r="F124" s="48" t="s">
        <v>2134</v>
      </c>
      <c r="G124" s="48" t="s">
        <v>3061</v>
      </c>
      <c r="H124" s="48" t="s">
        <v>1648</v>
      </c>
      <c r="I124" s="48" t="s">
        <v>2545</v>
      </c>
      <c r="J124" s="246" t="s">
        <v>3066</v>
      </c>
      <c r="K124" s="247" t="s">
        <v>1648</v>
      </c>
    </row>
    <row r="125" spans="1:11" ht="13.5" thickBot="1" x14ac:dyDescent="0.25">
      <c r="A125" s="48" t="s">
        <v>592</v>
      </c>
      <c r="B125" s="224" t="s">
        <v>591</v>
      </c>
      <c r="C125" s="48" t="s">
        <v>17</v>
      </c>
      <c r="D125" s="226">
        <v>5033</v>
      </c>
      <c r="E125" s="48" t="s">
        <v>2733</v>
      </c>
      <c r="F125" s="48" t="s">
        <v>2028</v>
      </c>
      <c r="G125" s="48" t="s">
        <v>3058</v>
      </c>
      <c r="H125" s="48" t="s">
        <v>1648</v>
      </c>
      <c r="I125" s="48" t="s">
        <v>2545</v>
      </c>
      <c r="J125" s="246">
        <v>5</v>
      </c>
      <c r="K125" s="247" t="s">
        <v>1648</v>
      </c>
    </row>
    <row r="126" spans="1:11" ht="13.5" thickBot="1" x14ac:dyDescent="0.25">
      <c r="A126" s="48" t="s">
        <v>600</v>
      </c>
      <c r="B126" s="224" t="s">
        <v>599</v>
      </c>
      <c r="C126" s="48" t="s">
        <v>17</v>
      </c>
      <c r="D126" s="226">
        <v>5413</v>
      </c>
      <c r="E126" s="48" t="s">
        <v>3442</v>
      </c>
      <c r="F126" s="48" t="s">
        <v>2055</v>
      </c>
      <c r="G126" s="48" t="s">
        <v>3061</v>
      </c>
      <c r="H126" s="48" t="s">
        <v>1649</v>
      </c>
      <c r="I126" s="48" t="s">
        <v>2009</v>
      </c>
      <c r="J126" s="247" t="s">
        <v>2009</v>
      </c>
      <c r="K126" s="247" t="s">
        <v>1612</v>
      </c>
    </row>
    <row r="127" spans="1:11" ht="13.5" thickBot="1" x14ac:dyDescent="0.25">
      <c r="A127" s="48" t="s">
        <v>606</v>
      </c>
      <c r="B127" s="224" t="s">
        <v>605</v>
      </c>
      <c r="C127" s="48" t="s">
        <v>17</v>
      </c>
      <c r="D127" s="226">
        <v>6847</v>
      </c>
      <c r="E127" s="48" t="s">
        <v>3264</v>
      </c>
      <c r="F127" s="48" t="s">
        <v>2264</v>
      </c>
      <c r="G127" s="48" t="s">
        <v>3061</v>
      </c>
      <c r="H127" s="48" t="s">
        <v>1648</v>
      </c>
      <c r="I127" s="48" t="s">
        <v>2545</v>
      </c>
      <c r="J127" s="247" t="s">
        <v>3263</v>
      </c>
      <c r="K127" s="247" t="s">
        <v>1648</v>
      </c>
    </row>
    <row r="128" spans="1:11" ht="13.5" thickBot="1" x14ac:dyDescent="0.25">
      <c r="A128" s="48" t="s">
        <v>608</v>
      </c>
      <c r="B128" s="224" t="s">
        <v>607</v>
      </c>
      <c r="C128" s="48" t="s">
        <v>17</v>
      </c>
      <c r="D128" s="226">
        <v>6240</v>
      </c>
      <c r="E128" s="48" t="s">
        <v>3232</v>
      </c>
      <c r="F128" s="48" t="s">
        <v>2101</v>
      </c>
      <c r="G128" s="48" t="s">
        <v>3058</v>
      </c>
      <c r="H128" s="48" t="s">
        <v>1648</v>
      </c>
      <c r="I128" s="48" t="s">
        <v>2545</v>
      </c>
      <c r="J128" s="247" t="s">
        <v>3233</v>
      </c>
      <c r="K128" s="247" t="s">
        <v>1648</v>
      </c>
    </row>
    <row r="129" spans="1:11" ht="13.5" thickBot="1" x14ac:dyDescent="0.25">
      <c r="A129" s="48" t="s">
        <v>614</v>
      </c>
      <c r="B129" s="224" t="s">
        <v>613</v>
      </c>
      <c r="C129" s="48" t="s">
        <v>17</v>
      </c>
      <c r="D129" s="226">
        <v>5376</v>
      </c>
      <c r="E129" s="48" t="s">
        <v>3339</v>
      </c>
      <c r="F129" s="48" t="s">
        <v>2134</v>
      </c>
      <c r="G129" s="48" t="s">
        <v>3061</v>
      </c>
      <c r="H129" s="48" t="s">
        <v>1648</v>
      </c>
      <c r="I129" s="48" t="s">
        <v>2545</v>
      </c>
      <c r="J129" s="247" t="s">
        <v>3340</v>
      </c>
      <c r="K129" s="247" t="s">
        <v>1648</v>
      </c>
    </row>
    <row r="130" spans="1:11" ht="26.25" thickBot="1" x14ac:dyDescent="0.25">
      <c r="A130" s="48" t="s">
        <v>620</v>
      </c>
      <c r="B130" s="224" t="s">
        <v>619</v>
      </c>
      <c r="C130" s="48" t="s">
        <v>17</v>
      </c>
      <c r="D130" s="226">
        <v>5523</v>
      </c>
      <c r="E130" s="48" t="s">
        <v>3169</v>
      </c>
      <c r="F130" s="48" t="s">
        <v>2122</v>
      </c>
      <c r="G130" s="48" t="s">
        <v>3058</v>
      </c>
      <c r="H130" s="48" t="s">
        <v>1648</v>
      </c>
      <c r="I130" s="48" t="s">
        <v>2545</v>
      </c>
      <c r="J130" s="247" t="s">
        <v>3170</v>
      </c>
      <c r="K130" s="247" t="s">
        <v>1648</v>
      </c>
    </row>
    <row r="131" spans="1:11" ht="13.5" thickBot="1" x14ac:dyDescent="0.25">
      <c r="A131" s="48" t="s">
        <v>632</v>
      </c>
      <c r="B131" s="224" t="s">
        <v>631</v>
      </c>
      <c r="C131" s="48" t="s">
        <v>17</v>
      </c>
      <c r="D131" s="226">
        <v>4659</v>
      </c>
      <c r="E131" s="48" t="s">
        <v>2782</v>
      </c>
      <c r="F131" s="48" t="s">
        <v>2101</v>
      </c>
      <c r="G131" s="48" t="s">
        <v>3058</v>
      </c>
      <c r="H131" s="48" t="s">
        <v>1648</v>
      </c>
      <c r="I131" s="48" t="s">
        <v>2545</v>
      </c>
      <c r="J131" s="246" t="s">
        <v>3103</v>
      </c>
      <c r="K131" s="247" t="s">
        <v>1612</v>
      </c>
    </row>
    <row r="132" spans="1:11" ht="13.5" thickBot="1" x14ac:dyDescent="0.25">
      <c r="A132" s="48" t="s">
        <v>644</v>
      </c>
      <c r="B132" s="224" t="s">
        <v>643</v>
      </c>
      <c r="C132" s="48" t="s">
        <v>17</v>
      </c>
      <c r="D132" s="226">
        <v>6295</v>
      </c>
      <c r="E132" s="48" t="s">
        <v>2478</v>
      </c>
      <c r="F132" s="48" t="s">
        <v>2478</v>
      </c>
      <c r="G132" s="48" t="s">
        <v>3053</v>
      </c>
      <c r="H132" s="48" t="s">
        <v>1649</v>
      </c>
      <c r="I132" s="48" t="s">
        <v>2009</v>
      </c>
      <c r="J132" s="247" t="s">
        <v>2009</v>
      </c>
      <c r="K132" s="247" t="s">
        <v>1612</v>
      </c>
    </row>
    <row r="133" spans="1:11" ht="13.5" thickBot="1" x14ac:dyDescent="0.25">
      <c r="A133" s="48" t="s">
        <v>658</v>
      </c>
      <c r="B133" s="224" t="s">
        <v>657</v>
      </c>
      <c r="C133" s="48" t="s">
        <v>17</v>
      </c>
      <c r="D133" s="226">
        <v>4434</v>
      </c>
      <c r="E133" s="48" t="s">
        <v>3274</v>
      </c>
      <c r="F133" s="48" t="s">
        <v>2571</v>
      </c>
      <c r="G133" s="48" t="s">
        <v>3053</v>
      </c>
      <c r="H133" s="48" t="s">
        <v>1648</v>
      </c>
      <c r="I133" s="48" t="s">
        <v>2545</v>
      </c>
      <c r="J133" s="247" t="s">
        <v>3275</v>
      </c>
      <c r="K133" s="247" t="s">
        <v>1648</v>
      </c>
    </row>
    <row r="134" spans="1:11" ht="13.5" thickBot="1" x14ac:dyDescent="0.25">
      <c r="A134" s="48" t="s">
        <v>668</v>
      </c>
      <c r="B134" s="224" t="s">
        <v>667</v>
      </c>
      <c r="C134" s="48" t="s">
        <v>17</v>
      </c>
      <c r="D134" s="226">
        <v>4375</v>
      </c>
      <c r="E134" s="48" t="s">
        <v>3443</v>
      </c>
      <c r="F134" s="48" t="s">
        <v>1953</v>
      </c>
      <c r="G134" s="48" t="s">
        <v>3058</v>
      </c>
      <c r="H134" s="48" t="s">
        <v>1649</v>
      </c>
      <c r="I134" s="48" t="s">
        <v>2009</v>
      </c>
      <c r="J134" s="247" t="s">
        <v>2009</v>
      </c>
      <c r="K134" s="247" t="s">
        <v>1648</v>
      </c>
    </row>
    <row r="135" spans="1:11" ht="13.5" thickBot="1" x14ac:dyDescent="0.25">
      <c r="A135" s="48" t="s">
        <v>672</v>
      </c>
      <c r="B135" s="224" t="s">
        <v>671</v>
      </c>
      <c r="C135" s="48" t="s">
        <v>17</v>
      </c>
      <c r="D135" s="226">
        <v>5101</v>
      </c>
      <c r="E135" s="48" t="s">
        <v>3270</v>
      </c>
      <c r="F135" s="48" t="s">
        <v>1973</v>
      </c>
      <c r="G135" s="48" t="s">
        <v>3074</v>
      </c>
      <c r="H135" s="48" t="s">
        <v>1648</v>
      </c>
      <c r="I135" s="48" t="s">
        <v>2545</v>
      </c>
      <c r="J135" s="247" t="s">
        <v>3271</v>
      </c>
      <c r="K135" s="247" t="s">
        <v>2009</v>
      </c>
    </row>
    <row r="136" spans="1:11" ht="13.5" thickBot="1" x14ac:dyDescent="0.25">
      <c r="A136" s="48" t="s">
        <v>678</v>
      </c>
      <c r="B136" s="224" t="s">
        <v>677</v>
      </c>
      <c r="C136" s="48" t="s">
        <v>17</v>
      </c>
      <c r="D136" s="226">
        <v>4038</v>
      </c>
      <c r="E136" s="48" t="s">
        <v>2838</v>
      </c>
      <c r="F136" s="48" t="s">
        <v>2028</v>
      </c>
      <c r="G136" s="48" t="s">
        <v>3058</v>
      </c>
      <c r="H136" s="48" t="s">
        <v>1649</v>
      </c>
      <c r="I136" s="48" t="s">
        <v>2009</v>
      </c>
      <c r="J136" s="247" t="s">
        <v>2009</v>
      </c>
      <c r="K136" s="247" t="s">
        <v>1648</v>
      </c>
    </row>
    <row r="137" spans="1:11" ht="13.5" thickBot="1" x14ac:dyDescent="0.25">
      <c r="A137" s="48" t="s">
        <v>686</v>
      </c>
      <c r="B137" s="224" t="s">
        <v>685</v>
      </c>
      <c r="C137" s="48" t="s">
        <v>17</v>
      </c>
      <c r="D137" s="226">
        <v>5635</v>
      </c>
      <c r="E137" s="48" t="s">
        <v>3207</v>
      </c>
      <c r="F137" s="48" t="s">
        <v>2190</v>
      </c>
      <c r="G137" s="48" t="s">
        <v>3058</v>
      </c>
      <c r="H137" s="48" t="s">
        <v>1648</v>
      </c>
      <c r="I137" s="48" t="s">
        <v>2545</v>
      </c>
      <c r="J137" s="247" t="s">
        <v>3208</v>
      </c>
      <c r="K137" s="247" t="s">
        <v>1648</v>
      </c>
    </row>
    <row r="138" spans="1:11" ht="13.5" thickBot="1" x14ac:dyDescent="0.25">
      <c r="A138" s="48" t="s">
        <v>708</v>
      </c>
      <c r="B138" s="224" t="s">
        <v>707</v>
      </c>
      <c r="C138" s="48" t="s">
        <v>17</v>
      </c>
      <c r="D138" s="226">
        <v>4046</v>
      </c>
      <c r="E138" s="48" t="s">
        <v>3278</v>
      </c>
      <c r="F138" s="48" t="s">
        <v>1947</v>
      </c>
      <c r="G138" s="48" t="s">
        <v>3061</v>
      </c>
      <c r="H138" s="48" t="s">
        <v>1648</v>
      </c>
      <c r="I138" s="48" t="s">
        <v>2545</v>
      </c>
      <c r="J138" s="247" t="s">
        <v>3279</v>
      </c>
      <c r="K138" s="247" t="s">
        <v>1612</v>
      </c>
    </row>
    <row r="139" spans="1:11" ht="13.5" thickBot="1" x14ac:dyDescent="0.25">
      <c r="A139" s="48" t="s">
        <v>720</v>
      </c>
      <c r="B139" s="224" t="s">
        <v>719</v>
      </c>
      <c r="C139" s="48" t="s">
        <v>17</v>
      </c>
      <c r="D139" s="226">
        <v>5479</v>
      </c>
      <c r="E139" s="48" t="s">
        <v>2888</v>
      </c>
      <c r="F139" s="48" t="s">
        <v>2393</v>
      </c>
      <c r="G139" s="48" t="s">
        <v>3077</v>
      </c>
      <c r="H139" s="48" t="s">
        <v>1649</v>
      </c>
      <c r="I139" s="48" t="s">
        <v>2009</v>
      </c>
      <c r="J139" s="247" t="s">
        <v>2009</v>
      </c>
      <c r="K139" s="247" t="s">
        <v>1612</v>
      </c>
    </row>
    <row r="140" spans="1:11" ht="13.5" thickBot="1" x14ac:dyDescent="0.25">
      <c r="A140" s="48" t="s">
        <v>728</v>
      </c>
      <c r="B140" s="224" t="s">
        <v>727</v>
      </c>
      <c r="C140" s="48" t="s">
        <v>17</v>
      </c>
      <c r="D140" s="226">
        <v>6680</v>
      </c>
      <c r="E140" s="48" t="s">
        <v>3444</v>
      </c>
      <c r="F140" s="48" t="s">
        <v>2101</v>
      </c>
      <c r="G140" s="48" t="s">
        <v>3058</v>
      </c>
      <c r="H140" s="48" t="s">
        <v>1649</v>
      </c>
      <c r="I140" s="48" t="s">
        <v>2009</v>
      </c>
      <c r="J140" s="247" t="s">
        <v>2009</v>
      </c>
      <c r="K140" s="247" t="s">
        <v>1648</v>
      </c>
    </row>
    <row r="141" spans="1:11" ht="13.5" thickBot="1" x14ac:dyDescent="0.25">
      <c r="A141" s="48" t="s">
        <v>736</v>
      </c>
      <c r="B141" s="224" t="s">
        <v>735</v>
      </c>
      <c r="C141" s="48" t="s">
        <v>17</v>
      </c>
      <c r="D141" s="226">
        <v>6033</v>
      </c>
      <c r="E141" s="48" t="s">
        <v>2905</v>
      </c>
      <c r="F141" s="48" t="s">
        <v>2101</v>
      </c>
      <c r="G141" s="48" t="s">
        <v>3058</v>
      </c>
      <c r="H141" s="48" t="s">
        <v>1648</v>
      </c>
      <c r="I141" s="48" t="s">
        <v>2545</v>
      </c>
      <c r="J141" s="246" t="s">
        <v>3064</v>
      </c>
      <c r="K141" s="247" t="s">
        <v>1612</v>
      </c>
    </row>
    <row r="142" spans="1:11" ht="13.5" thickBot="1" x14ac:dyDescent="0.25">
      <c r="A142" s="48" t="s">
        <v>744</v>
      </c>
      <c r="B142" s="224" t="s">
        <v>743</v>
      </c>
      <c r="C142" s="48" t="s">
        <v>17</v>
      </c>
      <c r="D142" s="226">
        <v>4576</v>
      </c>
      <c r="E142" s="48" t="s">
        <v>2913</v>
      </c>
      <c r="F142" s="48" t="s">
        <v>2057</v>
      </c>
      <c r="G142" s="48" t="s">
        <v>3072</v>
      </c>
      <c r="H142" s="48" t="s">
        <v>1648</v>
      </c>
      <c r="I142" s="48" t="s">
        <v>2545</v>
      </c>
      <c r="J142" s="246" t="s">
        <v>3078</v>
      </c>
      <c r="K142" s="247" t="s">
        <v>1648</v>
      </c>
    </row>
    <row r="143" spans="1:11" ht="13.5" thickBot="1" x14ac:dyDescent="0.25">
      <c r="A143" s="48" t="s">
        <v>758</v>
      </c>
      <c r="B143" s="224" t="s">
        <v>757</v>
      </c>
      <c r="C143" s="48" t="s">
        <v>17</v>
      </c>
      <c r="D143" s="226">
        <v>4757</v>
      </c>
      <c r="E143" s="48" t="s">
        <v>3361</v>
      </c>
      <c r="F143" s="48" t="s">
        <v>2010</v>
      </c>
      <c r="G143" s="48" t="s">
        <v>3144</v>
      </c>
      <c r="H143" s="48" t="s">
        <v>1648</v>
      </c>
      <c r="I143" s="48" t="s">
        <v>2545</v>
      </c>
      <c r="J143" s="247" t="s">
        <v>3362</v>
      </c>
      <c r="K143" s="247" t="s">
        <v>1648</v>
      </c>
    </row>
    <row r="144" spans="1:11" ht="13.5" thickBot="1" x14ac:dyDescent="0.25">
      <c r="A144" s="48" t="s">
        <v>764</v>
      </c>
      <c r="B144" s="224" t="s">
        <v>763</v>
      </c>
      <c r="C144" s="48" t="s">
        <v>17</v>
      </c>
      <c r="D144" s="226">
        <v>4614</v>
      </c>
      <c r="E144" s="48" t="s">
        <v>2938</v>
      </c>
      <c r="F144" s="48" t="s">
        <v>2215</v>
      </c>
      <c r="G144" s="48" t="s">
        <v>3055</v>
      </c>
      <c r="H144" s="48" t="s">
        <v>1649</v>
      </c>
      <c r="I144" s="48" t="s">
        <v>2009</v>
      </c>
      <c r="J144" s="247" t="s">
        <v>2009</v>
      </c>
      <c r="K144" s="247" t="s">
        <v>2009</v>
      </c>
    </row>
    <row r="145" spans="1:11" ht="13.5" thickBot="1" x14ac:dyDescent="0.25">
      <c r="A145" s="48" t="s">
        <v>774</v>
      </c>
      <c r="B145" s="224" t="s">
        <v>773</v>
      </c>
      <c r="C145" s="48" t="s">
        <v>17</v>
      </c>
      <c r="D145" s="226">
        <v>6999</v>
      </c>
      <c r="E145" s="48" t="s">
        <v>3445</v>
      </c>
      <c r="F145" s="48" t="s">
        <v>1940</v>
      </c>
      <c r="G145" s="48" t="s">
        <v>3098</v>
      </c>
      <c r="H145" s="48" t="s">
        <v>1649</v>
      </c>
      <c r="I145" s="48" t="s">
        <v>2009</v>
      </c>
      <c r="J145" s="247" t="s">
        <v>2009</v>
      </c>
      <c r="K145" s="247" t="s">
        <v>1612</v>
      </c>
    </row>
    <row r="146" spans="1:11" ht="13.5" thickBot="1" x14ac:dyDescent="0.25">
      <c r="A146" s="48" t="s">
        <v>784</v>
      </c>
      <c r="B146" s="224" t="s">
        <v>783</v>
      </c>
      <c r="C146" s="48" t="s">
        <v>17</v>
      </c>
      <c r="D146" s="226">
        <v>4837</v>
      </c>
      <c r="E146" s="48" t="s">
        <v>2958</v>
      </c>
      <c r="F146" s="48" t="s">
        <v>2057</v>
      </c>
      <c r="G146" s="48" t="s">
        <v>3072</v>
      </c>
      <c r="H146" s="48" t="s">
        <v>1648</v>
      </c>
      <c r="I146" s="48" t="s">
        <v>2545</v>
      </c>
      <c r="J146" s="246" t="s">
        <v>3079</v>
      </c>
      <c r="K146" s="247" t="s">
        <v>1612</v>
      </c>
    </row>
    <row r="147" spans="1:11" ht="13.5" thickBot="1" x14ac:dyDescent="0.25">
      <c r="A147" s="48" t="s">
        <v>802</v>
      </c>
      <c r="B147" s="224" t="s">
        <v>801</v>
      </c>
      <c r="C147" s="48" t="s">
        <v>17</v>
      </c>
      <c r="D147" s="226">
        <v>5240</v>
      </c>
      <c r="E147" s="48" t="s">
        <v>2979</v>
      </c>
      <c r="F147" s="48" t="s">
        <v>2126</v>
      </c>
      <c r="G147" s="48" t="s">
        <v>3061</v>
      </c>
      <c r="H147" s="48" t="s">
        <v>1648</v>
      </c>
      <c r="I147" s="48" t="s">
        <v>2545</v>
      </c>
      <c r="J147" s="247" t="s">
        <v>3234</v>
      </c>
      <c r="K147" s="247" t="s">
        <v>1648</v>
      </c>
    </row>
    <row r="148" spans="1:11" ht="13.5" thickBot="1" x14ac:dyDescent="0.25">
      <c r="A148" s="48" t="s">
        <v>24</v>
      </c>
      <c r="B148" s="224" t="s">
        <v>23</v>
      </c>
      <c r="C148" s="48" t="s">
        <v>25</v>
      </c>
      <c r="D148" s="226">
        <v>7410</v>
      </c>
      <c r="E148" s="48" t="s">
        <v>3446</v>
      </c>
      <c r="F148" s="48" t="s">
        <v>1953</v>
      </c>
      <c r="G148" s="48" t="s">
        <v>3058</v>
      </c>
      <c r="H148" s="48" t="s">
        <v>1649</v>
      </c>
      <c r="I148" s="48" t="s">
        <v>2009</v>
      </c>
      <c r="J148" s="247" t="s">
        <v>2009</v>
      </c>
      <c r="K148" s="247" t="s">
        <v>2009</v>
      </c>
    </row>
    <row r="149" spans="1:11" ht="13.5" thickBot="1" x14ac:dyDescent="0.25">
      <c r="A149" s="48" t="s">
        <v>27</v>
      </c>
      <c r="B149" s="224" t="s">
        <v>26</v>
      </c>
      <c r="C149" s="48" t="s">
        <v>25</v>
      </c>
      <c r="D149" s="226">
        <v>11600</v>
      </c>
      <c r="E149" s="48" t="s">
        <v>3230</v>
      </c>
      <c r="F149" s="48" t="s">
        <v>1958</v>
      </c>
      <c r="G149" s="48" t="s">
        <v>3053</v>
      </c>
      <c r="H149" s="48" t="s">
        <v>1648</v>
      </c>
      <c r="I149" s="48" t="s">
        <v>2545</v>
      </c>
      <c r="J149" s="247" t="s">
        <v>3231</v>
      </c>
      <c r="K149" s="247" t="s">
        <v>1648</v>
      </c>
    </row>
    <row r="150" spans="1:11" ht="26.25" thickBot="1" x14ac:dyDescent="0.25">
      <c r="A150" s="48" t="s">
        <v>29</v>
      </c>
      <c r="B150" s="224" t="s">
        <v>28</v>
      </c>
      <c r="C150" s="48" t="s">
        <v>25</v>
      </c>
      <c r="D150" s="226">
        <v>11569</v>
      </c>
      <c r="E150" s="48" t="s">
        <v>3160</v>
      </c>
      <c r="F150" s="48" t="s">
        <v>1960</v>
      </c>
      <c r="G150" s="48" t="s">
        <v>3061</v>
      </c>
      <c r="H150" s="48" t="s">
        <v>1648</v>
      </c>
      <c r="I150" s="48" t="s">
        <v>2545</v>
      </c>
      <c r="J150" s="247" t="s">
        <v>3161</v>
      </c>
      <c r="K150" s="247" t="s">
        <v>1612</v>
      </c>
    </row>
    <row r="151" spans="1:11" ht="13.5" thickBot="1" x14ac:dyDescent="0.25">
      <c r="A151" s="48" t="s">
        <v>31</v>
      </c>
      <c r="B151" s="224" t="s">
        <v>30</v>
      </c>
      <c r="C151" s="48" t="s">
        <v>25</v>
      </c>
      <c r="D151" s="226">
        <v>9706</v>
      </c>
      <c r="E151" s="48" t="s">
        <v>1965</v>
      </c>
      <c r="F151" s="48" t="s">
        <v>1964</v>
      </c>
      <c r="G151" s="48" t="s">
        <v>3077</v>
      </c>
      <c r="H151" s="48" t="s">
        <v>1649</v>
      </c>
      <c r="I151" s="48" t="s">
        <v>2009</v>
      </c>
      <c r="J151" s="247" t="s">
        <v>2009</v>
      </c>
      <c r="K151" s="247" t="s">
        <v>1612</v>
      </c>
    </row>
    <row r="152" spans="1:11" ht="13.5" thickBot="1" x14ac:dyDescent="0.25">
      <c r="A152" s="48" t="s">
        <v>43</v>
      </c>
      <c r="B152" s="224" t="s">
        <v>42</v>
      </c>
      <c r="C152" s="48" t="s">
        <v>25</v>
      </c>
      <c r="D152" s="226">
        <v>11902</v>
      </c>
      <c r="E152" s="48" t="s">
        <v>3093</v>
      </c>
      <c r="F152" s="48" t="s">
        <v>1984</v>
      </c>
      <c r="G152" s="48" t="s">
        <v>3058</v>
      </c>
      <c r="H152" s="48" t="s">
        <v>1648</v>
      </c>
      <c r="I152" s="48" t="s">
        <v>2545</v>
      </c>
      <c r="J152" s="246" t="s">
        <v>3094</v>
      </c>
      <c r="K152" s="247" t="s">
        <v>1648</v>
      </c>
    </row>
    <row r="153" spans="1:11" ht="13.5" thickBot="1" x14ac:dyDescent="0.25">
      <c r="A153" s="48" t="s">
        <v>51</v>
      </c>
      <c r="B153" s="224" t="s">
        <v>50</v>
      </c>
      <c r="C153" s="48" t="s">
        <v>25</v>
      </c>
      <c r="D153" s="226">
        <v>11000</v>
      </c>
      <c r="E153" s="48" t="s">
        <v>3095</v>
      </c>
      <c r="F153" s="48" t="s">
        <v>2002</v>
      </c>
      <c r="G153" s="48" t="s">
        <v>3074</v>
      </c>
      <c r="H153" s="48" t="s">
        <v>1648</v>
      </c>
      <c r="I153" s="48" t="s">
        <v>2545</v>
      </c>
      <c r="J153" s="246" t="s">
        <v>3092</v>
      </c>
      <c r="K153" s="247" t="s">
        <v>1648</v>
      </c>
    </row>
    <row r="154" spans="1:11" ht="13.5" thickBot="1" x14ac:dyDescent="0.25">
      <c r="A154" s="48" t="s">
        <v>66</v>
      </c>
      <c r="B154" s="224" t="s">
        <v>65</v>
      </c>
      <c r="C154" s="48" t="s">
        <v>25</v>
      </c>
      <c r="D154" s="226">
        <v>7172</v>
      </c>
      <c r="E154" s="48" t="s">
        <v>3192</v>
      </c>
      <c r="F154" s="48" t="s">
        <v>2022</v>
      </c>
      <c r="G154" s="48" t="s">
        <v>3072</v>
      </c>
      <c r="H154" s="48" t="s">
        <v>1648</v>
      </c>
      <c r="I154" s="48" t="s">
        <v>2545</v>
      </c>
      <c r="J154" s="247" t="s">
        <v>3193</v>
      </c>
      <c r="K154" s="247" t="s">
        <v>1648</v>
      </c>
    </row>
    <row r="155" spans="1:11" ht="13.5" thickBot="1" x14ac:dyDescent="0.25">
      <c r="A155" s="48" t="s">
        <v>76</v>
      </c>
      <c r="B155" s="224" t="s">
        <v>75</v>
      </c>
      <c r="C155" s="48" t="s">
        <v>25</v>
      </c>
      <c r="D155" s="226">
        <v>11598</v>
      </c>
      <c r="E155" s="48" t="s">
        <v>3235</v>
      </c>
      <c r="F155" s="48" t="s">
        <v>2037</v>
      </c>
      <c r="G155" s="48" t="s">
        <v>3061</v>
      </c>
      <c r="H155" s="48" t="s">
        <v>1648</v>
      </c>
      <c r="I155" s="48" t="s">
        <v>2545</v>
      </c>
      <c r="J155" s="247" t="s">
        <v>3234</v>
      </c>
      <c r="K155" s="247" t="s">
        <v>1648</v>
      </c>
    </row>
    <row r="156" spans="1:11" ht="13.5" thickBot="1" x14ac:dyDescent="0.25">
      <c r="A156" s="48" t="s">
        <v>96</v>
      </c>
      <c r="B156" s="224" t="s">
        <v>95</v>
      </c>
      <c r="C156" s="48" t="s">
        <v>25</v>
      </c>
      <c r="D156" s="226">
        <v>9197</v>
      </c>
      <c r="E156" s="48" t="s">
        <v>3397</v>
      </c>
      <c r="F156" s="48" t="s">
        <v>2057</v>
      </c>
      <c r="G156" s="48" t="s">
        <v>3072</v>
      </c>
      <c r="H156" s="48" t="s">
        <v>1648</v>
      </c>
      <c r="I156" s="48" t="s">
        <v>2545</v>
      </c>
      <c r="J156" s="247" t="s">
        <v>3398</v>
      </c>
      <c r="K156" s="247" t="s">
        <v>1612</v>
      </c>
    </row>
    <row r="157" spans="1:11" ht="13.5" thickBot="1" x14ac:dyDescent="0.25">
      <c r="A157" s="48" t="s">
        <v>106</v>
      </c>
      <c r="B157" s="224" t="s">
        <v>105</v>
      </c>
      <c r="C157" s="48" t="s">
        <v>25</v>
      </c>
      <c r="D157" s="226">
        <v>11825</v>
      </c>
      <c r="E157" s="48" t="s">
        <v>3125</v>
      </c>
      <c r="F157" s="48" t="s">
        <v>1940</v>
      </c>
      <c r="G157" s="48" t="s">
        <v>3098</v>
      </c>
      <c r="H157" s="48" t="s">
        <v>1648</v>
      </c>
      <c r="I157" s="48" t="s">
        <v>2545</v>
      </c>
      <c r="J157" s="246" t="s">
        <v>3126</v>
      </c>
      <c r="K157" s="247" t="s">
        <v>1612</v>
      </c>
    </row>
    <row r="158" spans="1:11" ht="13.5" thickBot="1" x14ac:dyDescent="0.25">
      <c r="A158" s="48" t="s">
        <v>110</v>
      </c>
      <c r="B158" s="224" t="s">
        <v>109</v>
      </c>
      <c r="C158" s="48" t="s">
        <v>25</v>
      </c>
      <c r="D158" s="226">
        <v>7226</v>
      </c>
      <c r="E158" s="48" t="s">
        <v>3111</v>
      </c>
      <c r="F158" s="48" t="s">
        <v>2045</v>
      </c>
      <c r="G158" s="48" t="s">
        <v>3077</v>
      </c>
      <c r="H158" s="48" t="s">
        <v>1648</v>
      </c>
      <c r="I158" s="48" t="s">
        <v>2545</v>
      </c>
      <c r="J158" s="246" t="s">
        <v>3112</v>
      </c>
      <c r="K158" s="247" t="s">
        <v>2009</v>
      </c>
    </row>
    <row r="159" spans="1:11" ht="13.5" thickBot="1" x14ac:dyDescent="0.25">
      <c r="A159" s="48" t="s">
        <v>128</v>
      </c>
      <c r="B159" s="224" t="s">
        <v>127</v>
      </c>
      <c r="C159" s="48" t="s">
        <v>25</v>
      </c>
      <c r="D159" s="226">
        <v>10090</v>
      </c>
      <c r="E159" s="48" t="s">
        <v>3104</v>
      </c>
      <c r="F159" s="48" t="s">
        <v>2057</v>
      </c>
      <c r="G159" s="48" t="s">
        <v>3072</v>
      </c>
      <c r="H159" s="48" t="s">
        <v>1648</v>
      </c>
      <c r="I159" s="48" t="s">
        <v>2545</v>
      </c>
      <c r="J159" s="246" t="s">
        <v>3105</v>
      </c>
      <c r="K159" s="247" t="s">
        <v>1648</v>
      </c>
    </row>
    <row r="160" spans="1:11" ht="13.5" thickBot="1" x14ac:dyDescent="0.25">
      <c r="A160" s="48" t="s">
        <v>130</v>
      </c>
      <c r="B160" s="224" t="s">
        <v>129</v>
      </c>
      <c r="C160" s="48" t="s">
        <v>25</v>
      </c>
      <c r="D160" s="226">
        <v>9705</v>
      </c>
      <c r="E160" s="48" t="s">
        <v>3447</v>
      </c>
      <c r="F160" s="48" t="s">
        <v>2122</v>
      </c>
      <c r="G160" s="48" t="s">
        <v>3058</v>
      </c>
      <c r="H160" s="48" t="s">
        <v>1649</v>
      </c>
      <c r="I160" s="48" t="s">
        <v>2009</v>
      </c>
      <c r="J160" s="247" t="s">
        <v>2009</v>
      </c>
      <c r="K160" s="247" t="s">
        <v>2009</v>
      </c>
    </row>
    <row r="161" spans="1:11" ht="13.5" thickBot="1" x14ac:dyDescent="0.25">
      <c r="A161" s="48" t="s">
        <v>136</v>
      </c>
      <c r="B161" s="224" t="s">
        <v>135</v>
      </c>
      <c r="C161" s="48" t="s">
        <v>25</v>
      </c>
      <c r="D161" s="226">
        <v>8692</v>
      </c>
      <c r="E161" s="48" t="s">
        <v>2132</v>
      </c>
      <c r="F161" s="48" t="s">
        <v>2131</v>
      </c>
      <c r="G161" s="48" t="s">
        <v>3053</v>
      </c>
      <c r="H161" s="48" t="s">
        <v>1648</v>
      </c>
      <c r="I161" s="48" t="s">
        <v>2545</v>
      </c>
      <c r="J161" s="246">
        <v>1</v>
      </c>
      <c r="K161" s="247" t="s">
        <v>1612</v>
      </c>
    </row>
    <row r="162" spans="1:11" ht="13.5" thickBot="1" x14ac:dyDescent="0.25">
      <c r="A162" s="48" t="s">
        <v>144</v>
      </c>
      <c r="B162" s="224" t="s">
        <v>143</v>
      </c>
      <c r="C162" s="48" t="s">
        <v>25</v>
      </c>
      <c r="D162" s="226">
        <v>11833</v>
      </c>
      <c r="E162" s="48" t="s">
        <v>3203</v>
      </c>
      <c r="F162" s="48" t="s">
        <v>2122</v>
      </c>
      <c r="G162" s="48" t="s">
        <v>3058</v>
      </c>
      <c r="H162" s="48" t="s">
        <v>1648</v>
      </c>
      <c r="I162" s="48" t="s">
        <v>2545</v>
      </c>
      <c r="J162" s="247" t="s">
        <v>3204</v>
      </c>
      <c r="K162" s="247" t="s">
        <v>1648</v>
      </c>
    </row>
    <row r="163" spans="1:11" ht="13.5" thickBot="1" x14ac:dyDescent="0.25">
      <c r="A163" s="48" t="s">
        <v>148</v>
      </c>
      <c r="B163" s="224" t="s">
        <v>147</v>
      </c>
      <c r="C163" s="48" t="s">
        <v>25</v>
      </c>
      <c r="D163" s="226">
        <v>10857</v>
      </c>
      <c r="E163" s="48" t="s">
        <v>3368</v>
      </c>
      <c r="F163" s="48" t="s">
        <v>2148</v>
      </c>
      <c r="G163" s="48" t="s">
        <v>3074</v>
      </c>
      <c r="H163" s="48" t="s">
        <v>1648</v>
      </c>
      <c r="I163" s="48" t="s">
        <v>2545</v>
      </c>
      <c r="J163" s="247" t="s">
        <v>3369</v>
      </c>
      <c r="K163" s="247" t="s">
        <v>1648</v>
      </c>
    </row>
    <row r="164" spans="1:11" ht="13.5" thickBot="1" x14ac:dyDescent="0.25">
      <c r="A164" s="48" t="s">
        <v>152</v>
      </c>
      <c r="B164" s="224" t="s">
        <v>151</v>
      </c>
      <c r="C164" s="48" t="s">
        <v>25</v>
      </c>
      <c r="D164" s="226">
        <v>9483</v>
      </c>
      <c r="E164" s="48" t="s">
        <v>3448</v>
      </c>
      <c r="F164" s="48" t="s">
        <v>2155</v>
      </c>
      <c r="G164" s="48" t="s">
        <v>3074</v>
      </c>
      <c r="H164" s="48" t="s">
        <v>1649</v>
      </c>
      <c r="I164" s="48" t="s">
        <v>2009</v>
      </c>
      <c r="J164" s="247" t="s">
        <v>2009</v>
      </c>
      <c r="K164" s="247" t="s">
        <v>1648</v>
      </c>
    </row>
    <row r="165" spans="1:11" ht="13.5" thickBot="1" x14ac:dyDescent="0.25">
      <c r="A165" s="48" t="s">
        <v>154</v>
      </c>
      <c r="B165" s="224" t="s">
        <v>153</v>
      </c>
      <c r="C165" s="48" t="s">
        <v>25</v>
      </c>
      <c r="D165" s="226">
        <v>8257</v>
      </c>
      <c r="E165" s="48" t="s">
        <v>3309</v>
      </c>
      <c r="F165" s="48" t="s">
        <v>2010</v>
      </c>
      <c r="G165" s="48" t="s">
        <v>3144</v>
      </c>
      <c r="H165" s="48" t="s">
        <v>1648</v>
      </c>
      <c r="I165" s="48" t="s">
        <v>2545</v>
      </c>
      <c r="J165" s="247" t="s">
        <v>3310</v>
      </c>
      <c r="K165" s="247" t="s">
        <v>1612</v>
      </c>
    </row>
    <row r="166" spans="1:11" ht="13.5" thickBot="1" x14ac:dyDescent="0.25">
      <c r="A166" s="48" t="s">
        <v>160</v>
      </c>
      <c r="B166" s="224" t="s">
        <v>159</v>
      </c>
      <c r="C166" s="48" t="s">
        <v>25</v>
      </c>
      <c r="D166" s="226">
        <v>9810</v>
      </c>
      <c r="E166" s="48" t="s">
        <v>2045</v>
      </c>
      <c r="F166" s="48" t="s">
        <v>2045</v>
      </c>
      <c r="G166" s="48" t="s">
        <v>3077</v>
      </c>
      <c r="H166" s="48" t="s">
        <v>1648</v>
      </c>
      <c r="I166" s="48" t="s">
        <v>2545</v>
      </c>
      <c r="J166" s="247" t="s">
        <v>3188</v>
      </c>
      <c r="K166" s="247" t="s">
        <v>1648</v>
      </c>
    </row>
    <row r="167" spans="1:11" ht="13.5" thickBot="1" x14ac:dyDescent="0.25">
      <c r="A167" s="48" t="s">
        <v>196</v>
      </c>
      <c r="B167" s="224" t="s">
        <v>195</v>
      </c>
      <c r="C167" s="48" t="s">
        <v>25</v>
      </c>
      <c r="D167" s="226">
        <v>11862</v>
      </c>
      <c r="E167" s="48" t="s">
        <v>3106</v>
      </c>
      <c r="F167" s="48" t="s">
        <v>1980</v>
      </c>
      <c r="G167" s="48" t="s">
        <v>3074</v>
      </c>
      <c r="H167" s="48" t="s">
        <v>1648</v>
      </c>
      <c r="I167" s="48" t="s">
        <v>2545</v>
      </c>
      <c r="J167" s="246" t="s">
        <v>3107</v>
      </c>
      <c r="K167" s="247" t="s">
        <v>1612</v>
      </c>
    </row>
    <row r="168" spans="1:11" ht="13.5" thickBot="1" x14ac:dyDescent="0.25">
      <c r="A168" s="48" t="s">
        <v>220</v>
      </c>
      <c r="B168" s="224" t="s">
        <v>219</v>
      </c>
      <c r="C168" s="48" t="s">
        <v>25</v>
      </c>
      <c r="D168" s="226">
        <v>10021</v>
      </c>
      <c r="E168" s="48" t="s">
        <v>3301</v>
      </c>
      <c r="F168" s="48" t="s">
        <v>2264</v>
      </c>
      <c r="G168" s="48" t="s">
        <v>3061</v>
      </c>
      <c r="H168" s="48" t="s">
        <v>1648</v>
      </c>
      <c r="I168" s="48" t="s">
        <v>2545</v>
      </c>
      <c r="J168" s="247" t="s">
        <v>3300</v>
      </c>
      <c r="K168" s="247" t="s">
        <v>1612</v>
      </c>
    </row>
    <row r="169" spans="1:11" ht="13.5" thickBot="1" x14ac:dyDescent="0.25">
      <c r="A169" s="48" t="s">
        <v>232</v>
      </c>
      <c r="B169" s="224" t="s">
        <v>231</v>
      </c>
      <c r="C169" s="48" t="s">
        <v>25</v>
      </c>
      <c r="D169" s="226">
        <v>7439</v>
      </c>
      <c r="E169" s="48" t="s">
        <v>2283</v>
      </c>
      <c r="F169" s="48" t="s">
        <v>1973</v>
      </c>
      <c r="G169" s="48" t="s">
        <v>3074</v>
      </c>
      <c r="H169" s="48" t="s">
        <v>1649</v>
      </c>
      <c r="I169" s="48" t="s">
        <v>2009</v>
      </c>
      <c r="J169" s="247" t="s">
        <v>2009</v>
      </c>
      <c r="K169" s="247" t="s">
        <v>1612</v>
      </c>
    </row>
    <row r="170" spans="1:11" ht="13.5" thickBot="1" x14ac:dyDescent="0.25">
      <c r="A170" s="48" t="s">
        <v>246</v>
      </c>
      <c r="B170" s="224" t="s">
        <v>245</v>
      </c>
      <c r="C170" s="48" t="s">
        <v>25</v>
      </c>
      <c r="D170" s="226">
        <v>7392</v>
      </c>
      <c r="E170" s="48" t="s">
        <v>3080</v>
      </c>
      <c r="F170" s="48" t="s">
        <v>2057</v>
      </c>
      <c r="G170" s="48" t="s">
        <v>3072</v>
      </c>
      <c r="H170" s="48" t="s">
        <v>1648</v>
      </c>
      <c r="I170" s="48" t="s">
        <v>2545</v>
      </c>
      <c r="J170" s="246" t="s">
        <v>3079</v>
      </c>
      <c r="K170" s="247" t="s">
        <v>1612</v>
      </c>
    </row>
    <row r="171" spans="1:11" ht="13.5" thickBot="1" x14ac:dyDescent="0.25">
      <c r="A171" s="48" t="s">
        <v>250</v>
      </c>
      <c r="B171" s="224" t="s">
        <v>249</v>
      </c>
      <c r="C171" s="48" t="s">
        <v>25</v>
      </c>
      <c r="D171" s="226">
        <v>9512</v>
      </c>
      <c r="E171" s="48" t="s">
        <v>3449</v>
      </c>
      <c r="F171" s="48" t="s">
        <v>1979</v>
      </c>
      <c r="G171" s="48" t="s">
        <v>3098</v>
      </c>
      <c r="H171" s="48" t="s">
        <v>1649</v>
      </c>
      <c r="I171" s="48" t="s">
        <v>2009</v>
      </c>
      <c r="J171" s="247" t="s">
        <v>2009</v>
      </c>
      <c r="K171" s="247" t="s">
        <v>2009</v>
      </c>
    </row>
    <row r="172" spans="1:11" ht="13.5" thickBot="1" x14ac:dyDescent="0.25">
      <c r="A172" s="48" t="s">
        <v>262</v>
      </c>
      <c r="B172" s="224" t="s">
        <v>261</v>
      </c>
      <c r="C172" s="48" t="s">
        <v>25</v>
      </c>
      <c r="D172" s="226">
        <v>7717</v>
      </c>
      <c r="E172" s="48" t="s">
        <v>3450</v>
      </c>
      <c r="F172" s="48" t="s">
        <v>2316</v>
      </c>
      <c r="G172" s="48" t="s">
        <v>3059</v>
      </c>
      <c r="H172" s="48" t="s">
        <v>1649</v>
      </c>
      <c r="I172" s="48" t="s">
        <v>2009</v>
      </c>
      <c r="J172" s="247" t="s">
        <v>2009</v>
      </c>
      <c r="K172" s="247" t="s">
        <v>1648</v>
      </c>
    </row>
    <row r="173" spans="1:11" ht="13.5" thickBot="1" x14ac:dyDescent="0.25">
      <c r="A173" s="48" t="s">
        <v>284</v>
      </c>
      <c r="B173" s="224" t="s">
        <v>283</v>
      </c>
      <c r="C173" s="48" t="s">
        <v>25</v>
      </c>
      <c r="D173" s="226">
        <v>7824</v>
      </c>
      <c r="E173" s="48" t="s">
        <v>2356</v>
      </c>
      <c r="F173" s="48" t="s">
        <v>2101</v>
      </c>
      <c r="G173" s="48" t="s">
        <v>3058</v>
      </c>
      <c r="H173" s="48" t="s">
        <v>1648</v>
      </c>
      <c r="I173" s="48" t="s">
        <v>2545</v>
      </c>
      <c r="J173" s="247" t="s">
        <v>3382</v>
      </c>
      <c r="K173" s="247" t="s">
        <v>1612</v>
      </c>
    </row>
    <row r="174" spans="1:11" ht="13.5" thickBot="1" x14ac:dyDescent="0.25">
      <c r="A174" s="48" t="s">
        <v>296</v>
      </c>
      <c r="B174" s="224" t="s">
        <v>295</v>
      </c>
      <c r="C174" s="48" t="s">
        <v>25</v>
      </c>
      <c r="D174" s="226">
        <v>9476</v>
      </c>
      <c r="E174" s="48" t="s">
        <v>3236</v>
      </c>
      <c r="F174" s="48" t="s">
        <v>2022</v>
      </c>
      <c r="G174" s="48" t="s">
        <v>3072</v>
      </c>
      <c r="H174" s="48" t="s">
        <v>1648</v>
      </c>
      <c r="I174" s="48" t="s">
        <v>2545</v>
      </c>
      <c r="J174" s="247" t="s">
        <v>3234</v>
      </c>
      <c r="K174" s="247" t="s">
        <v>1648</v>
      </c>
    </row>
    <row r="175" spans="1:11" ht="13.5" thickBot="1" x14ac:dyDescent="0.25">
      <c r="A175" s="48" t="s">
        <v>302</v>
      </c>
      <c r="B175" s="224" t="s">
        <v>301</v>
      </c>
      <c r="C175" s="48" t="s">
        <v>25</v>
      </c>
      <c r="D175" s="226">
        <v>10983</v>
      </c>
      <c r="E175" s="48" t="s">
        <v>3451</v>
      </c>
      <c r="F175" s="48" t="s">
        <v>1980</v>
      </c>
      <c r="G175" s="48" t="s">
        <v>3074</v>
      </c>
      <c r="H175" s="48" t="s">
        <v>1649</v>
      </c>
      <c r="I175" s="48" t="s">
        <v>2009</v>
      </c>
      <c r="J175" s="247" t="s">
        <v>2009</v>
      </c>
      <c r="K175" s="247" t="s">
        <v>1648</v>
      </c>
    </row>
    <row r="176" spans="1:11" ht="13.5" thickBot="1" x14ac:dyDescent="0.25">
      <c r="A176" s="48" t="s">
        <v>310</v>
      </c>
      <c r="B176" s="224" t="s">
        <v>309</v>
      </c>
      <c r="C176" s="48" t="s">
        <v>25</v>
      </c>
      <c r="D176" s="226">
        <v>11239</v>
      </c>
      <c r="E176" s="48" t="s">
        <v>3260</v>
      </c>
      <c r="F176" s="48" t="s">
        <v>2262</v>
      </c>
      <c r="G176" s="48" t="s">
        <v>3053</v>
      </c>
      <c r="H176" s="48" t="s">
        <v>1648</v>
      </c>
      <c r="I176" s="48" t="s">
        <v>2545</v>
      </c>
      <c r="J176" s="247" t="s">
        <v>3261</v>
      </c>
      <c r="K176" s="247" t="s">
        <v>1648</v>
      </c>
    </row>
    <row r="177" spans="1:11" ht="13.5" thickBot="1" x14ac:dyDescent="0.25">
      <c r="A177" s="48" t="s">
        <v>324</v>
      </c>
      <c r="B177" s="224" t="s">
        <v>323</v>
      </c>
      <c r="C177" s="48" t="s">
        <v>25</v>
      </c>
      <c r="D177" s="226">
        <v>8875</v>
      </c>
      <c r="E177" s="48" t="s">
        <v>3311</v>
      </c>
      <c r="F177" s="48" t="s">
        <v>2237</v>
      </c>
      <c r="G177" s="48" t="s">
        <v>3074</v>
      </c>
      <c r="H177" s="48" t="s">
        <v>1648</v>
      </c>
      <c r="I177" s="48" t="s">
        <v>2545</v>
      </c>
      <c r="J177" s="247" t="s">
        <v>3312</v>
      </c>
      <c r="K177" s="247" t="s">
        <v>2009</v>
      </c>
    </row>
    <row r="178" spans="1:11" ht="13.5" thickBot="1" x14ac:dyDescent="0.25">
      <c r="A178" s="48" t="s">
        <v>342</v>
      </c>
      <c r="B178" s="224" t="s">
        <v>341</v>
      </c>
      <c r="C178" s="48" t="s">
        <v>25</v>
      </c>
      <c r="D178" s="226">
        <v>8133</v>
      </c>
      <c r="E178" s="48" t="s">
        <v>3452</v>
      </c>
      <c r="F178" s="48" t="s">
        <v>2442</v>
      </c>
      <c r="G178" s="48" t="s">
        <v>3059</v>
      </c>
      <c r="H178" s="48" t="s">
        <v>1649</v>
      </c>
      <c r="I178" s="48" t="s">
        <v>2009</v>
      </c>
      <c r="J178" s="247" t="s">
        <v>2009</v>
      </c>
      <c r="K178" s="247" t="s">
        <v>1648</v>
      </c>
    </row>
    <row r="179" spans="1:11" ht="13.5" thickBot="1" x14ac:dyDescent="0.25">
      <c r="A179" s="48" t="s">
        <v>350</v>
      </c>
      <c r="B179" s="224" t="s">
        <v>349</v>
      </c>
      <c r="C179" s="48" t="s">
        <v>25</v>
      </c>
      <c r="D179" s="226">
        <v>7135</v>
      </c>
      <c r="E179" s="48" t="s">
        <v>3280</v>
      </c>
      <c r="F179" s="48" t="s">
        <v>1973</v>
      </c>
      <c r="G179" s="48" t="s">
        <v>3074</v>
      </c>
      <c r="H179" s="48" t="s">
        <v>1648</v>
      </c>
      <c r="I179" s="48" t="s">
        <v>2545</v>
      </c>
      <c r="J179" s="247" t="s">
        <v>3279</v>
      </c>
      <c r="K179" s="247" t="s">
        <v>1612</v>
      </c>
    </row>
    <row r="180" spans="1:11" ht="13.5" thickBot="1" x14ac:dyDescent="0.25">
      <c r="A180" s="48" t="s">
        <v>358</v>
      </c>
      <c r="B180" s="224" t="s">
        <v>357</v>
      </c>
      <c r="C180" s="48" t="s">
        <v>25</v>
      </c>
      <c r="D180" s="226">
        <v>11870</v>
      </c>
      <c r="E180" s="48" t="s">
        <v>2134</v>
      </c>
      <c r="F180" s="48" t="s">
        <v>2134</v>
      </c>
      <c r="G180" s="48" t="s">
        <v>3061</v>
      </c>
      <c r="H180" s="48" t="s">
        <v>1648</v>
      </c>
      <c r="I180" s="48" t="s">
        <v>2545</v>
      </c>
      <c r="J180" s="246" t="s">
        <v>3094</v>
      </c>
      <c r="K180" s="247" t="s">
        <v>1648</v>
      </c>
    </row>
    <row r="181" spans="1:11" ht="13.5" thickBot="1" x14ac:dyDescent="0.25">
      <c r="A181" s="48" t="s">
        <v>378</v>
      </c>
      <c r="B181" s="224" t="s">
        <v>377</v>
      </c>
      <c r="C181" s="48" t="s">
        <v>25</v>
      </c>
      <c r="D181" s="226">
        <v>8764</v>
      </c>
      <c r="E181" s="48" t="s">
        <v>3453</v>
      </c>
      <c r="F181" s="48" t="s">
        <v>1940</v>
      </c>
      <c r="G181" s="48" t="s">
        <v>3098</v>
      </c>
      <c r="H181" s="48" t="s">
        <v>1649</v>
      </c>
      <c r="I181" s="48" t="s">
        <v>2009</v>
      </c>
      <c r="J181" s="247" t="s">
        <v>2009</v>
      </c>
      <c r="K181" s="247" t="s">
        <v>1648</v>
      </c>
    </row>
    <row r="182" spans="1:11" ht="13.5" thickBot="1" x14ac:dyDescent="0.25">
      <c r="A182" s="48" t="s">
        <v>410</v>
      </c>
      <c r="B182" s="224" t="s">
        <v>409</v>
      </c>
      <c r="C182" s="48" t="s">
        <v>25</v>
      </c>
      <c r="D182" s="226">
        <v>9555</v>
      </c>
      <c r="E182" s="48" t="s">
        <v>3454</v>
      </c>
      <c r="F182" s="48" t="s">
        <v>2215</v>
      </c>
      <c r="G182" s="48" t="s">
        <v>3055</v>
      </c>
      <c r="H182" s="48" t="s">
        <v>1649</v>
      </c>
      <c r="I182" s="48" t="s">
        <v>2009</v>
      </c>
      <c r="J182" s="247" t="s">
        <v>2009</v>
      </c>
      <c r="K182" s="247" t="s">
        <v>1648</v>
      </c>
    </row>
    <row r="183" spans="1:11" ht="13.5" thickBot="1" x14ac:dyDescent="0.25">
      <c r="A183" s="48" t="s">
        <v>408</v>
      </c>
      <c r="B183" s="224" t="s">
        <v>407</v>
      </c>
      <c r="C183" s="48" t="s">
        <v>25</v>
      </c>
      <c r="D183" s="226">
        <v>9533</v>
      </c>
      <c r="E183" s="48" t="s">
        <v>2518</v>
      </c>
      <c r="F183" s="48" t="s">
        <v>2517</v>
      </c>
      <c r="G183" s="48" t="s">
        <v>3053</v>
      </c>
      <c r="H183" s="48" t="s">
        <v>1649</v>
      </c>
      <c r="I183" s="48" t="s">
        <v>2009</v>
      </c>
      <c r="J183" s="247" t="s">
        <v>2009</v>
      </c>
      <c r="K183" s="247" t="s">
        <v>1648</v>
      </c>
    </row>
    <row r="184" spans="1:11" ht="13.5" thickBot="1" x14ac:dyDescent="0.25">
      <c r="A184" s="48" t="s">
        <v>433</v>
      </c>
      <c r="B184" s="224" t="s">
        <v>432</v>
      </c>
      <c r="C184" s="48" t="s">
        <v>25</v>
      </c>
      <c r="D184" s="226">
        <v>10470</v>
      </c>
      <c r="E184" s="48" t="s">
        <v>3146</v>
      </c>
      <c r="F184" s="48" t="s">
        <v>2010</v>
      </c>
      <c r="G184" s="48" t="s">
        <v>3144</v>
      </c>
      <c r="H184" s="48" t="s">
        <v>1648</v>
      </c>
      <c r="I184" s="48" t="s">
        <v>2545</v>
      </c>
      <c r="J184" s="246" t="s">
        <v>3145</v>
      </c>
      <c r="K184" s="247" t="s">
        <v>1612</v>
      </c>
    </row>
    <row r="185" spans="1:11" ht="13.5" thickBot="1" x14ac:dyDescent="0.25">
      <c r="A185" s="48" t="s">
        <v>446</v>
      </c>
      <c r="B185" s="224" t="s">
        <v>445</v>
      </c>
      <c r="C185" s="48" t="s">
        <v>25</v>
      </c>
      <c r="D185" s="226">
        <v>11581</v>
      </c>
      <c r="E185" s="48" t="s">
        <v>2781</v>
      </c>
      <c r="F185" s="48" t="s">
        <v>2010</v>
      </c>
      <c r="G185" s="48" t="s">
        <v>3144</v>
      </c>
      <c r="H185" s="48" t="s">
        <v>1648</v>
      </c>
      <c r="I185" s="48" t="s">
        <v>2545</v>
      </c>
      <c r="J185" s="247" t="s">
        <v>3326</v>
      </c>
      <c r="K185" s="247" t="s">
        <v>1612</v>
      </c>
    </row>
    <row r="186" spans="1:11" ht="13.5" thickBot="1" x14ac:dyDescent="0.25">
      <c r="A186" s="48" t="s">
        <v>468</v>
      </c>
      <c r="B186" s="224" t="s">
        <v>467</v>
      </c>
      <c r="C186" s="48" t="s">
        <v>25</v>
      </c>
      <c r="D186" s="226">
        <v>7312</v>
      </c>
      <c r="E186" s="48" t="s">
        <v>2579</v>
      </c>
      <c r="F186" s="48" t="s">
        <v>2006</v>
      </c>
      <c r="G186" s="48" t="s">
        <v>3098</v>
      </c>
      <c r="H186" s="48" t="s">
        <v>1648</v>
      </c>
      <c r="I186" s="48" t="s">
        <v>2545</v>
      </c>
      <c r="J186" s="247" t="s">
        <v>3351</v>
      </c>
      <c r="K186" s="247" t="s">
        <v>1612</v>
      </c>
    </row>
    <row r="187" spans="1:11" ht="13.5" thickBot="1" x14ac:dyDescent="0.25">
      <c r="A187" s="48" t="s">
        <v>474</v>
      </c>
      <c r="B187" s="224" t="s">
        <v>473</v>
      </c>
      <c r="C187" s="48" t="s">
        <v>25</v>
      </c>
      <c r="D187" s="226">
        <v>8344</v>
      </c>
      <c r="E187" s="48" t="s">
        <v>3455</v>
      </c>
      <c r="F187" s="48" t="s">
        <v>2583</v>
      </c>
      <c r="G187" s="48" t="s">
        <v>3053</v>
      </c>
      <c r="H187" s="48" t="s">
        <v>1649</v>
      </c>
      <c r="I187" s="48" t="s">
        <v>2009</v>
      </c>
      <c r="J187" s="247" t="s">
        <v>2009</v>
      </c>
      <c r="K187" s="247" t="s">
        <v>1648</v>
      </c>
    </row>
    <row r="188" spans="1:11" ht="13.5" thickBot="1" x14ac:dyDescent="0.25">
      <c r="A188" s="48" t="s">
        <v>492</v>
      </c>
      <c r="B188" s="224" t="s">
        <v>491</v>
      </c>
      <c r="C188" s="48" t="s">
        <v>25</v>
      </c>
      <c r="D188" s="226">
        <v>10715</v>
      </c>
      <c r="E188" s="48" t="s">
        <v>3456</v>
      </c>
      <c r="F188" s="48" t="s">
        <v>1979</v>
      </c>
      <c r="G188" s="48" t="s">
        <v>3098</v>
      </c>
      <c r="H188" s="48" t="s">
        <v>1649</v>
      </c>
      <c r="I188" s="48" t="s">
        <v>2009</v>
      </c>
      <c r="J188" s="247" t="s">
        <v>2009</v>
      </c>
      <c r="K188" s="247" t="s">
        <v>1612</v>
      </c>
    </row>
    <row r="189" spans="1:11" ht="13.5" thickBot="1" x14ac:dyDescent="0.25">
      <c r="A189" s="48" t="s">
        <v>504</v>
      </c>
      <c r="B189" s="224" t="s">
        <v>503</v>
      </c>
      <c r="C189" s="48" t="s">
        <v>25</v>
      </c>
      <c r="D189" s="226">
        <v>7424</v>
      </c>
      <c r="E189" s="48" t="s">
        <v>2620</v>
      </c>
      <c r="F189" s="48" t="s">
        <v>2122</v>
      </c>
      <c r="G189" s="48" t="s">
        <v>3058</v>
      </c>
      <c r="H189" s="48" t="s">
        <v>1649</v>
      </c>
      <c r="I189" s="48" t="s">
        <v>2009</v>
      </c>
      <c r="J189" s="247" t="s">
        <v>2009</v>
      </c>
      <c r="K189" s="247" t="s">
        <v>1612</v>
      </c>
    </row>
    <row r="190" spans="1:11" ht="13.5" thickBot="1" x14ac:dyDescent="0.25">
      <c r="A190" s="48" t="s">
        <v>510</v>
      </c>
      <c r="B190" s="224" t="s">
        <v>509</v>
      </c>
      <c r="C190" s="48" t="s">
        <v>25</v>
      </c>
      <c r="D190" s="226">
        <v>9765</v>
      </c>
      <c r="E190" s="48" t="s">
        <v>3457</v>
      </c>
      <c r="F190" s="48" t="s">
        <v>2625</v>
      </c>
      <c r="G190" s="48" t="s">
        <v>3077</v>
      </c>
      <c r="H190" s="48" t="s">
        <v>1649</v>
      </c>
      <c r="I190" s="48" t="s">
        <v>2009</v>
      </c>
      <c r="J190" s="247" t="s">
        <v>2009</v>
      </c>
      <c r="K190" s="247" t="s">
        <v>1612</v>
      </c>
    </row>
    <row r="191" spans="1:11" ht="13.5" thickBot="1" x14ac:dyDescent="0.25">
      <c r="A191" s="48" t="s">
        <v>520</v>
      </c>
      <c r="B191" s="224" t="s">
        <v>519</v>
      </c>
      <c r="C191" s="48" t="s">
        <v>25</v>
      </c>
      <c r="D191" s="226">
        <v>9623</v>
      </c>
      <c r="E191" s="48" t="s">
        <v>3237</v>
      </c>
      <c r="F191" s="48" t="s">
        <v>2641</v>
      </c>
      <c r="G191" s="48" t="s">
        <v>3053</v>
      </c>
      <c r="H191" s="48" t="s">
        <v>1648</v>
      </c>
      <c r="I191" s="48" t="s">
        <v>2545</v>
      </c>
      <c r="J191" s="247" t="s">
        <v>3238</v>
      </c>
      <c r="K191" s="247" t="s">
        <v>1648</v>
      </c>
    </row>
    <row r="192" spans="1:11" ht="13.5" thickBot="1" x14ac:dyDescent="0.25">
      <c r="A192" s="48" t="s">
        <v>524</v>
      </c>
      <c r="B192" s="224" t="s">
        <v>523</v>
      </c>
      <c r="C192" s="48" t="s">
        <v>25</v>
      </c>
      <c r="D192" s="226">
        <v>7656</v>
      </c>
      <c r="E192" s="48" t="s">
        <v>3329</v>
      </c>
      <c r="F192" s="48" t="s">
        <v>2349</v>
      </c>
      <c r="G192" s="48" t="s">
        <v>3053</v>
      </c>
      <c r="H192" s="48" t="s">
        <v>1648</v>
      </c>
      <c r="I192" s="48" t="s">
        <v>3056</v>
      </c>
      <c r="J192" s="247" t="s">
        <v>3330</v>
      </c>
      <c r="K192" s="247" t="s">
        <v>1648</v>
      </c>
    </row>
    <row r="193" spans="1:11" ht="13.5" thickBot="1" x14ac:dyDescent="0.25">
      <c r="A193" s="48" t="s">
        <v>536</v>
      </c>
      <c r="B193" s="224" t="s">
        <v>535</v>
      </c>
      <c r="C193" s="48" t="s">
        <v>25</v>
      </c>
      <c r="D193" s="226">
        <v>8354</v>
      </c>
      <c r="E193" s="48" t="s">
        <v>3458</v>
      </c>
      <c r="F193" s="48" t="s">
        <v>2006</v>
      </c>
      <c r="G193" s="48" t="s">
        <v>3098</v>
      </c>
      <c r="H193" s="48" t="s">
        <v>1649</v>
      </c>
      <c r="I193" s="48" t="s">
        <v>2009</v>
      </c>
      <c r="J193" s="247" t="s">
        <v>2009</v>
      </c>
      <c r="K193" s="247" t="s">
        <v>1648</v>
      </c>
    </row>
    <row r="194" spans="1:11" ht="13.5" thickBot="1" x14ac:dyDescent="0.25">
      <c r="A194" s="48" t="s">
        <v>554</v>
      </c>
      <c r="B194" s="224" t="s">
        <v>553</v>
      </c>
      <c r="C194" s="48" t="s">
        <v>25</v>
      </c>
      <c r="D194" s="226">
        <v>8640</v>
      </c>
      <c r="E194" s="48" t="s">
        <v>3459</v>
      </c>
      <c r="F194" s="48" t="s">
        <v>2679</v>
      </c>
      <c r="G194" s="48" t="s">
        <v>3077</v>
      </c>
      <c r="H194" s="48" t="s">
        <v>1649</v>
      </c>
      <c r="I194" s="48" t="s">
        <v>2009</v>
      </c>
      <c r="J194" s="247" t="s">
        <v>2009</v>
      </c>
      <c r="K194" s="247" t="s">
        <v>1612</v>
      </c>
    </row>
    <row r="195" spans="1:11" ht="13.5" thickBot="1" x14ac:dyDescent="0.25">
      <c r="A195" s="48" t="s">
        <v>564</v>
      </c>
      <c r="B195" s="224" t="s">
        <v>563</v>
      </c>
      <c r="C195" s="48" t="s">
        <v>25</v>
      </c>
      <c r="D195" s="226">
        <v>9969</v>
      </c>
      <c r="E195" s="48" t="s">
        <v>3335</v>
      </c>
      <c r="F195" s="48" t="s">
        <v>2022</v>
      </c>
      <c r="G195" s="48" t="s">
        <v>3072</v>
      </c>
      <c r="H195" s="48" t="s">
        <v>1648</v>
      </c>
      <c r="I195" s="48" t="s">
        <v>2545</v>
      </c>
      <c r="J195" s="247" t="s">
        <v>3336</v>
      </c>
      <c r="K195" s="247" t="s">
        <v>1612</v>
      </c>
    </row>
    <row r="196" spans="1:11" ht="13.5" thickBot="1" x14ac:dyDescent="0.25">
      <c r="A196" s="48" t="s">
        <v>568</v>
      </c>
      <c r="B196" s="224" t="s">
        <v>567</v>
      </c>
      <c r="C196" s="48" t="s">
        <v>25</v>
      </c>
      <c r="D196" s="226">
        <v>7034</v>
      </c>
      <c r="E196" s="48" t="s">
        <v>2697</v>
      </c>
      <c r="F196" s="48" t="s">
        <v>1980</v>
      </c>
      <c r="G196" s="48" t="s">
        <v>3074</v>
      </c>
      <c r="H196" s="48" t="s">
        <v>1648</v>
      </c>
      <c r="I196" s="48" t="s">
        <v>2545</v>
      </c>
      <c r="J196" s="247" t="s">
        <v>3238</v>
      </c>
      <c r="K196" s="247" t="s">
        <v>1612</v>
      </c>
    </row>
    <row r="197" spans="1:11" ht="13.5" thickBot="1" x14ac:dyDescent="0.25">
      <c r="A197" s="48" t="s">
        <v>576</v>
      </c>
      <c r="B197" s="224" t="s">
        <v>575</v>
      </c>
      <c r="C197" s="48" t="s">
        <v>25</v>
      </c>
      <c r="D197" s="226">
        <v>8833</v>
      </c>
      <c r="E197" s="48" t="s">
        <v>2435</v>
      </c>
      <c r="F197" s="48" t="s">
        <v>2435</v>
      </c>
      <c r="G197" s="48" t="s">
        <v>3055</v>
      </c>
      <c r="H197" s="48" t="s">
        <v>1648</v>
      </c>
      <c r="I197" s="48" t="s">
        <v>2545</v>
      </c>
      <c r="J197" s="247" t="s">
        <v>3173</v>
      </c>
      <c r="K197" s="247" t="s">
        <v>1649</v>
      </c>
    </row>
    <row r="198" spans="1:11" ht="13.5" thickBot="1" x14ac:dyDescent="0.25">
      <c r="A198" s="48" t="s">
        <v>584</v>
      </c>
      <c r="B198" s="224" t="s">
        <v>583</v>
      </c>
      <c r="C198" s="48" t="s">
        <v>25</v>
      </c>
      <c r="D198" s="226">
        <v>11503</v>
      </c>
      <c r="E198" s="48" t="s">
        <v>3460</v>
      </c>
      <c r="F198" s="48" t="s">
        <v>2110</v>
      </c>
      <c r="G198" s="48" t="s">
        <v>3098</v>
      </c>
      <c r="H198" s="48" t="s">
        <v>1649</v>
      </c>
      <c r="I198" s="48" t="s">
        <v>2009</v>
      </c>
      <c r="J198" s="247" t="s">
        <v>2009</v>
      </c>
      <c r="K198" s="247" t="s">
        <v>2009</v>
      </c>
    </row>
    <row r="199" spans="1:11" ht="13.5" thickBot="1" x14ac:dyDescent="0.25">
      <c r="A199" s="48" t="s">
        <v>610</v>
      </c>
      <c r="B199" s="224" t="s">
        <v>609</v>
      </c>
      <c r="C199" s="48" t="s">
        <v>25</v>
      </c>
      <c r="D199" s="226">
        <v>8891</v>
      </c>
      <c r="E199" s="48" t="s">
        <v>3461</v>
      </c>
      <c r="F199" s="48" t="s">
        <v>2122</v>
      </c>
      <c r="G199" s="48" t="s">
        <v>3058</v>
      </c>
      <c r="H199" s="48" t="s">
        <v>1649</v>
      </c>
      <c r="I199" s="48" t="s">
        <v>2009</v>
      </c>
      <c r="J199" s="247" t="s">
        <v>2009</v>
      </c>
      <c r="K199" s="247" t="s">
        <v>1648</v>
      </c>
    </row>
    <row r="200" spans="1:11" ht="13.5" thickBot="1" x14ac:dyDescent="0.25">
      <c r="A200" s="48" t="s">
        <v>618</v>
      </c>
      <c r="B200" s="224" t="s">
        <v>617</v>
      </c>
      <c r="C200" s="48" t="s">
        <v>25</v>
      </c>
      <c r="D200" s="226">
        <v>8543</v>
      </c>
      <c r="E200" s="48" t="s">
        <v>3099</v>
      </c>
      <c r="F200" s="48" t="s">
        <v>2316</v>
      </c>
      <c r="G200" s="48" t="s">
        <v>3059</v>
      </c>
      <c r="H200" s="48" t="s">
        <v>1648</v>
      </c>
      <c r="I200" s="48" t="s">
        <v>2545</v>
      </c>
      <c r="J200" s="246" t="s">
        <v>3100</v>
      </c>
      <c r="K200" s="247" t="s">
        <v>1648</v>
      </c>
    </row>
    <row r="201" spans="1:11" ht="13.5" thickBot="1" x14ac:dyDescent="0.25">
      <c r="A201" s="48" t="s">
        <v>626</v>
      </c>
      <c r="B201" s="224" t="s">
        <v>625</v>
      </c>
      <c r="C201" s="48" t="s">
        <v>25</v>
      </c>
      <c r="D201" s="226">
        <v>7580</v>
      </c>
      <c r="E201" s="48" t="s">
        <v>2760</v>
      </c>
      <c r="F201" s="48" t="s">
        <v>2022</v>
      </c>
      <c r="G201" s="48" t="s">
        <v>3072</v>
      </c>
      <c r="H201" s="48" t="s">
        <v>1648</v>
      </c>
      <c r="I201" s="48" t="s">
        <v>2545</v>
      </c>
      <c r="J201" s="247" t="s">
        <v>3324</v>
      </c>
      <c r="K201" s="247" t="s">
        <v>1649</v>
      </c>
    </row>
    <row r="202" spans="1:11" ht="13.5" thickBot="1" x14ac:dyDescent="0.25">
      <c r="A202" s="48" t="s">
        <v>634</v>
      </c>
      <c r="B202" s="224" t="s">
        <v>633</v>
      </c>
      <c r="C202" s="48" t="s">
        <v>25</v>
      </c>
      <c r="D202" s="226">
        <v>7903</v>
      </c>
      <c r="E202" s="48" t="s">
        <v>3462</v>
      </c>
      <c r="F202" s="48" t="s">
        <v>1979</v>
      </c>
      <c r="G202" s="48" t="s">
        <v>3098</v>
      </c>
      <c r="H202" s="48" t="s">
        <v>1649</v>
      </c>
      <c r="I202" s="48" t="s">
        <v>2009</v>
      </c>
      <c r="J202" s="247" t="s">
        <v>2009</v>
      </c>
      <c r="K202" s="247" t="s">
        <v>1612</v>
      </c>
    </row>
    <row r="203" spans="1:11" ht="13.5" thickBot="1" x14ac:dyDescent="0.25">
      <c r="A203" s="48" t="s">
        <v>650</v>
      </c>
      <c r="B203" s="224" t="s">
        <v>649</v>
      </c>
      <c r="C203" s="48" t="s">
        <v>25</v>
      </c>
      <c r="D203" s="226">
        <v>11480</v>
      </c>
      <c r="E203" s="48" t="s">
        <v>3054</v>
      </c>
      <c r="F203" s="48" t="s">
        <v>1992</v>
      </c>
      <c r="G203" s="48" t="s">
        <v>3055</v>
      </c>
      <c r="H203" s="48" t="s">
        <v>1648</v>
      </c>
      <c r="I203" s="48" t="s">
        <v>2545</v>
      </c>
      <c r="J203" s="247" t="s">
        <v>3378</v>
      </c>
      <c r="K203" s="247" t="s">
        <v>1612</v>
      </c>
    </row>
    <row r="204" spans="1:11" ht="13.5" thickBot="1" x14ac:dyDescent="0.25">
      <c r="A204" s="48" t="s">
        <v>652</v>
      </c>
      <c r="B204" s="224" t="s">
        <v>651</v>
      </c>
      <c r="C204" s="48" t="s">
        <v>25</v>
      </c>
      <c r="D204" s="226">
        <v>7798</v>
      </c>
      <c r="E204" s="48" t="s">
        <v>2801</v>
      </c>
      <c r="F204" s="48" t="s">
        <v>2101</v>
      </c>
      <c r="G204" s="48" t="s">
        <v>3058</v>
      </c>
      <c r="H204" s="48" t="s">
        <v>1648</v>
      </c>
      <c r="I204" s="48" t="s">
        <v>2545</v>
      </c>
      <c r="J204" s="247" t="s">
        <v>3326</v>
      </c>
      <c r="K204" s="247" t="s">
        <v>1612</v>
      </c>
    </row>
    <row r="205" spans="1:11" ht="13.5" thickBot="1" x14ac:dyDescent="0.25">
      <c r="A205" s="48" t="s">
        <v>660</v>
      </c>
      <c r="B205" s="224" t="s">
        <v>659</v>
      </c>
      <c r="C205" s="48" t="s">
        <v>25</v>
      </c>
      <c r="D205" s="226">
        <v>7357</v>
      </c>
      <c r="E205" s="48" t="s">
        <v>3081</v>
      </c>
      <c r="F205" s="48" t="s">
        <v>1973</v>
      </c>
      <c r="G205" s="48" t="s">
        <v>3074</v>
      </c>
      <c r="H205" s="48" t="s">
        <v>1648</v>
      </c>
      <c r="I205" s="48" t="s">
        <v>2545</v>
      </c>
      <c r="J205" s="246" t="s">
        <v>3082</v>
      </c>
      <c r="K205" s="247" t="s">
        <v>1648</v>
      </c>
    </row>
    <row r="206" spans="1:11" ht="13.5" thickBot="1" x14ac:dyDescent="0.25">
      <c r="A206" s="48" t="s">
        <v>666</v>
      </c>
      <c r="B206" s="224" t="s">
        <v>665</v>
      </c>
      <c r="C206" s="48" t="s">
        <v>25</v>
      </c>
      <c r="D206" s="226">
        <v>7103</v>
      </c>
      <c r="E206" s="48" t="s">
        <v>3083</v>
      </c>
      <c r="F206" s="48" t="s">
        <v>1953</v>
      </c>
      <c r="G206" s="48" t="s">
        <v>3058</v>
      </c>
      <c r="H206" s="48" t="s">
        <v>1648</v>
      </c>
      <c r="I206" s="48" t="s">
        <v>3056</v>
      </c>
      <c r="J206" s="246" t="s">
        <v>3079</v>
      </c>
      <c r="K206" s="247" t="s">
        <v>1648</v>
      </c>
    </row>
    <row r="207" spans="1:11" ht="13.5" thickBot="1" x14ac:dyDescent="0.25">
      <c r="A207" s="48" t="s">
        <v>670</v>
      </c>
      <c r="B207" s="224" t="s">
        <v>669</v>
      </c>
      <c r="C207" s="48" t="s">
        <v>25</v>
      </c>
      <c r="D207" s="226">
        <v>10188</v>
      </c>
      <c r="E207" s="48" t="s">
        <v>3463</v>
      </c>
      <c r="F207" s="48" t="s">
        <v>2002</v>
      </c>
      <c r="G207" s="48" t="s">
        <v>3074</v>
      </c>
      <c r="H207" s="48" t="s">
        <v>1649</v>
      </c>
      <c r="I207" s="48" t="s">
        <v>2009</v>
      </c>
      <c r="J207" s="247" t="s">
        <v>2009</v>
      </c>
      <c r="K207" s="247" t="s">
        <v>2009</v>
      </c>
    </row>
    <row r="208" spans="1:11" ht="13.5" thickBot="1" x14ac:dyDescent="0.25">
      <c r="A208" s="48" t="s">
        <v>676</v>
      </c>
      <c r="B208" s="224" t="s">
        <v>675</v>
      </c>
      <c r="C208" s="48" t="s">
        <v>25</v>
      </c>
      <c r="D208" s="226">
        <v>7272</v>
      </c>
      <c r="E208" s="48" t="s">
        <v>3108</v>
      </c>
      <c r="F208" s="48" t="s">
        <v>1947</v>
      </c>
      <c r="G208" s="48" t="s">
        <v>3061</v>
      </c>
      <c r="H208" s="48" t="s">
        <v>1648</v>
      </c>
      <c r="I208" s="48" t="s">
        <v>2545</v>
      </c>
      <c r="J208" s="246" t="s">
        <v>3105</v>
      </c>
      <c r="K208" s="247" t="s">
        <v>1648</v>
      </c>
    </row>
    <row r="209" spans="1:11" ht="13.5" thickBot="1" x14ac:dyDescent="0.25">
      <c r="A209" s="48" t="s">
        <v>682</v>
      </c>
      <c r="B209" s="224" t="s">
        <v>681</v>
      </c>
      <c r="C209" s="48" t="s">
        <v>25</v>
      </c>
      <c r="D209" s="226">
        <v>11377</v>
      </c>
      <c r="E209" s="48" t="s">
        <v>2844</v>
      </c>
      <c r="F209" s="48" t="s">
        <v>2442</v>
      </c>
      <c r="G209" s="48" t="s">
        <v>3059</v>
      </c>
      <c r="H209" s="48" t="s">
        <v>1648</v>
      </c>
      <c r="I209" s="48" t="s">
        <v>2545</v>
      </c>
      <c r="J209" s="247" t="s">
        <v>3265</v>
      </c>
      <c r="K209" s="247" t="s">
        <v>1648</v>
      </c>
    </row>
    <row r="210" spans="1:11" ht="13.5" thickBot="1" x14ac:dyDescent="0.25">
      <c r="A210" s="48" t="s">
        <v>694</v>
      </c>
      <c r="B210" s="224" t="s">
        <v>693</v>
      </c>
      <c r="C210" s="48" t="s">
        <v>25</v>
      </c>
      <c r="D210" s="226">
        <v>8386</v>
      </c>
      <c r="E210" s="48" t="s">
        <v>2856</v>
      </c>
      <c r="F210" s="48" t="s">
        <v>2446</v>
      </c>
      <c r="G210" s="48" t="s">
        <v>3072</v>
      </c>
      <c r="H210" s="48" t="s">
        <v>1648</v>
      </c>
      <c r="I210" s="48" t="s">
        <v>2545</v>
      </c>
      <c r="J210" s="247" t="s">
        <v>3321</v>
      </c>
      <c r="K210" s="247" t="s">
        <v>1612</v>
      </c>
    </row>
    <row r="211" spans="1:11" ht="13.5" thickBot="1" x14ac:dyDescent="0.25">
      <c r="A211" s="48" t="s">
        <v>700</v>
      </c>
      <c r="B211" s="224" t="s">
        <v>699</v>
      </c>
      <c r="C211" s="48" t="s">
        <v>25</v>
      </c>
      <c r="D211" s="226">
        <v>9110</v>
      </c>
      <c r="E211" s="48" t="s">
        <v>2866</v>
      </c>
      <c r="F211" s="48" t="s">
        <v>2155</v>
      </c>
      <c r="G211" s="48" t="s">
        <v>3074</v>
      </c>
      <c r="H211" s="48" t="s">
        <v>1648</v>
      </c>
      <c r="I211" s="48" t="s">
        <v>2545</v>
      </c>
      <c r="J211" s="246" t="s">
        <v>3073</v>
      </c>
      <c r="K211" s="247" t="s">
        <v>1612</v>
      </c>
    </row>
    <row r="212" spans="1:11" ht="26.25" thickBot="1" x14ac:dyDescent="0.25">
      <c r="A212" s="48" t="s">
        <v>702</v>
      </c>
      <c r="B212" s="224" t="s">
        <v>701</v>
      </c>
      <c r="C212" s="48" t="s">
        <v>25</v>
      </c>
      <c r="D212" s="226">
        <v>9645</v>
      </c>
      <c r="E212" s="48" t="s">
        <v>2606</v>
      </c>
      <c r="F212" s="48" t="s">
        <v>2606</v>
      </c>
      <c r="G212" s="48" t="s">
        <v>3053</v>
      </c>
      <c r="H212" s="48" t="s">
        <v>1648</v>
      </c>
      <c r="I212" s="48" t="s">
        <v>2545</v>
      </c>
      <c r="J212" s="247" t="s">
        <v>3194</v>
      </c>
      <c r="K212" s="247" t="s">
        <v>1648</v>
      </c>
    </row>
    <row r="213" spans="1:11" ht="13.5" thickBot="1" x14ac:dyDescent="0.25">
      <c r="A213" s="48" t="s">
        <v>718</v>
      </c>
      <c r="B213" s="224" t="s">
        <v>717</v>
      </c>
      <c r="C213" s="48" t="s">
        <v>25</v>
      </c>
      <c r="D213" s="226">
        <v>9301</v>
      </c>
      <c r="E213" s="48" t="s">
        <v>3266</v>
      </c>
      <c r="F213" s="48" t="s">
        <v>2435</v>
      </c>
      <c r="G213" s="48" t="s">
        <v>3059</v>
      </c>
      <c r="H213" s="48" t="s">
        <v>1648</v>
      </c>
      <c r="I213" s="48" t="s">
        <v>2545</v>
      </c>
      <c r="J213" s="247" t="s">
        <v>3267</v>
      </c>
      <c r="K213" s="247" t="s">
        <v>1648</v>
      </c>
    </row>
    <row r="214" spans="1:11" ht="13.5" thickBot="1" x14ac:dyDescent="0.25">
      <c r="A214" s="48" t="s">
        <v>722</v>
      </c>
      <c r="B214" s="224" t="s">
        <v>721</v>
      </c>
      <c r="C214" s="48" t="s">
        <v>25</v>
      </c>
      <c r="D214" s="226">
        <v>7851</v>
      </c>
      <c r="E214" s="48" t="s">
        <v>3167</v>
      </c>
      <c r="F214" s="48" t="s">
        <v>2890</v>
      </c>
      <c r="G214" s="48" t="s">
        <v>3077</v>
      </c>
      <c r="H214" s="48" t="s">
        <v>1648</v>
      </c>
      <c r="I214" s="48" t="s">
        <v>2545</v>
      </c>
      <c r="J214" s="247" t="s">
        <v>3168</v>
      </c>
      <c r="K214" s="247" t="s">
        <v>1612</v>
      </c>
    </row>
    <row r="215" spans="1:11" ht="13.5" thickBot="1" x14ac:dyDescent="0.25">
      <c r="A215" s="48" t="s">
        <v>724</v>
      </c>
      <c r="B215" s="224" t="s">
        <v>723</v>
      </c>
      <c r="C215" s="48" t="s">
        <v>25</v>
      </c>
      <c r="D215" s="226">
        <v>10250</v>
      </c>
      <c r="E215" s="48" t="s">
        <v>3375</v>
      </c>
      <c r="F215" s="48" t="s">
        <v>2148</v>
      </c>
      <c r="G215" s="48" t="s">
        <v>3074</v>
      </c>
      <c r="H215" s="48" t="s">
        <v>1648</v>
      </c>
      <c r="I215" s="48" t="s">
        <v>2545</v>
      </c>
      <c r="J215" s="247" t="s">
        <v>3376</v>
      </c>
      <c r="K215" s="247" t="s">
        <v>1648</v>
      </c>
    </row>
    <row r="216" spans="1:11" ht="13.5" thickBot="1" x14ac:dyDescent="0.25">
      <c r="A216" s="48" t="s">
        <v>734</v>
      </c>
      <c r="B216" s="224" t="s">
        <v>733</v>
      </c>
      <c r="C216" s="48" t="s">
        <v>25</v>
      </c>
      <c r="D216" s="226">
        <v>10662</v>
      </c>
      <c r="E216" s="48" t="s">
        <v>3464</v>
      </c>
      <c r="F216" s="48" t="s">
        <v>1984</v>
      </c>
      <c r="G216" s="48" t="s">
        <v>3058</v>
      </c>
      <c r="H216" s="48" t="s">
        <v>1649</v>
      </c>
      <c r="I216" s="48" t="s">
        <v>2009</v>
      </c>
      <c r="J216" s="247" t="s">
        <v>2009</v>
      </c>
      <c r="K216" s="247" t="s">
        <v>1648</v>
      </c>
    </row>
    <row r="217" spans="1:11" ht="13.5" thickBot="1" x14ac:dyDescent="0.25">
      <c r="A217" s="48" t="s">
        <v>738</v>
      </c>
      <c r="B217" s="224" t="s">
        <v>737</v>
      </c>
      <c r="C217" s="48" t="s">
        <v>25</v>
      </c>
      <c r="D217" s="226">
        <v>11985</v>
      </c>
      <c r="E217" s="48" t="s">
        <v>2101</v>
      </c>
      <c r="F217" s="48" t="s">
        <v>2101</v>
      </c>
      <c r="G217" s="48" t="s">
        <v>3058</v>
      </c>
      <c r="H217" s="48" t="s">
        <v>1649</v>
      </c>
      <c r="I217" s="48" t="s">
        <v>2009</v>
      </c>
      <c r="J217" s="247" t="s">
        <v>2009</v>
      </c>
      <c r="K217" s="247" t="s">
        <v>1612</v>
      </c>
    </row>
    <row r="218" spans="1:11" ht="13.5" thickBot="1" x14ac:dyDescent="0.25">
      <c r="A218" s="48" t="s">
        <v>740</v>
      </c>
      <c r="B218" s="224" t="s">
        <v>739</v>
      </c>
      <c r="C218" s="48" t="s">
        <v>25</v>
      </c>
      <c r="D218" s="226">
        <v>8147</v>
      </c>
      <c r="E218" s="48" t="s">
        <v>3302</v>
      </c>
      <c r="F218" s="48" t="s">
        <v>1984</v>
      </c>
      <c r="G218" s="48" t="s">
        <v>3058</v>
      </c>
      <c r="H218" s="48" t="s">
        <v>1648</v>
      </c>
      <c r="I218" s="48" t="s">
        <v>2545</v>
      </c>
      <c r="J218" s="247" t="s">
        <v>3300</v>
      </c>
      <c r="K218" s="247" t="s">
        <v>1648</v>
      </c>
    </row>
    <row r="219" spans="1:11" ht="13.5" thickBot="1" x14ac:dyDescent="0.25">
      <c r="A219" s="48" t="s">
        <v>748</v>
      </c>
      <c r="B219" s="224" t="s">
        <v>747</v>
      </c>
      <c r="C219" s="48" t="s">
        <v>25</v>
      </c>
      <c r="D219" s="226">
        <v>9714</v>
      </c>
      <c r="E219" s="48" t="s">
        <v>3255</v>
      </c>
      <c r="F219" s="48" t="s">
        <v>2148</v>
      </c>
      <c r="G219" s="48" t="s">
        <v>3074</v>
      </c>
      <c r="H219" s="48" t="s">
        <v>1648</v>
      </c>
      <c r="I219" s="48" t="s">
        <v>2545</v>
      </c>
      <c r="J219" s="247" t="s">
        <v>3256</v>
      </c>
      <c r="K219" s="247" t="s">
        <v>1648</v>
      </c>
    </row>
    <row r="220" spans="1:11" ht="13.5" thickBot="1" x14ac:dyDescent="0.25">
      <c r="A220" s="48" t="s">
        <v>776</v>
      </c>
      <c r="B220" s="224" t="s">
        <v>775</v>
      </c>
      <c r="C220" s="48" t="s">
        <v>25</v>
      </c>
      <c r="D220" s="226">
        <v>9514</v>
      </c>
      <c r="E220" s="48" t="s">
        <v>3465</v>
      </c>
      <c r="F220" s="48" t="s">
        <v>2034</v>
      </c>
      <c r="G220" s="48" t="s">
        <v>3059</v>
      </c>
      <c r="H220" s="48" t="s">
        <v>1649</v>
      </c>
      <c r="I220" s="48" t="s">
        <v>2009</v>
      </c>
      <c r="J220" s="247" t="s">
        <v>2009</v>
      </c>
      <c r="K220" s="247" t="s">
        <v>2009</v>
      </c>
    </row>
    <row r="221" spans="1:11" ht="13.5" thickBot="1" x14ac:dyDescent="0.25">
      <c r="A221" s="48" t="s">
        <v>790</v>
      </c>
      <c r="B221" s="224" t="s">
        <v>789</v>
      </c>
      <c r="C221" s="48" t="s">
        <v>25</v>
      </c>
      <c r="D221" s="226">
        <v>9138</v>
      </c>
      <c r="E221" s="48" t="s">
        <v>3084</v>
      </c>
      <c r="F221" s="48" t="s">
        <v>2674</v>
      </c>
      <c r="G221" s="48" t="s">
        <v>3058</v>
      </c>
      <c r="H221" s="48" t="s">
        <v>1648</v>
      </c>
      <c r="I221" s="48" t="s">
        <v>2545</v>
      </c>
      <c r="J221" s="246" t="s">
        <v>3079</v>
      </c>
      <c r="K221" s="247" t="s">
        <v>1612</v>
      </c>
    </row>
    <row r="222" spans="1:11" ht="13.5" thickBot="1" x14ac:dyDescent="0.25">
      <c r="A222" s="48" t="s">
        <v>792</v>
      </c>
      <c r="B222" s="224" t="s">
        <v>791</v>
      </c>
      <c r="C222" s="48" t="s">
        <v>25</v>
      </c>
      <c r="D222" s="226">
        <v>7370</v>
      </c>
      <c r="E222" s="48" t="s">
        <v>3096</v>
      </c>
      <c r="F222" s="48" t="s">
        <v>2241</v>
      </c>
      <c r="G222" s="48" t="s">
        <v>3053</v>
      </c>
      <c r="H222" s="48" t="s">
        <v>1648</v>
      </c>
      <c r="I222" s="48" t="s">
        <v>2545</v>
      </c>
      <c r="J222" s="246" t="s">
        <v>3092</v>
      </c>
      <c r="K222" s="247" t="s">
        <v>1612</v>
      </c>
    </row>
    <row r="223" spans="1:11" ht="13.5" thickBot="1" x14ac:dyDescent="0.25">
      <c r="A223" s="48" t="s">
        <v>796</v>
      </c>
      <c r="B223" s="224" t="s">
        <v>795</v>
      </c>
      <c r="C223" s="48" t="s">
        <v>25</v>
      </c>
      <c r="D223" s="226">
        <v>8533</v>
      </c>
      <c r="E223" s="48" t="s">
        <v>3296</v>
      </c>
      <c r="F223" s="48" t="s">
        <v>2237</v>
      </c>
      <c r="G223" s="48" t="s">
        <v>3074</v>
      </c>
      <c r="H223" s="48" t="s">
        <v>1648</v>
      </c>
      <c r="I223" s="48" t="s">
        <v>2545</v>
      </c>
      <c r="J223" s="247" t="s">
        <v>3297</v>
      </c>
      <c r="K223" s="247" t="s">
        <v>1648</v>
      </c>
    </row>
    <row r="224" spans="1:11" ht="13.5" thickBot="1" x14ac:dyDescent="0.25">
      <c r="A224" s="48" t="s">
        <v>798</v>
      </c>
      <c r="B224" s="224" t="s">
        <v>797</v>
      </c>
      <c r="C224" s="48" t="s">
        <v>25</v>
      </c>
      <c r="D224" s="226">
        <v>11811</v>
      </c>
      <c r="E224" s="48" t="s">
        <v>3281</v>
      </c>
      <c r="F224" s="48" t="s">
        <v>2367</v>
      </c>
      <c r="G224" s="48" t="s">
        <v>3074</v>
      </c>
      <c r="H224" s="48" t="s">
        <v>1648</v>
      </c>
      <c r="I224" s="48" t="s">
        <v>2545</v>
      </c>
      <c r="J224" s="247" t="s">
        <v>3282</v>
      </c>
      <c r="K224" s="247" t="s">
        <v>1612</v>
      </c>
    </row>
    <row r="225" spans="1:11" ht="13.5" thickBot="1" x14ac:dyDescent="0.25">
      <c r="A225" s="48" t="s">
        <v>804</v>
      </c>
      <c r="B225" s="224" t="s">
        <v>803</v>
      </c>
      <c r="C225" s="48" t="s">
        <v>25</v>
      </c>
      <c r="D225" s="226">
        <v>10014</v>
      </c>
      <c r="E225" s="48" t="s">
        <v>3466</v>
      </c>
      <c r="F225" s="48" t="s">
        <v>2148</v>
      </c>
      <c r="G225" s="48" t="s">
        <v>3059</v>
      </c>
      <c r="H225" s="48" t="s">
        <v>1649</v>
      </c>
      <c r="I225" s="48" t="s">
        <v>2009</v>
      </c>
      <c r="J225" s="247" t="s">
        <v>2009</v>
      </c>
      <c r="K225" s="247" t="s">
        <v>1612</v>
      </c>
    </row>
    <row r="226" spans="1:11" ht="13.5" thickBot="1" x14ac:dyDescent="0.25">
      <c r="A226" s="48" t="s">
        <v>19</v>
      </c>
      <c r="B226" s="224" t="s">
        <v>18</v>
      </c>
      <c r="C226" s="48" t="s">
        <v>22</v>
      </c>
      <c r="D226" s="226">
        <v>21133</v>
      </c>
      <c r="E226" s="48" t="s">
        <v>3248</v>
      </c>
      <c r="F226" s="48" t="s">
        <v>1947</v>
      </c>
      <c r="G226" s="48" t="s">
        <v>3061</v>
      </c>
      <c r="H226" s="48" t="s">
        <v>1648</v>
      </c>
      <c r="I226" s="48" t="s">
        <v>2545</v>
      </c>
      <c r="J226" s="247" t="s">
        <v>3334</v>
      </c>
      <c r="K226" s="247" t="s">
        <v>1612</v>
      </c>
    </row>
    <row r="227" spans="1:11" ht="13.5" thickBot="1" x14ac:dyDescent="0.25">
      <c r="A227" s="48" t="s">
        <v>36</v>
      </c>
      <c r="B227" s="224" t="s">
        <v>35</v>
      </c>
      <c r="C227" s="48" t="s">
        <v>22</v>
      </c>
      <c r="D227" s="226">
        <v>17401</v>
      </c>
      <c r="E227" s="48" t="s">
        <v>1973</v>
      </c>
      <c r="F227" s="48" t="s">
        <v>1973</v>
      </c>
      <c r="G227" s="48" t="s">
        <v>3072</v>
      </c>
      <c r="H227" s="48" t="s">
        <v>1648</v>
      </c>
      <c r="I227" s="48" t="s">
        <v>2545</v>
      </c>
      <c r="J227" s="247" t="s">
        <v>3360</v>
      </c>
      <c r="K227" s="247" t="s">
        <v>1648</v>
      </c>
    </row>
    <row r="228" spans="1:11" ht="13.5" thickBot="1" x14ac:dyDescent="0.25">
      <c r="A228" s="48" t="s">
        <v>64</v>
      </c>
      <c r="B228" s="224" t="s">
        <v>63</v>
      </c>
      <c r="C228" s="48" t="s">
        <v>22</v>
      </c>
      <c r="D228" s="226">
        <v>21412</v>
      </c>
      <c r="E228" s="48" t="s">
        <v>3467</v>
      </c>
      <c r="F228" s="48" t="s">
        <v>1940</v>
      </c>
      <c r="G228" s="48" t="s">
        <v>3098</v>
      </c>
      <c r="H228" s="48" t="s">
        <v>1649</v>
      </c>
      <c r="I228" s="48" t="s">
        <v>2009</v>
      </c>
      <c r="J228" s="247" t="s">
        <v>2009</v>
      </c>
      <c r="K228" s="247" t="s">
        <v>2009</v>
      </c>
    </row>
    <row r="229" spans="1:11" ht="13.5" thickBot="1" x14ac:dyDescent="0.25">
      <c r="A229" s="48" t="s">
        <v>68</v>
      </c>
      <c r="B229" s="224" t="s">
        <v>67</v>
      </c>
      <c r="C229" s="48" t="s">
        <v>22</v>
      </c>
      <c r="D229" s="226">
        <v>25883</v>
      </c>
      <c r="E229" s="48" t="s">
        <v>3174</v>
      </c>
      <c r="F229" s="48" t="s">
        <v>1979</v>
      </c>
      <c r="G229" s="48" t="s">
        <v>3098</v>
      </c>
      <c r="H229" s="48" t="s">
        <v>1648</v>
      </c>
      <c r="I229" s="48" t="s">
        <v>2545</v>
      </c>
      <c r="J229" s="247" t="s">
        <v>3175</v>
      </c>
      <c r="K229" s="247" t="s">
        <v>2009</v>
      </c>
    </row>
    <row r="230" spans="1:11" ht="13.5" thickBot="1" x14ac:dyDescent="0.25">
      <c r="A230" s="48" t="s">
        <v>88</v>
      </c>
      <c r="B230" s="224" t="s">
        <v>87</v>
      </c>
      <c r="C230" s="48" t="s">
        <v>22</v>
      </c>
      <c r="D230" s="226">
        <v>24787</v>
      </c>
      <c r="E230" s="48" t="s">
        <v>3383</v>
      </c>
      <c r="F230" s="48" t="s">
        <v>2057</v>
      </c>
      <c r="G230" s="48" t="s">
        <v>3072</v>
      </c>
      <c r="H230" s="48" t="s">
        <v>1648</v>
      </c>
      <c r="I230" s="48" t="s">
        <v>2545</v>
      </c>
      <c r="J230" s="247" t="s">
        <v>3382</v>
      </c>
      <c r="K230" s="247" t="s">
        <v>1648</v>
      </c>
    </row>
    <row r="231" spans="1:11" ht="13.5" thickBot="1" x14ac:dyDescent="0.25">
      <c r="A231" s="48" t="s">
        <v>94</v>
      </c>
      <c r="B231" s="224" t="s">
        <v>93</v>
      </c>
      <c r="C231" s="48" t="s">
        <v>22</v>
      </c>
      <c r="D231" s="226">
        <v>14970</v>
      </c>
      <c r="E231" s="48" t="s">
        <v>3134</v>
      </c>
      <c r="F231" s="48" t="s">
        <v>1940</v>
      </c>
      <c r="G231" s="48" t="s">
        <v>3098</v>
      </c>
      <c r="H231" s="48" t="s">
        <v>1648</v>
      </c>
      <c r="I231" s="48" t="s">
        <v>2545</v>
      </c>
      <c r="J231" s="246" t="s">
        <v>3135</v>
      </c>
      <c r="K231" s="247" t="s">
        <v>1612</v>
      </c>
    </row>
    <row r="232" spans="1:11" ht="30.75" thickBot="1" x14ac:dyDescent="0.25">
      <c r="A232" s="48" t="s">
        <v>104</v>
      </c>
      <c r="B232" s="224" t="s">
        <v>103</v>
      </c>
      <c r="C232" s="48" t="s">
        <v>22</v>
      </c>
      <c r="D232" s="226">
        <v>20025</v>
      </c>
      <c r="E232" s="48" t="s">
        <v>3154</v>
      </c>
      <c r="F232" s="48" t="s">
        <v>2034</v>
      </c>
      <c r="G232" s="48" t="s">
        <v>3059</v>
      </c>
      <c r="H232" s="48" t="s">
        <v>1648</v>
      </c>
      <c r="I232" s="48" t="s">
        <v>2545</v>
      </c>
      <c r="J232" s="248" t="s">
        <v>3155</v>
      </c>
      <c r="K232" s="247" t="s">
        <v>1648</v>
      </c>
    </row>
    <row r="233" spans="1:11" ht="13.5" thickBot="1" x14ac:dyDescent="0.25">
      <c r="A233" s="48" t="s">
        <v>116</v>
      </c>
      <c r="B233" s="224" t="s">
        <v>115</v>
      </c>
      <c r="C233" s="48" t="s">
        <v>22</v>
      </c>
      <c r="D233" s="226">
        <v>15175</v>
      </c>
      <c r="E233" s="48" t="s">
        <v>3186</v>
      </c>
      <c r="F233" s="48" t="s">
        <v>1940</v>
      </c>
      <c r="G233" s="48" t="s">
        <v>3098</v>
      </c>
      <c r="H233" s="48" t="s">
        <v>1648</v>
      </c>
      <c r="I233" s="48" t="s">
        <v>2545</v>
      </c>
      <c r="J233" s="247" t="s">
        <v>3187</v>
      </c>
      <c r="K233" s="247" t="s">
        <v>1612</v>
      </c>
    </row>
    <row r="234" spans="1:11" ht="13.5" thickBot="1" x14ac:dyDescent="0.25">
      <c r="A234" s="48" t="s">
        <v>118</v>
      </c>
      <c r="B234" s="224" t="s">
        <v>117</v>
      </c>
      <c r="C234" s="48" t="s">
        <v>22</v>
      </c>
      <c r="D234" s="226">
        <v>12667</v>
      </c>
      <c r="E234" s="48" t="s">
        <v>2101</v>
      </c>
      <c r="F234" s="48" t="s">
        <v>2101</v>
      </c>
      <c r="G234" s="48" t="s">
        <v>3058</v>
      </c>
      <c r="H234" s="48" t="s">
        <v>1648</v>
      </c>
      <c r="I234" s="48" t="s">
        <v>2545</v>
      </c>
      <c r="J234" s="246" t="s">
        <v>3116</v>
      </c>
      <c r="K234" s="247" t="s">
        <v>1648</v>
      </c>
    </row>
    <row r="235" spans="1:11" ht="13.5" thickBot="1" x14ac:dyDescent="0.25">
      <c r="A235" s="48" t="s">
        <v>122</v>
      </c>
      <c r="B235" s="224" t="s">
        <v>121</v>
      </c>
      <c r="C235" s="48" t="s">
        <v>22</v>
      </c>
      <c r="D235" s="226">
        <v>19336</v>
      </c>
      <c r="E235" s="48" t="s">
        <v>3290</v>
      </c>
      <c r="F235" s="48" t="s">
        <v>2037</v>
      </c>
      <c r="G235" s="48" t="s">
        <v>3058</v>
      </c>
      <c r="H235" s="48" t="s">
        <v>1648</v>
      </c>
      <c r="I235" s="48" t="s">
        <v>2545</v>
      </c>
      <c r="J235" s="247" t="s">
        <v>3291</v>
      </c>
      <c r="K235" s="247" t="s">
        <v>1648</v>
      </c>
    </row>
    <row r="236" spans="1:11" ht="13.5" thickBot="1" x14ac:dyDescent="0.25">
      <c r="A236" s="48" t="s">
        <v>158</v>
      </c>
      <c r="B236" s="224" t="s">
        <v>157</v>
      </c>
      <c r="C236" s="48" t="s">
        <v>22</v>
      </c>
      <c r="D236" s="226">
        <v>15068</v>
      </c>
      <c r="E236" s="48" t="s">
        <v>3316</v>
      </c>
      <c r="F236" s="48" t="s">
        <v>1973</v>
      </c>
      <c r="G236" s="48" t="s">
        <v>3072</v>
      </c>
      <c r="H236" s="48" t="s">
        <v>1648</v>
      </c>
      <c r="I236" s="48" t="s">
        <v>2545</v>
      </c>
      <c r="J236" s="247" t="s">
        <v>3317</v>
      </c>
      <c r="K236" s="247" t="s">
        <v>2009</v>
      </c>
    </row>
    <row r="237" spans="1:11" ht="13.5" thickBot="1" x14ac:dyDescent="0.25">
      <c r="A237" s="48" t="s">
        <v>162</v>
      </c>
      <c r="B237" s="224" t="s">
        <v>161</v>
      </c>
      <c r="C237" s="48" t="s">
        <v>22</v>
      </c>
      <c r="D237" s="226">
        <v>24370</v>
      </c>
      <c r="E237" s="48" t="s">
        <v>3162</v>
      </c>
      <c r="F237" s="48" t="s">
        <v>2055</v>
      </c>
      <c r="G237" s="48" t="s">
        <v>3061</v>
      </c>
      <c r="H237" s="48" t="s">
        <v>1648</v>
      </c>
      <c r="I237" s="48" t="s">
        <v>2545</v>
      </c>
      <c r="J237" s="247" t="s">
        <v>3163</v>
      </c>
      <c r="K237" s="247" t="s">
        <v>1648</v>
      </c>
    </row>
    <row r="238" spans="1:11" ht="13.5" thickBot="1" x14ac:dyDescent="0.25">
      <c r="A238" s="48" t="s">
        <v>166</v>
      </c>
      <c r="B238" s="224" t="s">
        <v>165</v>
      </c>
      <c r="C238" s="48" t="s">
        <v>22</v>
      </c>
      <c r="D238" s="226">
        <v>13894</v>
      </c>
      <c r="E238" s="48" t="s">
        <v>2178</v>
      </c>
      <c r="F238" s="48" t="s">
        <v>2178</v>
      </c>
      <c r="G238" s="48" t="s">
        <v>3077</v>
      </c>
      <c r="H238" s="48" t="s">
        <v>1648</v>
      </c>
      <c r="I238" s="48" t="s">
        <v>2545</v>
      </c>
      <c r="J238" s="247" t="s">
        <v>3298</v>
      </c>
      <c r="K238" s="247" t="s">
        <v>1612</v>
      </c>
    </row>
    <row r="239" spans="1:11" ht="13.5" thickBot="1" x14ac:dyDescent="0.25">
      <c r="A239" s="48" t="s">
        <v>168</v>
      </c>
      <c r="B239" s="224" t="s">
        <v>167</v>
      </c>
      <c r="C239" s="48" t="s">
        <v>22</v>
      </c>
      <c r="D239" s="226">
        <v>15010</v>
      </c>
      <c r="E239" s="48" t="s">
        <v>3136</v>
      </c>
      <c r="F239" s="48" t="s">
        <v>2006</v>
      </c>
      <c r="G239" s="48" t="s">
        <v>3098</v>
      </c>
      <c r="H239" s="48" t="s">
        <v>1648</v>
      </c>
      <c r="I239" s="48" t="s">
        <v>2545</v>
      </c>
      <c r="J239" s="246" t="s">
        <v>3135</v>
      </c>
      <c r="K239" s="247" t="s">
        <v>1612</v>
      </c>
    </row>
    <row r="240" spans="1:11" ht="13.5" thickBot="1" x14ac:dyDescent="0.25">
      <c r="A240" s="48" t="s">
        <v>182</v>
      </c>
      <c r="B240" s="224" t="s">
        <v>181</v>
      </c>
      <c r="C240" s="48" t="s">
        <v>22</v>
      </c>
      <c r="D240" s="226">
        <v>12982</v>
      </c>
      <c r="E240" s="48" t="s">
        <v>2200</v>
      </c>
      <c r="F240" s="48" t="s">
        <v>2057</v>
      </c>
      <c r="G240" s="48" t="s">
        <v>3072</v>
      </c>
      <c r="H240" s="48" t="s">
        <v>1648</v>
      </c>
      <c r="I240" s="48" t="s">
        <v>2545</v>
      </c>
      <c r="J240" s="247" t="s">
        <v>3294</v>
      </c>
      <c r="K240" s="247" t="s">
        <v>1648</v>
      </c>
    </row>
    <row r="241" spans="1:11" ht="13.5" thickBot="1" x14ac:dyDescent="0.25">
      <c r="A241" s="48" t="s">
        <v>192</v>
      </c>
      <c r="B241" s="224" t="s">
        <v>191</v>
      </c>
      <c r="C241" s="48" t="s">
        <v>22</v>
      </c>
      <c r="D241" s="226">
        <v>14854</v>
      </c>
      <c r="E241" s="48" t="s">
        <v>2218</v>
      </c>
      <c r="F241" s="48" t="s">
        <v>2022</v>
      </c>
      <c r="G241" s="48" t="s">
        <v>3072</v>
      </c>
      <c r="H241" s="48" t="s">
        <v>1648</v>
      </c>
      <c r="I241" s="48" t="s">
        <v>2545</v>
      </c>
      <c r="J241" s="247" t="s">
        <v>3256</v>
      </c>
      <c r="K241" s="247" t="s">
        <v>1612</v>
      </c>
    </row>
    <row r="242" spans="1:11" ht="13.5" thickBot="1" x14ac:dyDescent="0.25">
      <c r="A242" s="48" t="s">
        <v>198</v>
      </c>
      <c r="B242" s="224" t="s">
        <v>197</v>
      </c>
      <c r="C242" s="48" t="s">
        <v>22</v>
      </c>
      <c r="D242" s="226">
        <v>14074</v>
      </c>
      <c r="E242" s="48" t="s">
        <v>3341</v>
      </c>
      <c r="F242" s="48" t="s">
        <v>2229</v>
      </c>
      <c r="G242" s="48" t="s">
        <v>3053</v>
      </c>
      <c r="H242" s="48" t="s">
        <v>1648</v>
      </c>
      <c r="I242" s="48" t="s">
        <v>2545</v>
      </c>
      <c r="J242" s="247" t="s">
        <v>3342</v>
      </c>
      <c r="K242" s="247" t="s">
        <v>1612</v>
      </c>
    </row>
    <row r="243" spans="1:11" ht="13.5" thickBot="1" x14ac:dyDescent="0.25">
      <c r="A243" s="48" t="s">
        <v>224</v>
      </c>
      <c r="B243" s="224" t="s">
        <v>223</v>
      </c>
      <c r="C243" s="48" t="s">
        <v>22</v>
      </c>
      <c r="D243" s="226">
        <v>20542</v>
      </c>
      <c r="E243" s="48" t="s">
        <v>2271</v>
      </c>
      <c r="F243" s="48" t="s">
        <v>2037</v>
      </c>
      <c r="G243" s="48" t="s">
        <v>3061</v>
      </c>
      <c r="H243" s="48" t="s">
        <v>1648</v>
      </c>
      <c r="I243" s="48" t="s">
        <v>2545</v>
      </c>
      <c r="J243" s="247" t="s">
        <v>3373</v>
      </c>
      <c r="K243" s="247" t="s">
        <v>1612</v>
      </c>
    </row>
    <row r="244" spans="1:11" ht="13.5" thickBot="1" x14ac:dyDescent="0.25">
      <c r="A244" s="48" t="s">
        <v>226</v>
      </c>
      <c r="B244" s="224" t="s">
        <v>225</v>
      </c>
      <c r="C244" s="48" t="s">
        <v>22</v>
      </c>
      <c r="D244" s="226">
        <v>19591</v>
      </c>
      <c r="E244" s="48" t="s">
        <v>3389</v>
      </c>
      <c r="F244" s="48" t="s">
        <v>2006</v>
      </c>
      <c r="G244" s="48" t="s">
        <v>3098</v>
      </c>
      <c r="H244" s="48" t="s">
        <v>1648</v>
      </c>
      <c r="I244" s="48" t="s">
        <v>2545</v>
      </c>
      <c r="J244" s="247" t="s">
        <v>3390</v>
      </c>
      <c r="K244" s="247" t="s">
        <v>1612</v>
      </c>
    </row>
    <row r="245" spans="1:11" ht="13.5" thickBot="1" x14ac:dyDescent="0.25">
      <c r="A245" s="48" t="s">
        <v>234</v>
      </c>
      <c r="B245" s="224" t="s">
        <v>233</v>
      </c>
      <c r="C245" s="48" t="s">
        <v>22</v>
      </c>
      <c r="D245" s="226">
        <v>13306</v>
      </c>
      <c r="E245" s="48" t="s">
        <v>3288</v>
      </c>
      <c r="F245" s="48" t="s">
        <v>2152</v>
      </c>
      <c r="G245" s="48" t="s">
        <v>3072</v>
      </c>
      <c r="H245" s="48" t="s">
        <v>1648</v>
      </c>
      <c r="I245" s="48" t="s">
        <v>3056</v>
      </c>
      <c r="J245" s="247" t="s">
        <v>3289</v>
      </c>
      <c r="K245" s="247" t="s">
        <v>1648</v>
      </c>
    </row>
    <row r="246" spans="1:11" ht="26.25" thickBot="1" x14ac:dyDescent="0.25">
      <c r="A246" s="48" t="s">
        <v>244</v>
      </c>
      <c r="B246" s="224" t="s">
        <v>243</v>
      </c>
      <c r="C246" s="48" t="s">
        <v>22</v>
      </c>
      <c r="D246" s="226">
        <v>12670</v>
      </c>
      <c r="E246" s="48" t="s">
        <v>3283</v>
      </c>
      <c r="F246" s="48" t="s">
        <v>2055</v>
      </c>
      <c r="G246" s="48" t="s">
        <v>3061</v>
      </c>
      <c r="H246" s="48" t="s">
        <v>1648</v>
      </c>
      <c r="I246" s="48" t="s">
        <v>2545</v>
      </c>
      <c r="J246" s="247" t="s">
        <v>3284</v>
      </c>
      <c r="K246" s="247" t="s">
        <v>1612</v>
      </c>
    </row>
    <row r="247" spans="1:11" ht="13.5" thickBot="1" x14ac:dyDescent="0.25">
      <c r="A247" s="48" t="s">
        <v>260</v>
      </c>
      <c r="B247" s="224" t="s">
        <v>259</v>
      </c>
      <c r="C247" s="48" t="s">
        <v>22</v>
      </c>
      <c r="D247" s="226">
        <v>25830</v>
      </c>
      <c r="E247" s="48" t="s">
        <v>3257</v>
      </c>
      <c r="F247" s="48" t="s">
        <v>2262</v>
      </c>
      <c r="G247" s="48" t="s">
        <v>3053</v>
      </c>
      <c r="H247" s="48" t="s">
        <v>1648</v>
      </c>
      <c r="I247" s="48" t="s">
        <v>2545</v>
      </c>
      <c r="J247" s="247" t="s">
        <v>3258</v>
      </c>
      <c r="K247" s="247" t="s">
        <v>1648</v>
      </c>
    </row>
    <row r="248" spans="1:11" ht="13.5" thickBot="1" x14ac:dyDescent="0.25">
      <c r="A248" s="48" t="s">
        <v>268</v>
      </c>
      <c r="B248" s="224" t="s">
        <v>267</v>
      </c>
      <c r="C248" s="48" t="s">
        <v>22</v>
      </c>
      <c r="D248" s="226">
        <v>14230</v>
      </c>
      <c r="E248" s="48" t="s">
        <v>3205</v>
      </c>
      <c r="F248" s="48" t="s">
        <v>1973</v>
      </c>
      <c r="G248" s="48" t="s">
        <v>3074</v>
      </c>
      <c r="H248" s="48" t="s">
        <v>1648</v>
      </c>
      <c r="I248" s="48" t="s">
        <v>2545</v>
      </c>
      <c r="J248" s="247" t="s">
        <v>3206</v>
      </c>
      <c r="K248" s="247" t="s">
        <v>1648</v>
      </c>
    </row>
    <row r="249" spans="1:11" ht="13.5" thickBot="1" x14ac:dyDescent="0.25">
      <c r="A249" s="48" t="s">
        <v>270</v>
      </c>
      <c r="B249" s="224" t="s">
        <v>269</v>
      </c>
      <c r="C249" s="48" t="s">
        <v>22</v>
      </c>
      <c r="D249" s="226">
        <v>19900</v>
      </c>
      <c r="E249" s="48" t="s">
        <v>3176</v>
      </c>
      <c r="F249" s="48" t="s">
        <v>1940</v>
      </c>
      <c r="G249" s="48" t="s">
        <v>3098</v>
      </c>
      <c r="H249" s="48" t="s">
        <v>1648</v>
      </c>
      <c r="I249" s="48" t="s">
        <v>2545</v>
      </c>
      <c r="J249" s="247" t="s">
        <v>3173</v>
      </c>
      <c r="K249" s="247" t="s">
        <v>1612</v>
      </c>
    </row>
    <row r="250" spans="1:11" ht="13.5" thickBot="1" x14ac:dyDescent="0.25">
      <c r="A250" s="48" t="s">
        <v>274</v>
      </c>
      <c r="B250" s="224" t="s">
        <v>273</v>
      </c>
      <c r="C250" s="48" t="s">
        <v>22</v>
      </c>
      <c r="D250" s="226">
        <v>17626</v>
      </c>
      <c r="E250" s="48" t="s">
        <v>3241</v>
      </c>
      <c r="F250" s="48" t="s">
        <v>2148</v>
      </c>
      <c r="G250" s="48" t="s">
        <v>3074</v>
      </c>
      <c r="H250" s="48" t="s">
        <v>1648</v>
      </c>
      <c r="I250" s="48" t="s">
        <v>2545</v>
      </c>
      <c r="J250" s="247" t="s">
        <v>3242</v>
      </c>
      <c r="K250" s="247" t="s">
        <v>1612</v>
      </c>
    </row>
    <row r="251" spans="1:11" ht="13.5" thickBot="1" x14ac:dyDescent="0.25">
      <c r="A251" s="48" t="s">
        <v>276</v>
      </c>
      <c r="B251" s="224" t="s">
        <v>275</v>
      </c>
      <c r="C251" s="48" t="s">
        <v>22</v>
      </c>
      <c r="D251" s="226">
        <v>17823</v>
      </c>
      <c r="E251" s="48" t="s">
        <v>3113</v>
      </c>
      <c r="F251" s="48" t="s">
        <v>1979</v>
      </c>
      <c r="G251" s="48" t="s">
        <v>3098</v>
      </c>
      <c r="H251" s="48" t="s">
        <v>1648</v>
      </c>
      <c r="I251" s="48" t="s">
        <v>2545</v>
      </c>
      <c r="J251" s="246" t="s">
        <v>3114</v>
      </c>
      <c r="K251" s="247" t="s">
        <v>1648</v>
      </c>
    </row>
    <row r="252" spans="1:11" ht="13.5" thickBot="1" x14ac:dyDescent="0.25">
      <c r="A252" s="48" t="s">
        <v>282</v>
      </c>
      <c r="B252" s="224" t="s">
        <v>281</v>
      </c>
      <c r="C252" s="48" t="s">
        <v>22</v>
      </c>
      <c r="D252" s="226">
        <v>17068</v>
      </c>
      <c r="E252" s="48" t="s">
        <v>3303</v>
      </c>
      <c r="F252" s="48" t="s">
        <v>2110</v>
      </c>
      <c r="G252" s="48" t="s">
        <v>3098</v>
      </c>
      <c r="H252" s="48" t="s">
        <v>1648</v>
      </c>
      <c r="I252" s="48" t="s">
        <v>2545</v>
      </c>
      <c r="J252" s="247" t="s">
        <v>3304</v>
      </c>
      <c r="K252" s="247" t="s">
        <v>1648</v>
      </c>
    </row>
    <row r="253" spans="1:11" ht="13.5" thickBot="1" x14ac:dyDescent="0.25">
      <c r="A253" s="48" t="s">
        <v>288</v>
      </c>
      <c r="B253" s="224" t="s">
        <v>287</v>
      </c>
      <c r="C253" s="48" t="s">
        <v>22</v>
      </c>
      <c r="D253" s="226">
        <v>14480</v>
      </c>
      <c r="E253" s="48" t="s">
        <v>3147</v>
      </c>
      <c r="F253" s="48" t="s">
        <v>2010</v>
      </c>
      <c r="G253" s="48" t="s">
        <v>3144</v>
      </c>
      <c r="H253" s="48" t="s">
        <v>1648</v>
      </c>
      <c r="I253" s="48" t="s">
        <v>2545</v>
      </c>
      <c r="J253" s="246" t="s">
        <v>3148</v>
      </c>
      <c r="K253" s="247" t="s">
        <v>1648</v>
      </c>
    </row>
    <row r="254" spans="1:11" ht="13.5" thickBot="1" x14ac:dyDescent="0.25">
      <c r="A254" s="48" t="s">
        <v>292</v>
      </c>
      <c r="B254" s="224" t="s">
        <v>291</v>
      </c>
      <c r="C254" s="48" t="s">
        <v>22</v>
      </c>
      <c r="D254" s="226">
        <v>13326</v>
      </c>
      <c r="E254" s="48" t="s">
        <v>2600</v>
      </c>
      <c r="F254" s="48" t="s">
        <v>2237</v>
      </c>
      <c r="G254" s="48" t="s">
        <v>3074</v>
      </c>
      <c r="H254" s="48" t="s">
        <v>1648</v>
      </c>
      <c r="I254" s="48" t="s">
        <v>2545</v>
      </c>
      <c r="J254" s="247" t="s">
        <v>3286</v>
      </c>
      <c r="K254" s="247" t="s">
        <v>1612</v>
      </c>
    </row>
    <row r="255" spans="1:11" ht="13.5" thickBot="1" x14ac:dyDescent="0.25">
      <c r="A255" s="48" t="s">
        <v>294</v>
      </c>
      <c r="B255" s="224" t="s">
        <v>293</v>
      </c>
      <c r="C255" s="48" t="s">
        <v>22</v>
      </c>
      <c r="D255" s="226">
        <v>13598</v>
      </c>
      <c r="E255" s="48" t="s">
        <v>2368</v>
      </c>
      <c r="F255" s="48" t="s">
        <v>2367</v>
      </c>
      <c r="G255" s="48" t="s">
        <v>3074</v>
      </c>
      <c r="H255" s="48" t="s">
        <v>1648</v>
      </c>
      <c r="I255" s="48" t="s">
        <v>3056</v>
      </c>
      <c r="J255" s="247" t="s">
        <v>3326</v>
      </c>
      <c r="K255" s="247" t="s">
        <v>1612</v>
      </c>
    </row>
    <row r="256" spans="1:11" ht="13.5" thickBot="1" x14ac:dyDescent="0.25">
      <c r="A256" s="48" t="s">
        <v>312</v>
      </c>
      <c r="B256" s="224" t="s">
        <v>311</v>
      </c>
      <c r="C256" s="48" t="s">
        <v>22</v>
      </c>
      <c r="D256" s="226">
        <v>25692</v>
      </c>
      <c r="E256" s="48" t="s">
        <v>2391</v>
      </c>
      <c r="F256" s="48" t="s">
        <v>2391</v>
      </c>
      <c r="G256" s="48" t="s">
        <v>3058</v>
      </c>
      <c r="H256" s="48" t="s">
        <v>1648</v>
      </c>
      <c r="I256" s="48" t="s">
        <v>2545</v>
      </c>
      <c r="J256" s="247" t="s">
        <v>3318</v>
      </c>
      <c r="K256" s="247" t="s">
        <v>1612</v>
      </c>
    </row>
    <row r="257" spans="1:11" ht="13.5" thickBot="1" x14ac:dyDescent="0.25">
      <c r="A257" s="48" t="s">
        <v>320</v>
      </c>
      <c r="B257" s="224" t="s">
        <v>319</v>
      </c>
      <c r="C257" s="48" t="s">
        <v>22</v>
      </c>
      <c r="D257" s="226">
        <v>15959</v>
      </c>
      <c r="E257" s="48" t="s">
        <v>3468</v>
      </c>
      <c r="F257" s="48" t="s">
        <v>2055</v>
      </c>
      <c r="G257" s="48" t="s">
        <v>3061</v>
      </c>
      <c r="H257" s="48" t="s">
        <v>1649</v>
      </c>
      <c r="I257" s="48" t="s">
        <v>2009</v>
      </c>
      <c r="J257" s="247" t="s">
        <v>2009</v>
      </c>
      <c r="K257" s="247" t="s">
        <v>1612</v>
      </c>
    </row>
    <row r="258" spans="1:11" ht="13.5" thickBot="1" x14ac:dyDescent="0.25">
      <c r="A258" s="48" t="s">
        <v>330</v>
      </c>
      <c r="B258" s="224" t="s">
        <v>329</v>
      </c>
      <c r="C258" s="48" t="s">
        <v>22</v>
      </c>
      <c r="D258" s="226">
        <v>21165</v>
      </c>
      <c r="E258" s="48" t="s">
        <v>2420</v>
      </c>
      <c r="F258" s="48" t="s">
        <v>2110</v>
      </c>
      <c r="G258" s="48" t="s">
        <v>3098</v>
      </c>
      <c r="H258" s="48" t="s">
        <v>1649</v>
      </c>
      <c r="I258" s="48" t="s">
        <v>2009</v>
      </c>
      <c r="J258" s="247" t="s">
        <v>2009</v>
      </c>
      <c r="K258" s="247" t="s">
        <v>2009</v>
      </c>
    </row>
    <row r="259" spans="1:11" ht="13.5" thickBot="1" x14ac:dyDescent="0.25">
      <c r="A259" s="48" t="s">
        <v>332</v>
      </c>
      <c r="B259" s="224" t="s">
        <v>331</v>
      </c>
      <c r="C259" s="48" t="s">
        <v>22</v>
      </c>
      <c r="D259" s="226">
        <v>22423</v>
      </c>
      <c r="E259" s="48" t="s">
        <v>3371</v>
      </c>
      <c r="F259" s="48" t="s">
        <v>1979</v>
      </c>
      <c r="G259" s="48" t="s">
        <v>3098</v>
      </c>
      <c r="H259" s="48" t="s">
        <v>1648</v>
      </c>
      <c r="I259" s="48" t="s">
        <v>2545</v>
      </c>
      <c r="J259" s="247" t="s">
        <v>3372</v>
      </c>
      <c r="K259" s="247" t="s">
        <v>1612</v>
      </c>
    </row>
    <row r="260" spans="1:11" ht="13.5" thickBot="1" x14ac:dyDescent="0.25">
      <c r="A260" s="48" t="s">
        <v>336</v>
      </c>
      <c r="B260" s="224" t="s">
        <v>335</v>
      </c>
      <c r="C260" s="48" t="s">
        <v>22</v>
      </c>
      <c r="D260" s="226">
        <v>14236</v>
      </c>
      <c r="E260" s="48" t="s">
        <v>3325</v>
      </c>
      <c r="F260" s="48" t="s">
        <v>1979</v>
      </c>
      <c r="G260" s="48" t="s">
        <v>3144</v>
      </c>
      <c r="H260" s="48" t="s">
        <v>1648</v>
      </c>
      <c r="I260" s="48" t="s">
        <v>2545</v>
      </c>
      <c r="J260" s="247" t="s">
        <v>3324</v>
      </c>
      <c r="K260" s="247" t="s">
        <v>1612</v>
      </c>
    </row>
    <row r="261" spans="1:11" ht="13.5" thickBot="1" x14ac:dyDescent="0.25">
      <c r="A261" s="48" t="s">
        <v>338</v>
      </c>
      <c r="B261" s="224" t="s">
        <v>337</v>
      </c>
      <c r="C261" s="48" t="s">
        <v>22</v>
      </c>
      <c r="D261" s="226">
        <v>12920</v>
      </c>
      <c r="E261" s="48" t="s">
        <v>3177</v>
      </c>
      <c r="F261" s="48" t="s">
        <v>2435</v>
      </c>
      <c r="G261" s="48" t="s">
        <v>3055</v>
      </c>
      <c r="H261" s="48" t="s">
        <v>1648</v>
      </c>
      <c r="I261" s="48" t="s">
        <v>2545</v>
      </c>
      <c r="J261" s="247" t="s">
        <v>3173</v>
      </c>
      <c r="K261" s="247" t="s">
        <v>1649</v>
      </c>
    </row>
    <row r="262" spans="1:11" ht="13.5" thickBot="1" x14ac:dyDescent="0.25">
      <c r="A262" s="48" t="s">
        <v>340</v>
      </c>
      <c r="B262" s="224" t="s">
        <v>339</v>
      </c>
      <c r="C262" s="48" t="s">
        <v>22</v>
      </c>
      <c r="D262" s="226">
        <v>24587</v>
      </c>
      <c r="E262" s="48" t="s">
        <v>2439</v>
      </c>
      <c r="F262" s="48" t="s">
        <v>2010</v>
      </c>
      <c r="G262" s="48" t="s">
        <v>3144</v>
      </c>
      <c r="H262" s="48" t="s">
        <v>1648</v>
      </c>
      <c r="I262" s="48" t="s">
        <v>2545</v>
      </c>
      <c r="J262" s="247" t="s">
        <v>3362</v>
      </c>
      <c r="K262" s="247" t="s">
        <v>1612</v>
      </c>
    </row>
    <row r="263" spans="1:11" ht="13.5" thickBot="1" x14ac:dyDescent="0.25">
      <c r="A263" s="48" t="s">
        <v>346</v>
      </c>
      <c r="B263" s="224" t="s">
        <v>345</v>
      </c>
      <c r="C263" s="48" t="s">
        <v>22</v>
      </c>
      <c r="D263" s="226">
        <v>13233</v>
      </c>
      <c r="E263" s="48" t="s">
        <v>3088</v>
      </c>
      <c r="F263" s="48" t="s">
        <v>2264</v>
      </c>
      <c r="G263" s="48" t="s">
        <v>3074</v>
      </c>
      <c r="H263" s="48" t="s">
        <v>1648</v>
      </c>
      <c r="I263" s="48" t="s">
        <v>2545</v>
      </c>
      <c r="J263" s="247" t="s">
        <v>3179</v>
      </c>
      <c r="K263" s="247" t="s">
        <v>1648</v>
      </c>
    </row>
    <row r="264" spans="1:11" ht="13.5" thickBot="1" x14ac:dyDescent="0.25">
      <c r="A264" s="48" t="s">
        <v>348</v>
      </c>
      <c r="B264" s="224" t="s">
        <v>347</v>
      </c>
      <c r="C264" s="48" t="s">
        <v>22</v>
      </c>
      <c r="D264" s="226">
        <v>16422</v>
      </c>
      <c r="E264" s="48" t="s">
        <v>3313</v>
      </c>
      <c r="F264" s="48" t="s">
        <v>1940</v>
      </c>
      <c r="G264" s="48" t="s">
        <v>3098</v>
      </c>
      <c r="H264" s="48" t="s">
        <v>1648</v>
      </c>
      <c r="I264" s="48" t="s">
        <v>2545</v>
      </c>
      <c r="J264" s="247" t="s">
        <v>3310</v>
      </c>
      <c r="K264" s="247" t="s">
        <v>1612</v>
      </c>
    </row>
    <row r="265" spans="1:11" ht="13.5" thickBot="1" x14ac:dyDescent="0.25">
      <c r="A265" s="48" t="s">
        <v>356</v>
      </c>
      <c r="B265" s="224" t="s">
        <v>355</v>
      </c>
      <c r="C265" s="48" t="s">
        <v>22</v>
      </c>
      <c r="D265" s="226">
        <v>19202</v>
      </c>
      <c r="E265" s="48" t="s">
        <v>2463</v>
      </c>
      <c r="F265" s="48" t="s">
        <v>1940</v>
      </c>
      <c r="G265" s="48" t="s">
        <v>3098</v>
      </c>
      <c r="H265" s="48" t="s">
        <v>1648</v>
      </c>
      <c r="I265" s="48" t="s">
        <v>2545</v>
      </c>
      <c r="J265" s="247" t="s">
        <v>3173</v>
      </c>
      <c r="K265" s="247" t="s">
        <v>1612</v>
      </c>
    </row>
    <row r="266" spans="1:11" ht="13.5" thickBot="1" x14ac:dyDescent="0.25">
      <c r="A266" s="48" t="s">
        <v>360</v>
      </c>
      <c r="B266" s="224" t="s">
        <v>359</v>
      </c>
      <c r="C266" s="48" t="s">
        <v>22</v>
      </c>
      <c r="D266" s="226">
        <v>23088</v>
      </c>
      <c r="E266" s="48" t="s">
        <v>2470</v>
      </c>
      <c r="F266" s="48" t="s">
        <v>1940</v>
      </c>
      <c r="G266" s="48" t="s">
        <v>3055</v>
      </c>
      <c r="H266" s="48" t="s">
        <v>1648</v>
      </c>
      <c r="I266" s="48" t="s">
        <v>2545</v>
      </c>
      <c r="J266" s="246" t="s">
        <v>3105</v>
      </c>
      <c r="K266" s="247" t="s">
        <v>1648</v>
      </c>
    </row>
    <row r="267" spans="1:11" ht="13.5" thickBot="1" x14ac:dyDescent="0.25">
      <c r="A267" s="48" t="s">
        <v>368</v>
      </c>
      <c r="B267" s="224" t="s">
        <v>367</v>
      </c>
      <c r="C267" s="48" t="s">
        <v>22</v>
      </c>
      <c r="D267" s="226">
        <v>15322</v>
      </c>
      <c r="E267" s="48" t="s">
        <v>3469</v>
      </c>
      <c r="F267" s="48" t="s">
        <v>2478</v>
      </c>
      <c r="G267" s="48" t="s">
        <v>3058</v>
      </c>
      <c r="H267" s="48" t="s">
        <v>1649</v>
      </c>
      <c r="I267" s="48" t="s">
        <v>2009</v>
      </c>
      <c r="J267" s="247" t="s">
        <v>2009</v>
      </c>
      <c r="K267" s="247" t="s">
        <v>2009</v>
      </c>
    </row>
    <row r="268" spans="1:11" ht="13.5" thickBot="1" x14ac:dyDescent="0.25">
      <c r="A268" s="48" t="s">
        <v>370</v>
      </c>
      <c r="B268" s="224" t="s">
        <v>369</v>
      </c>
      <c r="C268" s="48" t="s">
        <v>22</v>
      </c>
      <c r="D268" s="226">
        <v>22115</v>
      </c>
      <c r="E268" s="48" t="s">
        <v>3379</v>
      </c>
      <c r="F268" s="48" t="s">
        <v>1980</v>
      </c>
      <c r="G268" s="48" t="s">
        <v>3074</v>
      </c>
      <c r="H268" s="48" t="s">
        <v>1648</v>
      </c>
      <c r="I268" s="48" t="s">
        <v>2545</v>
      </c>
      <c r="J268" s="247" t="s">
        <v>3380</v>
      </c>
      <c r="K268" s="247" t="s">
        <v>1648</v>
      </c>
    </row>
    <row r="269" spans="1:11" ht="13.5" thickBot="1" x14ac:dyDescent="0.25">
      <c r="A269" s="48" t="s">
        <v>384</v>
      </c>
      <c r="B269" s="224" t="s">
        <v>383</v>
      </c>
      <c r="C269" s="48" t="s">
        <v>22</v>
      </c>
      <c r="D269" s="226">
        <v>21638</v>
      </c>
      <c r="E269" s="48" t="s">
        <v>2002</v>
      </c>
      <c r="F269" s="48" t="s">
        <v>2002</v>
      </c>
      <c r="G269" s="48" t="s">
        <v>3074</v>
      </c>
      <c r="H269" s="48" t="s">
        <v>1648</v>
      </c>
      <c r="I269" s="48" t="s">
        <v>2545</v>
      </c>
      <c r="J269" s="247" t="s">
        <v>3234</v>
      </c>
      <c r="K269" s="247" t="s">
        <v>1649</v>
      </c>
    </row>
    <row r="270" spans="1:11" ht="13.5" thickBot="1" x14ac:dyDescent="0.25">
      <c r="A270" s="48" t="s">
        <v>390</v>
      </c>
      <c r="B270" s="224" t="s">
        <v>389</v>
      </c>
      <c r="C270" s="48" t="s">
        <v>22</v>
      </c>
      <c r="D270" s="226">
        <v>13600</v>
      </c>
      <c r="E270" s="48" t="s">
        <v>3470</v>
      </c>
      <c r="F270" s="48" t="s">
        <v>2349</v>
      </c>
      <c r="G270" s="48" t="s">
        <v>3053</v>
      </c>
      <c r="H270" s="48" t="s">
        <v>1649</v>
      </c>
      <c r="I270" s="48" t="s">
        <v>2009</v>
      </c>
      <c r="J270" s="247" t="s">
        <v>2009</v>
      </c>
      <c r="K270" s="247" t="s">
        <v>1648</v>
      </c>
    </row>
    <row r="271" spans="1:11" ht="13.5" thickBot="1" x14ac:dyDescent="0.25">
      <c r="A271" s="48" t="s">
        <v>404</v>
      </c>
      <c r="B271" s="224" t="s">
        <v>403</v>
      </c>
      <c r="C271" s="48" t="s">
        <v>22</v>
      </c>
      <c r="D271" s="226">
        <v>17153</v>
      </c>
      <c r="E271" s="48" t="s">
        <v>2513</v>
      </c>
      <c r="F271" s="48" t="s">
        <v>2513</v>
      </c>
      <c r="G271" s="48" t="s">
        <v>3077</v>
      </c>
      <c r="H271" s="48" t="s">
        <v>1649</v>
      </c>
      <c r="I271" s="48" t="s">
        <v>2009</v>
      </c>
      <c r="J271" s="247" t="s">
        <v>2009</v>
      </c>
      <c r="K271" s="247" t="s">
        <v>1612</v>
      </c>
    </row>
    <row r="272" spans="1:11" ht="13.5" thickBot="1" x14ac:dyDescent="0.25">
      <c r="A272" s="48" t="s">
        <v>423</v>
      </c>
      <c r="B272" s="224" t="s">
        <v>422</v>
      </c>
      <c r="C272" s="48" t="s">
        <v>22</v>
      </c>
      <c r="D272" s="226">
        <v>25369</v>
      </c>
      <c r="E272" s="48" t="s">
        <v>3391</v>
      </c>
      <c r="F272" s="48" t="s">
        <v>1979</v>
      </c>
      <c r="G272" s="48" t="s">
        <v>3098</v>
      </c>
      <c r="H272" s="48" t="s">
        <v>1648</v>
      </c>
      <c r="I272" s="48" t="s">
        <v>2545</v>
      </c>
      <c r="J272" s="247" t="s">
        <v>3392</v>
      </c>
      <c r="K272" s="247" t="s">
        <v>1612</v>
      </c>
    </row>
    <row r="273" spans="1:11" ht="13.5" thickBot="1" x14ac:dyDescent="0.25">
      <c r="A273" s="48" t="s">
        <v>439</v>
      </c>
      <c r="B273" s="224" t="s">
        <v>438</v>
      </c>
      <c r="C273" s="48" t="s">
        <v>22</v>
      </c>
      <c r="D273" s="226">
        <v>22258</v>
      </c>
      <c r="E273" s="48" t="s">
        <v>3252</v>
      </c>
      <c r="F273" s="48" t="s">
        <v>2057</v>
      </c>
      <c r="G273" s="48" t="s">
        <v>3072</v>
      </c>
      <c r="H273" s="48" t="s">
        <v>1648</v>
      </c>
      <c r="I273" s="48" t="s">
        <v>2545</v>
      </c>
      <c r="J273" s="247" t="s">
        <v>3253</v>
      </c>
      <c r="K273" s="247" t="s">
        <v>1648</v>
      </c>
    </row>
    <row r="274" spans="1:11" ht="13.5" thickBot="1" x14ac:dyDescent="0.25">
      <c r="A274" s="48" t="s">
        <v>452</v>
      </c>
      <c r="B274" s="224" t="s">
        <v>451</v>
      </c>
      <c r="C274" s="48" t="s">
        <v>22</v>
      </c>
      <c r="D274" s="226">
        <v>14545</v>
      </c>
      <c r="E274" s="48" t="s">
        <v>3138</v>
      </c>
      <c r="F274" s="48" t="s">
        <v>1940</v>
      </c>
      <c r="G274" s="48" t="s">
        <v>3098</v>
      </c>
      <c r="H274" s="48" t="s">
        <v>1649</v>
      </c>
      <c r="I274" s="48" t="s">
        <v>2009</v>
      </c>
      <c r="J274" s="247" t="s">
        <v>2009</v>
      </c>
      <c r="K274" s="247" t="s">
        <v>2009</v>
      </c>
    </row>
    <row r="275" spans="1:11" ht="26.25" thickBot="1" x14ac:dyDescent="0.25">
      <c r="A275" s="48" t="s">
        <v>458</v>
      </c>
      <c r="B275" s="224" t="s">
        <v>457</v>
      </c>
      <c r="C275" s="48" t="s">
        <v>22</v>
      </c>
      <c r="D275" s="226">
        <v>13452</v>
      </c>
      <c r="E275" s="48" t="s">
        <v>3327</v>
      </c>
      <c r="F275" s="48" t="s">
        <v>2010</v>
      </c>
      <c r="G275" s="48" t="s">
        <v>3144</v>
      </c>
      <c r="H275" s="48" t="s">
        <v>1648</v>
      </c>
      <c r="I275" s="48" t="s">
        <v>2545</v>
      </c>
      <c r="J275" s="247" t="s">
        <v>3328</v>
      </c>
      <c r="K275" s="247" t="s">
        <v>1649</v>
      </c>
    </row>
    <row r="276" spans="1:11" ht="13.5" thickBot="1" x14ac:dyDescent="0.25">
      <c r="A276" s="48" t="s">
        <v>472</v>
      </c>
      <c r="B276" s="224" t="s">
        <v>471</v>
      </c>
      <c r="C276" s="48" t="s">
        <v>22</v>
      </c>
      <c r="D276" s="226">
        <v>22995</v>
      </c>
      <c r="E276" s="48" t="s">
        <v>2581</v>
      </c>
      <c r="F276" s="48" t="s">
        <v>2581</v>
      </c>
      <c r="G276" s="48" t="s">
        <v>3059</v>
      </c>
      <c r="H276" s="48" t="s">
        <v>1648</v>
      </c>
      <c r="I276" s="48" t="s">
        <v>2545</v>
      </c>
      <c r="J276" s="246" t="s">
        <v>3117</v>
      </c>
      <c r="K276" s="247" t="s">
        <v>1612</v>
      </c>
    </row>
    <row r="277" spans="1:11" ht="26.25" thickBot="1" x14ac:dyDescent="0.25">
      <c r="A277" s="48" t="s">
        <v>482</v>
      </c>
      <c r="B277" s="224" t="s">
        <v>481</v>
      </c>
      <c r="C277" s="48" t="s">
        <v>22</v>
      </c>
      <c r="D277" s="226">
        <v>14948</v>
      </c>
      <c r="E277" s="48" t="s">
        <v>3171</v>
      </c>
      <c r="F277" s="48" t="s">
        <v>1960</v>
      </c>
      <c r="G277" s="48" t="s">
        <v>3061</v>
      </c>
      <c r="H277" s="48" t="s">
        <v>1648</v>
      </c>
      <c r="I277" s="48" t="s">
        <v>2545</v>
      </c>
      <c r="J277" s="247" t="s">
        <v>3172</v>
      </c>
      <c r="K277" s="247" t="s">
        <v>1612</v>
      </c>
    </row>
    <row r="278" spans="1:11" ht="13.5" thickBot="1" x14ac:dyDescent="0.25">
      <c r="A278" s="48" t="s">
        <v>486</v>
      </c>
      <c r="B278" s="224" t="s">
        <v>485</v>
      </c>
      <c r="C278" s="48" t="s">
        <v>22</v>
      </c>
      <c r="D278" s="226">
        <v>18393</v>
      </c>
      <c r="E278" s="48" t="s">
        <v>2598</v>
      </c>
      <c r="F278" s="48" t="s">
        <v>2057</v>
      </c>
      <c r="G278" s="48" t="s">
        <v>3072</v>
      </c>
      <c r="H278" s="48" t="s">
        <v>1648</v>
      </c>
      <c r="I278" s="48" t="s">
        <v>2545</v>
      </c>
      <c r="J278" s="247" t="s">
        <v>3348</v>
      </c>
      <c r="K278" s="247" t="s">
        <v>1648</v>
      </c>
    </row>
    <row r="279" spans="1:11" ht="13.5" thickBot="1" x14ac:dyDescent="0.25">
      <c r="A279" s="48" t="s">
        <v>496</v>
      </c>
      <c r="B279" s="224" t="s">
        <v>495</v>
      </c>
      <c r="C279" s="48" t="s">
        <v>22</v>
      </c>
      <c r="D279" s="226">
        <v>14384</v>
      </c>
      <c r="E279" s="48" t="s">
        <v>3069</v>
      </c>
      <c r="F279" s="48" t="s">
        <v>2606</v>
      </c>
      <c r="G279" s="48" t="s">
        <v>3053</v>
      </c>
      <c r="H279" s="48" t="s">
        <v>1648</v>
      </c>
      <c r="I279" s="48" t="s">
        <v>2545</v>
      </c>
      <c r="J279" s="246" t="s">
        <v>3070</v>
      </c>
      <c r="K279" s="247" t="s">
        <v>1612</v>
      </c>
    </row>
    <row r="280" spans="1:11" ht="13.5" thickBot="1" x14ac:dyDescent="0.25">
      <c r="A280" s="48" t="s">
        <v>500</v>
      </c>
      <c r="B280" s="224" t="s">
        <v>499</v>
      </c>
      <c r="C280" s="48" t="s">
        <v>22</v>
      </c>
      <c r="D280" s="226">
        <v>17511</v>
      </c>
      <c r="E280" s="48" t="s">
        <v>2613</v>
      </c>
      <c r="F280" s="48" t="s">
        <v>2612</v>
      </c>
      <c r="G280" s="48" t="s">
        <v>3061</v>
      </c>
      <c r="H280" s="48" t="s">
        <v>1648</v>
      </c>
      <c r="I280" s="48" t="s">
        <v>2545</v>
      </c>
      <c r="J280" s="247" t="s">
        <v>3347</v>
      </c>
      <c r="K280" s="247" t="s">
        <v>1648</v>
      </c>
    </row>
    <row r="281" spans="1:11" ht="13.5" thickBot="1" x14ac:dyDescent="0.25">
      <c r="A281" s="48" t="s">
        <v>502</v>
      </c>
      <c r="B281" s="224" t="s">
        <v>501</v>
      </c>
      <c r="C281" s="48" t="s">
        <v>22</v>
      </c>
      <c r="D281" s="226">
        <v>15736</v>
      </c>
      <c r="E281" s="48" t="s">
        <v>2618</v>
      </c>
      <c r="F281" s="48" t="s">
        <v>1940</v>
      </c>
      <c r="G281" s="48" t="s">
        <v>3098</v>
      </c>
      <c r="H281" s="48" t="s">
        <v>1648</v>
      </c>
      <c r="I281" s="48" t="s">
        <v>2545</v>
      </c>
      <c r="J281" s="246" t="s">
        <v>3141</v>
      </c>
      <c r="K281" s="247" t="s">
        <v>1612</v>
      </c>
    </row>
    <row r="282" spans="1:11" ht="13.5" thickBot="1" x14ac:dyDescent="0.25">
      <c r="A282" s="48" t="s">
        <v>506</v>
      </c>
      <c r="B282" s="224" t="s">
        <v>505</v>
      </c>
      <c r="C282" s="48" t="s">
        <v>22</v>
      </c>
      <c r="D282" s="226">
        <v>13097</v>
      </c>
      <c r="E282" s="48" t="s">
        <v>3471</v>
      </c>
      <c r="F282" s="48" t="s">
        <v>2324</v>
      </c>
      <c r="G282" s="48" t="s">
        <v>3059</v>
      </c>
      <c r="H282" s="48" t="s">
        <v>1649</v>
      </c>
      <c r="I282" s="48" t="s">
        <v>2009</v>
      </c>
      <c r="J282" s="247" t="s">
        <v>2009</v>
      </c>
      <c r="K282" s="247" t="s">
        <v>2009</v>
      </c>
    </row>
    <row r="283" spans="1:11" ht="13.5" thickBot="1" x14ac:dyDescent="0.25">
      <c r="A283" s="48" t="s">
        <v>516</v>
      </c>
      <c r="B283" s="224" t="s">
        <v>515</v>
      </c>
      <c r="C283" s="48" t="s">
        <v>22</v>
      </c>
      <c r="D283" s="226">
        <v>22857</v>
      </c>
      <c r="E283" s="48" t="s">
        <v>3363</v>
      </c>
      <c r="F283" s="48" t="s">
        <v>2010</v>
      </c>
      <c r="G283" s="48" t="s">
        <v>3144</v>
      </c>
      <c r="H283" s="48" t="s">
        <v>1648</v>
      </c>
      <c r="I283" s="48" t="s">
        <v>2545</v>
      </c>
      <c r="J283" s="247" t="s">
        <v>3364</v>
      </c>
      <c r="K283" s="247" t="s">
        <v>1612</v>
      </c>
    </row>
    <row r="284" spans="1:11" ht="13.5" thickBot="1" x14ac:dyDescent="0.25">
      <c r="A284" s="48" t="s">
        <v>530</v>
      </c>
      <c r="B284" s="224" t="s">
        <v>529</v>
      </c>
      <c r="C284" s="48" t="s">
        <v>22</v>
      </c>
      <c r="D284" s="226">
        <v>24520</v>
      </c>
      <c r="E284" s="48" t="s">
        <v>2653</v>
      </c>
      <c r="F284" s="48" t="s">
        <v>2057</v>
      </c>
      <c r="G284" s="48" t="s">
        <v>3072</v>
      </c>
      <c r="H284" s="48" t="s">
        <v>1648</v>
      </c>
      <c r="I284" s="48" t="s">
        <v>2545</v>
      </c>
      <c r="J284" s="246" t="s">
        <v>3079</v>
      </c>
      <c r="K284" s="247" t="s">
        <v>1648</v>
      </c>
    </row>
    <row r="285" spans="1:11" ht="13.5" thickBot="1" x14ac:dyDescent="0.25">
      <c r="A285" s="48" t="s">
        <v>546</v>
      </c>
      <c r="B285" s="224" t="s">
        <v>545</v>
      </c>
      <c r="C285" s="48" t="s">
        <v>22</v>
      </c>
      <c r="D285" s="226">
        <v>12561</v>
      </c>
      <c r="E285" s="48" t="s">
        <v>3472</v>
      </c>
      <c r="F285" s="48" t="s">
        <v>2674</v>
      </c>
      <c r="G285" s="48" t="s">
        <v>3058</v>
      </c>
      <c r="H285" s="48" t="s">
        <v>1649</v>
      </c>
      <c r="I285" s="48" t="s">
        <v>2009</v>
      </c>
      <c r="J285" s="247" t="s">
        <v>2009</v>
      </c>
      <c r="K285" s="247" t="s">
        <v>1648</v>
      </c>
    </row>
    <row r="286" spans="1:11" ht="13.5" thickBot="1" x14ac:dyDescent="0.25">
      <c r="A286" s="48" t="s">
        <v>556</v>
      </c>
      <c r="B286" s="224" t="s">
        <v>555</v>
      </c>
      <c r="C286" s="48" t="s">
        <v>22</v>
      </c>
      <c r="D286" s="226">
        <v>24164</v>
      </c>
      <c r="E286" s="48" t="s">
        <v>3394</v>
      </c>
      <c r="F286" s="48" t="s">
        <v>2682</v>
      </c>
      <c r="G286" s="48" t="s">
        <v>3077</v>
      </c>
      <c r="H286" s="48" t="s">
        <v>1648</v>
      </c>
      <c r="I286" s="48" t="s">
        <v>2545</v>
      </c>
      <c r="J286" s="247" t="s">
        <v>3395</v>
      </c>
      <c r="K286" s="247" t="s">
        <v>1612</v>
      </c>
    </row>
    <row r="287" spans="1:11" ht="13.5" thickBot="1" x14ac:dyDescent="0.25">
      <c r="A287" s="48" t="s">
        <v>558</v>
      </c>
      <c r="B287" s="224" t="s">
        <v>557</v>
      </c>
      <c r="C287" s="48" t="s">
        <v>22</v>
      </c>
      <c r="D287" s="226">
        <v>14230</v>
      </c>
      <c r="E287" s="48" t="s">
        <v>2682</v>
      </c>
      <c r="F287" s="48" t="s">
        <v>1973</v>
      </c>
      <c r="G287" s="48" t="s">
        <v>3072</v>
      </c>
      <c r="H287" s="48" t="s">
        <v>1648</v>
      </c>
      <c r="I287" s="48" t="s">
        <v>2545</v>
      </c>
      <c r="J287" s="247" t="s">
        <v>3331</v>
      </c>
      <c r="K287" s="247" t="s">
        <v>1648</v>
      </c>
    </row>
    <row r="288" spans="1:11" ht="13.5" thickBot="1" x14ac:dyDescent="0.25">
      <c r="A288" s="48" t="s">
        <v>562</v>
      </c>
      <c r="B288" s="224" t="s">
        <v>561</v>
      </c>
      <c r="C288" s="48" t="s">
        <v>22</v>
      </c>
      <c r="D288" s="226">
        <v>20526</v>
      </c>
      <c r="E288" s="48" t="s">
        <v>2690</v>
      </c>
      <c r="F288" s="48" t="s">
        <v>1940</v>
      </c>
      <c r="G288" s="48" t="s">
        <v>3098</v>
      </c>
      <c r="H288" s="48" t="s">
        <v>1649</v>
      </c>
      <c r="I288" s="48" t="s">
        <v>2009</v>
      </c>
      <c r="J288" s="247" t="s">
        <v>2009</v>
      </c>
      <c r="K288" s="247" t="s">
        <v>1612</v>
      </c>
    </row>
    <row r="289" spans="1:11" ht="13.5" thickBot="1" x14ac:dyDescent="0.25">
      <c r="A289" s="48" t="s">
        <v>570</v>
      </c>
      <c r="B289" s="224" t="s">
        <v>569</v>
      </c>
      <c r="C289" s="48" t="s">
        <v>22</v>
      </c>
      <c r="D289" s="226">
        <v>13579</v>
      </c>
      <c r="E289" s="48" t="s">
        <v>2699</v>
      </c>
      <c r="F289" s="48" t="s">
        <v>2446</v>
      </c>
      <c r="G289" s="48" t="s">
        <v>3072</v>
      </c>
      <c r="H289" s="48" t="s">
        <v>1648</v>
      </c>
      <c r="I289" s="48" t="s">
        <v>2545</v>
      </c>
      <c r="J289" s="246" t="s">
        <v>3105</v>
      </c>
      <c r="K289" s="247" t="s">
        <v>1612</v>
      </c>
    </row>
    <row r="290" spans="1:11" ht="13.5" thickBot="1" x14ac:dyDescent="0.25">
      <c r="A290" s="48" t="s">
        <v>580</v>
      </c>
      <c r="B290" s="224" t="s">
        <v>579</v>
      </c>
      <c r="C290" s="48" t="s">
        <v>22</v>
      </c>
      <c r="D290" s="226">
        <v>16709</v>
      </c>
      <c r="E290" s="48" t="s">
        <v>3399</v>
      </c>
      <c r="F290" s="48" t="s">
        <v>1958</v>
      </c>
      <c r="G290" s="48" t="s">
        <v>3077</v>
      </c>
      <c r="H290" s="48" t="s">
        <v>1648</v>
      </c>
      <c r="I290" s="48" t="s">
        <v>2545</v>
      </c>
      <c r="J290" s="247" t="s">
        <v>3400</v>
      </c>
      <c r="K290" s="247" t="s">
        <v>1648</v>
      </c>
    </row>
    <row r="291" spans="1:11" ht="13.5" thickBot="1" x14ac:dyDescent="0.25">
      <c r="A291" s="48" t="s">
        <v>596</v>
      </c>
      <c r="B291" s="224" t="s">
        <v>595</v>
      </c>
      <c r="C291" s="48" t="s">
        <v>22</v>
      </c>
      <c r="D291" s="226">
        <v>19629</v>
      </c>
      <c r="E291" s="48" t="s">
        <v>2131</v>
      </c>
      <c r="F291" s="48" t="s">
        <v>2131</v>
      </c>
      <c r="G291" s="48" t="s">
        <v>3053</v>
      </c>
      <c r="H291" s="48" t="s">
        <v>1648</v>
      </c>
      <c r="I291" s="48" t="s">
        <v>2545</v>
      </c>
      <c r="J291" s="247" t="s">
        <v>3189</v>
      </c>
      <c r="K291" s="247" t="s">
        <v>1648</v>
      </c>
    </row>
    <row r="292" spans="1:11" ht="13.5" thickBot="1" x14ac:dyDescent="0.25">
      <c r="A292" s="48" t="s">
        <v>598</v>
      </c>
      <c r="B292" s="224" t="s">
        <v>597</v>
      </c>
      <c r="C292" s="48" t="s">
        <v>22</v>
      </c>
      <c r="D292" s="226">
        <v>13912</v>
      </c>
      <c r="E292" s="48" t="s">
        <v>3473</v>
      </c>
      <c r="F292" s="48" t="s">
        <v>2002</v>
      </c>
      <c r="G292" s="48" t="s">
        <v>3061</v>
      </c>
      <c r="H292" s="48" t="s">
        <v>1649</v>
      </c>
      <c r="I292" s="48" t="s">
        <v>2009</v>
      </c>
      <c r="J292" s="247" t="s">
        <v>2009</v>
      </c>
      <c r="K292" s="247" t="s">
        <v>1648</v>
      </c>
    </row>
    <row r="293" spans="1:11" ht="13.5" thickBot="1" x14ac:dyDescent="0.25">
      <c r="A293" s="48" t="s">
        <v>602</v>
      </c>
      <c r="B293" s="224" t="s">
        <v>601</v>
      </c>
      <c r="C293" s="48" t="s">
        <v>22</v>
      </c>
      <c r="D293" s="226">
        <v>14878</v>
      </c>
      <c r="E293" s="48" t="s">
        <v>3109</v>
      </c>
      <c r="F293" s="48" t="s">
        <v>2750</v>
      </c>
      <c r="G293" s="48" t="s">
        <v>3077</v>
      </c>
      <c r="H293" s="48" t="s">
        <v>1648</v>
      </c>
      <c r="I293" s="48" t="s">
        <v>2545</v>
      </c>
      <c r="J293" s="246" t="s">
        <v>3103</v>
      </c>
      <c r="K293" s="247" t="s">
        <v>1648</v>
      </c>
    </row>
    <row r="294" spans="1:11" ht="13.5" thickBot="1" x14ac:dyDescent="0.25">
      <c r="A294" s="48" t="s">
        <v>636</v>
      </c>
      <c r="B294" s="224" t="s">
        <v>635</v>
      </c>
      <c r="C294" s="48" t="s">
        <v>22</v>
      </c>
      <c r="D294" s="226">
        <v>12486</v>
      </c>
      <c r="E294" s="48" t="s">
        <v>3474</v>
      </c>
      <c r="F294" s="48" t="s">
        <v>1979</v>
      </c>
      <c r="G294" s="48" t="s">
        <v>3098</v>
      </c>
      <c r="H294" s="48" t="s">
        <v>1649</v>
      </c>
      <c r="I294" s="48" t="s">
        <v>2009</v>
      </c>
      <c r="J294" s="247" t="s">
        <v>2009</v>
      </c>
      <c r="K294" s="247" t="s">
        <v>1649</v>
      </c>
    </row>
    <row r="295" spans="1:11" ht="13.5" thickBot="1" x14ac:dyDescent="0.25">
      <c r="A295" s="48" t="s">
        <v>662</v>
      </c>
      <c r="B295" s="224" t="s">
        <v>661</v>
      </c>
      <c r="C295" s="48" t="s">
        <v>22</v>
      </c>
      <c r="D295" s="226">
        <v>16753</v>
      </c>
      <c r="E295" s="48" t="s">
        <v>3138</v>
      </c>
      <c r="F295" s="48" t="s">
        <v>2006</v>
      </c>
      <c r="G295" s="48" t="s">
        <v>3098</v>
      </c>
      <c r="H295" s="48" t="s">
        <v>1648</v>
      </c>
      <c r="I295" s="48" t="s">
        <v>2545</v>
      </c>
      <c r="J295" s="246" t="s">
        <v>3139</v>
      </c>
      <c r="K295" s="247" t="s">
        <v>1612</v>
      </c>
    </row>
    <row r="296" spans="1:11" ht="13.5" thickBot="1" x14ac:dyDescent="0.25">
      <c r="A296" s="48" t="s">
        <v>704</v>
      </c>
      <c r="B296" s="224" t="s">
        <v>703</v>
      </c>
      <c r="C296" s="48" t="s">
        <v>22</v>
      </c>
      <c r="D296" s="226">
        <v>18260</v>
      </c>
      <c r="E296" s="48" t="s">
        <v>2869</v>
      </c>
      <c r="F296" s="48" t="s">
        <v>1980</v>
      </c>
      <c r="G296" s="48" t="s">
        <v>3074</v>
      </c>
      <c r="H296" s="48" t="s">
        <v>1648</v>
      </c>
      <c r="I296" s="48" t="s">
        <v>2545</v>
      </c>
      <c r="J296" s="246" t="s">
        <v>3122</v>
      </c>
      <c r="K296" s="247" t="s">
        <v>1648</v>
      </c>
    </row>
    <row r="297" spans="1:11" ht="13.5" thickBot="1" x14ac:dyDescent="0.25">
      <c r="A297" s="48" t="s">
        <v>706</v>
      </c>
      <c r="B297" s="224" t="s">
        <v>705</v>
      </c>
      <c r="C297" s="48" t="s">
        <v>22</v>
      </c>
      <c r="D297" s="226">
        <v>13940</v>
      </c>
      <c r="E297" s="48" t="s">
        <v>3345</v>
      </c>
      <c r="F297" s="48" t="s">
        <v>1940</v>
      </c>
      <c r="G297" s="48" t="s">
        <v>3098</v>
      </c>
      <c r="H297" s="48" t="s">
        <v>1648</v>
      </c>
      <c r="I297" s="48" t="s">
        <v>2545</v>
      </c>
      <c r="J297" s="247" t="s">
        <v>3346</v>
      </c>
      <c r="K297" s="247" t="s">
        <v>2009</v>
      </c>
    </row>
    <row r="298" spans="1:11" ht="13.5" thickBot="1" x14ac:dyDescent="0.25">
      <c r="A298" s="48" t="s">
        <v>712</v>
      </c>
      <c r="B298" s="224" t="s">
        <v>711</v>
      </c>
      <c r="C298" s="48" t="s">
        <v>22</v>
      </c>
      <c r="D298" s="226">
        <v>17937</v>
      </c>
      <c r="E298" s="48" t="s">
        <v>2880</v>
      </c>
      <c r="F298" s="48" t="s">
        <v>2126</v>
      </c>
      <c r="G298" s="48" t="s">
        <v>3072</v>
      </c>
      <c r="H298" s="48" t="s">
        <v>1648</v>
      </c>
      <c r="I298" s="48" t="s">
        <v>2545</v>
      </c>
      <c r="J298" s="247" t="s">
        <v>3381</v>
      </c>
      <c r="K298" s="247" t="s">
        <v>1612</v>
      </c>
    </row>
    <row r="299" spans="1:11" ht="13.5" thickBot="1" x14ac:dyDescent="0.25">
      <c r="A299" s="48" t="s">
        <v>730</v>
      </c>
      <c r="B299" s="224" t="s">
        <v>729</v>
      </c>
      <c r="C299" s="48" t="s">
        <v>22</v>
      </c>
      <c r="D299" s="226">
        <v>18134</v>
      </c>
      <c r="E299" s="48" t="s">
        <v>2897</v>
      </c>
      <c r="F299" s="48" t="s">
        <v>1947</v>
      </c>
      <c r="G299" s="48" t="s">
        <v>3061</v>
      </c>
      <c r="H299" s="48" t="s">
        <v>1648</v>
      </c>
      <c r="I299" s="48" t="s">
        <v>2545</v>
      </c>
      <c r="J299" s="247" t="s">
        <v>3295</v>
      </c>
      <c r="K299" s="247" t="s">
        <v>1612</v>
      </c>
    </row>
    <row r="300" spans="1:11" ht="13.5" thickBot="1" x14ac:dyDescent="0.25">
      <c r="A300" s="48" t="s">
        <v>742</v>
      </c>
      <c r="B300" s="224" t="s">
        <v>741</v>
      </c>
      <c r="C300" s="48" t="s">
        <v>22</v>
      </c>
      <c r="D300" s="226">
        <v>15497</v>
      </c>
      <c r="E300" s="48" t="s">
        <v>3272</v>
      </c>
      <c r="F300" s="48" t="s">
        <v>2264</v>
      </c>
      <c r="G300" s="48" t="s">
        <v>3074</v>
      </c>
      <c r="H300" s="48" t="s">
        <v>1648</v>
      </c>
      <c r="I300" s="48" t="s">
        <v>2545</v>
      </c>
      <c r="J300" s="247" t="s">
        <v>3273</v>
      </c>
      <c r="K300" s="247" t="s">
        <v>1649</v>
      </c>
    </row>
    <row r="301" spans="1:11" ht="13.5" thickBot="1" x14ac:dyDescent="0.25">
      <c r="A301" s="48" t="s">
        <v>746</v>
      </c>
      <c r="B301" s="224" t="s">
        <v>745</v>
      </c>
      <c r="C301" s="48" t="s">
        <v>22</v>
      </c>
      <c r="D301" s="226">
        <v>14253</v>
      </c>
      <c r="E301" s="48" t="s">
        <v>3292</v>
      </c>
      <c r="F301" s="48" t="s">
        <v>2126</v>
      </c>
      <c r="G301" s="48" t="s">
        <v>3072</v>
      </c>
      <c r="H301" s="48" t="s">
        <v>1648</v>
      </c>
      <c r="I301" s="48" t="s">
        <v>2545</v>
      </c>
      <c r="J301" s="247" t="s">
        <v>3293</v>
      </c>
      <c r="K301" s="247" t="s">
        <v>1648</v>
      </c>
    </row>
    <row r="302" spans="1:11" ht="13.5" thickBot="1" x14ac:dyDescent="0.25">
      <c r="A302" s="48" t="s">
        <v>766</v>
      </c>
      <c r="B302" s="224" t="s">
        <v>765</v>
      </c>
      <c r="C302" s="48" t="s">
        <v>22</v>
      </c>
      <c r="D302" s="226">
        <v>12238</v>
      </c>
      <c r="E302" s="48" t="s">
        <v>3110</v>
      </c>
      <c r="F302" s="48" t="s">
        <v>2022</v>
      </c>
      <c r="G302" s="48" t="s">
        <v>3072</v>
      </c>
      <c r="H302" s="48" t="s">
        <v>1648</v>
      </c>
      <c r="I302" s="48" t="s">
        <v>2545</v>
      </c>
      <c r="J302" s="246" t="s">
        <v>3105</v>
      </c>
      <c r="K302" s="247" t="s">
        <v>1648</v>
      </c>
    </row>
    <row r="303" spans="1:11" ht="13.5" thickBot="1" x14ac:dyDescent="0.25">
      <c r="A303" s="48" t="s">
        <v>786</v>
      </c>
      <c r="B303" s="224" t="s">
        <v>785</v>
      </c>
      <c r="C303" s="48" t="s">
        <v>22</v>
      </c>
      <c r="D303" s="226">
        <v>17593</v>
      </c>
      <c r="E303" s="48" t="s">
        <v>1979</v>
      </c>
      <c r="F303" s="48" t="s">
        <v>1979</v>
      </c>
      <c r="G303" s="48" t="s">
        <v>3098</v>
      </c>
      <c r="H303" s="48" t="s">
        <v>1648</v>
      </c>
      <c r="I303" s="48" t="s">
        <v>2545</v>
      </c>
      <c r="J303" s="247" t="s">
        <v>3326</v>
      </c>
      <c r="K303" s="247" t="s">
        <v>1649</v>
      </c>
    </row>
    <row r="304" spans="1:11" ht="13.5" thickBot="1" x14ac:dyDescent="0.25">
      <c r="A304" s="48" t="s">
        <v>812</v>
      </c>
      <c r="B304" s="224" t="s">
        <v>811</v>
      </c>
      <c r="C304" s="48" t="s">
        <v>22</v>
      </c>
      <c r="D304" s="226">
        <v>13498</v>
      </c>
      <c r="E304" s="48" t="s">
        <v>3137</v>
      </c>
      <c r="F304" s="48" t="s">
        <v>1940</v>
      </c>
      <c r="G304" s="48" t="s">
        <v>3098</v>
      </c>
      <c r="H304" s="48" t="s">
        <v>1648</v>
      </c>
      <c r="I304" s="48" t="s">
        <v>2545</v>
      </c>
      <c r="J304" s="246" t="s">
        <v>3135</v>
      </c>
      <c r="K304" s="247" t="s">
        <v>1612</v>
      </c>
    </row>
    <row r="305" spans="1:11" ht="13.5" thickBot="1" x14ac:dyDescent="0.25">
      <c r="A305" s="48" t="s">
        <v>38</v>
      </c>
      <c r="B305" s="224" t="s">
        <v>37</v>
      </c>
      <c r="C305" s="48" t="s">
        <v>39</v>
      </c>
      <c r="D305" s="226">
        <v>28210</v>
      </c>
      <c r="E305" s="48" t="s">
        <v>3475</v>
      </c>
      <c r="F305" s="48" t="s">
        <v>1979</v>
      </c>
      <c r="G305" s="48" t="s">
        <v>3098</v>
      </c>
      <c r="H305" s="48" t="s">
        <v>1649</v>
      </c>
      <c r="I305" s="48" t="s">
        <v>2009</v>
      </c>
      <c r="J305" s="247" t="s">
        <v>2009</v>
      </c>
      <c r="K305" s="247" t="s">
        <v>2009</v>
      </c>
    </row>
    <row r="306" spans="1:11" ht="13.5" thickBot="1" x14ac:dyDescent="0.25">
      <c r="A306" s="48" t="s">
        <v>41</v>
      </c>
      <c r="B306" s="224" t="s">
        <v>40</v>
      </c>
      <c r="C306" s="48" t="s">
        <v>39</v>
      </c>
      <c r="D306" s="226">
        <v>28283</v>
      </c>
      <c r="E306" s="48" t="s">
        <v>1981</v>
      </c>
      <c r="F306" s="48" t="s">
        <v>1980</v>
      </c>
      <c r="G306" s="48" t="s">
        <v>3074</v>
      </c>
      <c r="H306" s="48" t="s">
        <v>1648</v>
      </c>
      <c r="I306" s="48" t="s">
        <v>2545</v>
      </c>
      <c r="J306" s="246" t="s">
        <v>3079</v>
      </c>
      <c r="K306" s="247" t="s">
        <v>1648</v>
      </c>
    </row>
    <row r="307" spans="1:11" ht="13.5" thickBot="1" x14ac:dyDescent="0.25">
      <c r="A307" s="48" t="s">
        <v>49</v>
      </c>
      <c r="B307" s="224" t="s">
        <v>48</v>
      </c>
      <c r="C307" s="48" t="s">
        <v>39</v>
      </c>
      <c r="D307" s="226">
        <v>29598</v>
      </c>
      <c r="E307" s="48" t="s">
        <v>1997</v>
      </c>
      <c r="F307" s="48" t="s">
        <v>1997</v>
      </c>
      <c r="G307" s="48" t="s">
        <v>3053</v>
      </c>
      <c r="H307" s="48" t="s">
        <v>1648</v>
      </c>
      <c r="I307" s="48" t="s">
        <v>2545</v>
      </c>
      <c r="J307" s="247" t="s">
        <v>3238</v>
      </c>
      <c r="K307" s="247" t="s">
        <v>1612</v>
      </c>
    </row>
    <row r="308" spans="1:11" ht="13.5" thickBot="1" x14ac:dyDescent="0.25">
      <c r="A308" s="48" t="s">
        <v>72</v>
      </c>
      <c r="B308" s="224" t="s">
        <v>71</v>
      </c>
      <c r="C308" s="48" t="s">
        <v>39</v>
      </c>
      <c r="D308" s="226">
        <v>35350</v>
      </c>
      <c r="E308" s="48" t="s">
        <v>3476</v>
      </c>
      <c r="F308" s="48" t="s">
        <v>1940</v>
      </c>
      <c r="G308" s="48" t="s">
        <v>3098</v>
      </c>
      <c r="H308" s="48" t="s">
        <v>1649</v>
      </c>
      <c r="I308" s="48" t="s">
        <v>2009</v>
      </c>
      <c r="J308" s="247" t="s">
        <v>2009</v>
      </c>
      <c r="K308" s="247" t="s">
        <v>1648</v>
      </c>
    </row>
    <row r="309" spans="1:11" ht="13.5" thickBot="1" x14ac:dyDescent="0.25">
      <c r="A309" s="48" t="s">
        <v>84</v>
      </c>
      <c r="B309" s="224" t="s">
        <v>83</v>
      </c>
      <c r="C309" s="48" t="s">
        <v>39</v>
      </c>
      <c r="D309" s="226">
        <v>42361</v>
      </c>
      <c r="E309" s="48" t="s">
        <v>3477</v>
      </c>
      <c r="F309" s="48" t="s">
        <v>1979</v>
      </c>
      <c r="G309" s="48" t="s">
        <v>3098</v>
      </c>
      <c r="H309" s="48" t="s">
        <v>1649</v>
      </c>
      <c r="I309" s="48" t="s">
        <v>2009</v>
      </c>
      <c r="J309" s="247" t="s">
        <v>2009</v>
      </c>
      <c r="K309" s="247" t="s">
        <v>1612</v>
      </c>
    </row>
    <row r="310" spans="1:11" ht="13.5" thickBot="1" x14ac:dyDescent="0.25">
      <c r="A310" s="48" t="s">
        <v>108</v>
      </c>
      <c r="B310" s="224" t="s">
        <v>107</v>
      </c>
      <c r="C310" s="48" t="s">
        <v>39</v>
      </c>
      <c r="D310" s="226">
        <v>41070</v>
      </c>
      <c r="E310" s="48" t="s">
        <v>3478</v>
      </c>
      <c r="F310" s="48" t="s">
        <v>1940</v>
      </c>
      <c r="G310" s="48" t="s">
        <v>3098</v>
      </c>
      <c r="H310" s="48" t="s">
        <v>1649</v>
      </c>
      <c r="I310" s="48" t="s">
        <v>2009</v>
      </c>
      <c r="J310" s="247" t="s">
        <v>2009</v>
      </c>
      <c r="K310" s="247" t="s">
        <v>1612</v>
      </c>
    </row>
    <row r="311" spans="1:11" ht="13.5" thickBot="1" x14ac:dyDescent="0.25">
      <c r="A311" s="48" t="s">
        <v>114</v>
      </c>
      <c r="B311" s="224" t="s">
        <v>113</v>
      </c>
      <c r="C311" s="48" t="s">
        <v>39</v>
      </c>
      <c r="D311" s="226">
        <v>46905</v>
      </c>
      <c r="E311" s="48" t="s">
        <v>2091</v>
      </c>
      <c r="F311" s="48" t="s">
        <v>2090</v>
      </c>
      <c r="G311" s="48" t="s">
        <v>3061</v>
      </c>
      <c r="H311" s="48" t="s">
        <v>1648</v>
      </c>
      <c r="I311" s="48" t="s">
        <v>2545</v>
      </c>
      <c r="J311" s="247" t="s">
        <v>3279</v>
      </c>
      <c r="K311" s="247" t="s">
        <v>1648</v>
      </c>
    </row>
    <row r="312" spans="1:11" ht="13.5" thickBot="1" x14ac:dyDescent="0.25">
      <c r="A312" s="48" t="s">
        <v>124</v>
      </c>
      <c r="B312" s="224" t="s">
        <v>123</v>
      </c>
      <c r="C312" s="48" t="s">
        <v>39</v>
      </c>
      <c r="D312" s="226">
        <v>43254</v>
      </c>
      <c r="E312" s="48" t="s">
        <v>3479</v>
      </c>
      <c r="F312" s="48" t="s">
        <v>2110</v>
      </c>
      <c r="G312" s="48" t="s">
        <v>3098</v>
      </c>
      <c r="H312" s="48" t="s">
        <v>1649</v>
      </c>
      <c r="I312" s="48" t="s">
        <v>2009</v>
      </c>
      <c r="J312" s="247" t="s">
        <v>2009</v>
      </c>
      <c r="K312" s="247" t="s">
        <v>2009</v>
      </c>
    </row>
    <row r="313" spans="1:11" ht="13.5" thickBot="1" x14ac:dyDescent="0.25">
      <c r="A313" s="48" t="s">
        <v>134</v>
      </c>
      <c r="B313" s="224" t="s">
        <v>133</v>
      </c>
      <c r="C313" s="48" t="s">
        <v>39</v>
      </c>
      <c r="D313" s="226">
        <v>35087</v>
      </c>
      <c r="E313" s="48" t="s">
        <v>3085</v>
      </c>
      <c r="F313" s="48" t="s">
        <v>2128</v>
      </c>
      <c r="G313" s="48" t="s">
        <v>3059</v>
      </c>
      <c r="H313" s="48" t="s">
        <v>1648</v>
      </c>
      <c r="I313" s="48" t="s">
        <v>2545</v>
      </c>
      <c r="J313" s="246" t="s">
        <v>3078</v>
      </c>
      <c r="K313" s="247" t="s">
        <v>1648</v>
      </c>
    </row>
    <row r="314" spans="1:11" ht="26.25" thickBot="1" x14ac:dyDescent="0.25">
      <c r="A314" s="48" t="s">
        <v>150</v>
      </c>
      <c r="B314" s="224" t="s">
        <v>149</v>
      </c>
      <c r="C314" s="48" t="s">
        <v>39</v>
      </c>
      <c r="D314" s="226">
        <v>38002</v>
      </c>
      <c r="E314" s="48" t="s">
        <v>3492</v>
      </c>
      <c r="F314" s="48" t="s">
        <v>2152</v>
      </c>
      <c r="G314" s="48" t="s">
        <v>3072</v>
      </c>
      <c r="H314" s="48" t="s">
        <v>1648</v>
      </c>
      <c r="I314" s="48" t="s">
        <v>2545</v>
      </c>
      <c r="J314" s="247" t="s">
        <v>3493</v>
      </c>
      <c r="K314" s="247" t="s">
        <v>1612</v>
      </c>
    </row>
    <row r="315" spans="1:11" ht="26.25" thickBot="1" x14ac:dyDescent="0.25">
      <c r="A315" s="48" t="s">
        <v>170</v>
      </c>
      <c r="B315" s="224" t="s">
        <v>169</v>
      </c>
      <c r="C315" s="48" t="s">
        <v>39</v>
      </c>
      <c r="D315" s="226">
        <v>43381</v>
      </c>
      <c r="E315" s="48" t="s">
        <v>2188</v>
      </c>
      <c r="F315" s="48" t="s">
        <v>2010</v>
      </c>
      <c r="G315" s="48" t="s">
        <v>3144</v>
      </c>
      <c r="H315" s="48" t="s">
        <v>1648</v>
      </c>
      <c r="I315" s="48" t="s">
        <v>2545</v>
      </c>
      <c r="J315" s="247" t="s">
        <v>3315</v>
      </c>
      <c r="K315" s="247" t="s">
        <v>1612</v>
      </c>
    </row>
    <row r="316" spans="1:11" ht="13.5" thickBot="1" x14ac:dyDescent="0.25">
      <c r="A316" s="48" t="s">
        <v>174</v>
      </c>
      <c r="B316" s="224" t="s">
        <v>173</v>
      </c>
      <c r="C316" s="48" t="s">
        <v>39</v>
      </c>
      <c r="D316" s="226">
        <v>35563</v>
      </c>
      <c r="E316" s="48" t="s">
        <v>3480</v>
      </c>
      <c r="F316" s="48" t="s">
        <v>1940</v>
      </c>
      <c r="G316" s="48" t="s">
        <v>3098</v>
      </c>
      <c r="H316" s="48" t="s">
        <v>1649</v>
      </c>
      <c r="I316" s="48" t="s">
        <v>2009</v>
      </c>
      <c r="J316" s="247" t="s">
        <v>2009</v>
      </c>
      <c r="K316" s="247" t="s">
        <v>1612</v>
      </c>
    </row>
    <row r="317" spans="1:11" ht="13.5" thickBot="1" x14ac:dyDescent="0.25">
      <c r="A317" s="48" t="s">
        <v>188</v>
      </c>
      <c r="B317" s="224" t="s">
        <v>187</v>
      </c>
      <c r="C317" s="48" t="s">
        <v>39</v>
      </c>
      <c r="D317" s="226">
        <v>40186</v>
      </c>
      <c r="E317" s="48" t="s">
        <v>3481</v>
      </c>
      <c r="F317" s="48" t="s">
        <v>1940</v>
      </c>
      <c r="G317" s="48" t="s">
        <v>3098</v>
      </c>
      <c r="H317" s="48" t="s">
        <v>1649</v>
      </c>
      <c r="I317" s="48" t="s">
        <v>2009</v>
      </c>
      <c r="J317" s="247" t="s">
        <v>2009</v>
      </c>
      <c r="K317" s="247" t="s">
        <v>2009</v>
      </c>
    </row>
    <row r="318" spans="1:11" ht="13.5" thickBot="1" x14ac:dyDescent="0.25">
      <c r="A318" s="48" t="s">
        <v>190</v>
      </c>
      <c r="B318" s="224" t="s">
        <v>189</v>
      </c>
      <c r="C318" s="48" t="s">
        <v>39</v>
      </c>
      <c r="D318" s="226">
        <v>28263</v>
      </c>
      <c r="E318" s="48" t="s">
        <v>3384</v>
      </c>
      <c r="F318" s="48" t="s">
        <v>2215</v>
      </c>
      <c r="G318" s="48" t="s">
        <v>3055</v>
      </c>
      <c r="H318" s="48" t="s">
        <v>1648</v>
      </c>
      <c r="I318" s="48" t="s">
        <v>2545</v>
      </c>
      <c r="J318" s="247" t="s">
        <v>3385</v>
      </c>
      <c r="K318" s="247" t="s">
        <v>1648</v>
      </c>
    </row>
    <row r="319" spans="1:11" ht="13.5" thickBot="1" x14ac:dyDescent="0.25">
      <c r="A319" s="48" t="s">
        <v>200</v>
      </c>
      <c r="B319" s="224" t="s">
        <v>199</v>
      </c>
      <c r="C319" s="48" t="s">
        <v>39</v>
      </c>
      <c r="D319" s="226">
        <v>26391</v>
      </c>
      <c r="E319" s="48" t="s">
        <v>2233</v>
      </c>
      <c r="F319" s="48" t="s">
        <v>2110</v>
      </c>
      <c r="G319" s="48" t="s">
        <v>3098</v>
      </c>
      <c r="H319" s="48" t="s">
        <v>1648</v>
      </c>
      <c r="I319" s="48" t="s">
        <v>2545</v>
      </c>
      <c r="J319" s="247" t="s">
        <v>3200</v>
      </c>
      <c r="K319" s="247" t="s">
        <v>1612</v>
      </c>
    </row>
    <row r="320" spans="1:11" ht="13.5" thickBot="1" x14ac:dyDescent="0.25">
      <c r="A320" s="48" t="s">
        <v>218</v>
      </c>
      <c r="B320" s="224" t="s">
        <v>217</v>
      </c>
      <c r="C320" s="48" t="s">
        <v>39</v>
      </c>
      <c r="D320" s="226">
        <v>32799</v>
      </c>
      <c r="E320" s="48" t="s">
        <v>3307</v>
      </c>
      <c r="F320" s="48" t="s">
        <v>2055</v>
      </c>
      <c r="G320" s="48" t="s">
        <v>3061</v>
      </c>
      <c r="H320" s="48" t="s">
        <v>1649</v>
      </c>
      <c r="I320" s="48" t="s">
        <v>2009</v>
      </c>
      <c r="J320" s="247" t="s">
        <v>2009</v>
      </c>
      <c r="K320" s="247" t="s">
        <v>1612</v>
      </c>
    </row>
    <row r="321" spans="1:11" ht="13.5" thickBot="1" x14ac:dyDescent="0.25">
      <c r="A321" s="48" t="s">
        <v>228</v>
      </c>
      <c r="B321" s="224" t="s">
        <v>227</v>
      </c>
      <c r="C321" s="48" t="s">
        <v>39</v>
      </c>
      <c r="D321" s="226">
        <v>26168</v>
      </c>
      <c r="E321" s="48" t="s">
        <v>3259</v>
      </c>
      <c r="F321" s="48" t="s">
        <v>2280</v>
      </c>
      <c r="G321" s="48" t="s">
        <v>3053</v>
      </c>
      <c r="H321" s="48" t="s">
        <v>1648</v>
      </c>
      <c r="I321" s="48" t="s">
        <v>2545</v>
      </c>
      <c r="J321" s="247" t="s">
        <v>3258</v>
      </c>
      <c r="K321" s="247" t="s">
        <v>1612</v>
      </c>
    </row>
    <row r="322" spans="1:11" ht="13.5" thickBot="1" x14ac:dyDescent="0.25">
      <c r="A322" s="48" t="s">
        <v>240</v>
      </c>
      <c r="B322" s="224" t="s">
        <v>239</v>
      </c>
      <c r="C322" s="48" t="s">
        <v>39</v>
      </c>
      <c r="D322" s="226">
        <v>48579</v>
      </c>
      <c r="E322" s="48" t="s">
        <v>3245</v>
      </c>
      <c r="F322" s="48" t="s">
        <v>1939</v>
      </c>
      <c r="G322" s="48" t="s">
        <v>3061</v>
      </c>
      <c r="H322" s="48" t="s">
        <v>1648</v>
      </c>
      <c r="I322" s="48" t="s">
        <v>2545</v>
      </c>
      <c r="J322" s="247" t="s">
        <v>3246</v>
      </c>
      <c r="K322" s="247" t="s">
        <v>1612</v>
      </c>
    </row>
    <row r="323" spans="1:11" ht="13.5" thickBot="1" x14ac:dyDescent="0.25">
      <c r="A323" s="48" t="s">
        <v>242</v>
      </c>
      <c r="B323" s="224" t="s">
        <v>241</v>
      </c>
      <c r="C323" s="48" t="s">
        <v>39</v>
      </c>
      <c r="D323" s="226">
        <v>32442</v>
      </c>
      <c r="E323" s="48" t="s">
        <v>3149</v>
      </c>
      <c r="F323" s="48" t="s">
        <v>2010</v>
      </c>
      <c r="G323" s="48" t="s">
        <v>3144</v>
      </c>
      <c r="H323" s="48" t="s">
        <v>1648</v>
      </c>
      <c r="I323" s="48" t="s">
        <v>2545</v>
      </c>
      <c r="J323" s="246" t="s">
        <v>3145</v>
      </c>
      <c r="K323" s="247" t="s">
        <v>1612</v>
      </c>
    </row>
    <row r="324" spans="1:11" ht="13.5" thickBot="1" x14ac:dyDescent="0.25">
      <c r="A324" s="48" t="s">
        <v>300</v>
      </c>
      <c r="B324" s="224" t="s">
        <v>299</v>
      </c>
      <c r="C324" s="48" t="s">
        <v>39</v>
      </c>
      <c r="D324" s="226">
        <v>27692</v>
      </c>
      <c r="E324" s="48" t="s">
        <v>3482</v>
      </c>
      <c r="F324" s="48" t="s">
        <v>1979</v>
      </c>
      <c r="G324" s="48" t="s">
        <v>3098</v>
      </c>
      <c r="H324" s="48" t="s">
        <v>1649</v>
      </c>
      <c r="I324" s="48" t="s">
        <v>2009</v>
      </c>
      <c r="J324" s="247" t="s">
        <v>2009</v>
      </c>
      <c r="K324" s="247" t="s">
        <v>2009</v>
      </c>
    </row>
    <row r="325" spans="1:11" ht="13.5" thickBot="1" x14ac:dyDescent="0.25">
      <c r="A325" s="48" t="s">
        <v>308</v>
      </c>
      <c r="B325" s="224" t="s">
        <v>307</v>
      </c>
      <c r="C325" s="48" t="s">
        <v>39</v>
      </c>
      <c r="D325" s="226">
        <v>46985</v>
      </c>
      <c r="E325" s="48" t="s">
        <v>3132</v>
      </c>
      <c r="F325" s="48" t="s">
        <v>1980</v>
      </c>
      <c r="G325" s="48" t="s">
        <v>3074</v>
      </c>
      <c r="H325" s="48" t="s">
        <v>1648</v>
      </c>
      <c r="I325" s="48" t="s">
        <v>2545</v>
      </c>
      <c r="J325" s="246" t="s">
        <v>3133</v>
      </c>
      <c r="K325" s="247" t="s">
        <v>1612</v>
      </c>
    </row>
    <row r="326" spans="1:11" ht="13.5" thickBot="1" x14ac:dyDescent="0.25">
      <c r="A326" s="48" t="s">
        <v>328</v>
      </c>
      <c r="B326" s="224" t="s">
        <v>327</v>
      </c>
      <c r="C326" s="48" t="s">
        <v>39</v>
      </c>
      <c r="D326" s="226">
        <v>40898</v>
      </c>
      <c r="E326" s="48" t="s">
        <v>2367</v>
      </c>
      <c r="F326" s="48" t="s">
        <v>2367</v>
      </c>
      <c r="G326" s="48" t="s">
        <v>3074</v>
      </c>
      <c r="H326" s="48" t="s">
        <v>1648</v>
      </c>
      <c r="I326" s="48" t="s">
        <v>2545</v>
      </c>
      <c r="J326" s="247" t="s">
        <v>3347</v>
      </c>
      <c r="K326" s="247" t="s">
        <v>1612</v>
      </c>
    </row>
    <row r="327" spans="1:11" ht="13.5" thickBot="1" x14ac:dyDescent="0.25">
      <c r="A327" s="48" t="s">
        <v>386</v>
      </c>
      <c r="B327" s="224" t="s">
        <v>385</v>
      </c>
      <c r="C327" s="48" t="s">
        <v>39</v>
      </c>
      <c r="D327" s="226">
        <v>41786</v>
      </c>
      <c r="E327" s="48" t="s">
        <v>3483</v>
      </c>
      <c r="F327" s="48" t="s">
        <v>2494</v>
      </c>
      <c r="G327" s="48" t="s">
        <v>3058</v>
      </c>
      <c r="H327" s="48" t="s">
        <v>1649</v>
      </c>
      <c r="I327" s="48" t="s">
        <v>2009</v>
      </c>
      <c r="J327" s="247" t="s">
        <v>2009</v>
      </c>
      <c r="K327" s="247" t="s">
        <v>1612</v>
      </c>
    </row>
    <row r="328" spans="1:11" ht="13.5" thickBot="1" x14ac:dyDescent="0.25">
      <c r="A328" s="48" t="s">
        <v>431</v>
      </c>
      <c r="B328" s="224" t="s">
        <v>430</v>
      </c>
      <c r="C328" s="48" t="s">
        <v>39</v>
      </c>
      <c r="D328" s="226">
        <v>40771</v>
      </c>
      <c r="E328" s="48" t="s">
        <v>3248</v>
      </c>
      <c r="F328" s="48" t="s">
        <v>1947</v>
      </c>
      <c r="G328" s="48" t="s">
        <v>3061</v>
      </c>
      <c r="H328" s="48" t="s">
        <v>1648</v>
      </c>
      <c r="I328" s="48" t="s">
        <v>2545</v>
      </c>
      <c r="J328" s="247" t="s">
        <v>3249</v>
      </c>
      <c r="K328" s="247" t="s">
        <v>1612</v>
      </c>
    </row>
    <row r="329" spans="1:11" ht="13.5" thickBot="1" x14ac:dyDescent="0.25">
      <c r="A329" s="48" t="s">
        <v>437</v>
      </c>
      <c r="B329" s="224" t="s">
        <v>436</v>
      </c>
      <c r="C329" s="48" t="s">
        <v>39</v>
      </c>
      <c r="D329" s="226">
        <v>38144</v>
      </c>
      <c r="E329" s="48" t="s">
        <v>3484</v>
      </c>
      <c r="F329" s="48" t="s">
        <v>1979</v>
      </c>
      <c r="G329" s="48" t="s">
        <v>3098</v>
      </c>
      <c r="H329" s="48" t="s">
        <v>1649</v>
      </c>
      <c r="I329" s="48" t="s">
        <v>2009</v>
      </c>
      <c r="J329" s="247" t="s">
        <v>2009</v>
      </c>
      <c r="K329" s="247" t="s">
        <v>1612</v>
      </c>
    </row>
    <row r="330" spans="1:11" ht="13.5" thickBot="1" x14ac:dyDescent="0.25">
      <c r="A330" s="48" t="s">
        <v>448</v>
      </c>
      <c r="B330" s="224" t="s">
        <v>447</v>
      </c>
      <c r="C330" s="48" t="s">
        <v>39</v>
      </c>
      <c r="D330" s="226">
        <v>35540</v>
      </c>
      <c r="E330" s="48" t="s">
        <v>2554</v>
      </c>
      <c r="F330" s="48" t="s">
        <v>1980</v>
      </c>
      <c r="G330" s="48" t="s">
        <v>3074</v>
      </c>
      <c r="H330" s="48" t="s">
        <v>1648</v>
      </c>
      <c r="I330" s="48" t="s">
        <v>2545</v>
      </c>
      <c r="J330" s="247" t="s">
        <v>3393</v>
      </c>
      <c r="K330" s="247" t="s">
        <v>1612</v>
      </c>
    </row>
    <row r="331" spans="1:11" ht="13.5" thickBot="1" x14ac:dyDescent="0.25">
      <c r="A331" s="48" t="s">
        <v>464</v>
      </c>
      <c r="B331" s="224" t="s">
        <v>463</v>
      </c>
      <c r="C331" s="48" t="s">
        <v>39</v>
      </c>
      <c r="D331" s="226">
        <v>29694</v>
      </c>
      <c r="E331" s="48" t="s">
        <v>3180</v>
      </c>
      <c r="F331" s="48" t="s">
        <v>1940</v>
      </c>
      <c r="G331" s="48" t="s">
        <v>3098</v>
      </c>
      <c r="H331" s="48" t="s">
        <v>1648</v>
      </c>
      <c r="I331" s="48" t="s">
        <v>2545</v>
      </c>
      <c r="J331" s="247" t="s">
        <v>3181</v>
      </c>
      <c r="K331" s="247" t="s">
        <v>1612</v>
      </c>
    </row>
    <row r="332" spans="1:11" ht="13.5" thickBot="1" x14ac:dyDescent="0.25">
      <c r="A332" s="48" t="s">
        <v>484</v>
      </c>
      <c r="B332" s="224" t="s">
        <v>483</v>
      </c>
      <c r="C332" s="48" t="s">
        <v>39</v>
      </c>
      <c r="D332" s="226">
        <v>28646</v>
      </c>
      <c r="E332" s="48" t="s">
        <v>3216</v>
      </c>
      <c r="F332" s="48" t="s">
        <v>2595</v>
      </c>
      <c r="G332" s="48" t="s">
        <v>3059</v>
      </c>
      <c r="H332" s="48" t="s">
        <v>1648</v>
      </c>
      <c r="I332" s="48" t="s">
        <v>2545</v>
      </c>
      <c r="J332" s="247" t="s">
        <v>3217</v>
      </c>
      <c r="K332" s="247" t="s">
        <v>1612</v>
      </c>
    </row>
    <row r="333" spans="1:11" ht="13.5" thickBot="1" x14ac:dyDescent="0.25">
      <c r="A333" s="48" t="s">
        <v>538</v>
      </c>
      <c r="B333" s="224" t="s">
        <v>537</v>
      </c>
      <c r="C333" s="48" t="s">
        <v>39</v>
      </c>
      <c r="D333" s="226">
        <v>34467</v>
      </c>
      <c r="E333" s="48" t="s">
        <v>2663</v>
      </c>
      <c r="F333" s="48" t="s">
        <v>1979</v>
      </c>
      <c r="G333" s="48" t="s">
        <v>3098</v>
      </c>
      <c r="H333" s="48" t="s">
        <v>1649</v>
      </c>
      <c r="I333" s="48" t="s">
        <v>2009</v>
      </c>
      <c r="J333" s="247" t="s">
        <v>2009</v>
      </c>
      <c r="K333" s="247" t="s">
        <v>1612</v>
      </c>
    </row>
    <row r="334" spans="1:11" ht="13.5" thickBot="1" x14ac:dyDescent="0.25">
      <c r="A334" s="48" t="s">
        <v>544</v>
      </c>
      <c r="B334" s="224" t="s">
        <v>543</v>
      </c>
      <c r="C334" s="48" t="s">
        <v>39</v>
      </c>
      <c r="D334" s="226">
        <v>29319</v>
      </c>
      <c r="E334" s="48" t="s">
        <v>3127</v>
      </c>
      <c r="F334" s="48" t="s">
        <v>1940</v>
      </c>
      <c r="G334" s="48" t="s">
        <v>3098</v>
      </c>
      <c r="H334" s="48" t="s">
        <v>1648</v>
      </c>
      <c r="I334" s="48" t="s">
        <v>2545</v>
      </c>
      <c r="J334" s="246" t="s">
        <v>3126</v>
      </c>
      <c r="K334" s="247" t="s">
        <v>1613</v>
      </c>
    </row>
    <row r="335" spans="1:11" ht="13.5" thickBot="1" x14ac:dyDescent="0.25">
      <c r="A335" s="48" t="s">
        <v>550</v>
      </c>
      <c r="B335" s="224" t="s">
        <v>549</v>
      </c>
      <c r="C335" s="48" t="s">
        <v>39</v>
      </c>
      <c r="D335" s="226">
        <v>35394</v>
      </c>
      <c r="E335" s="48" t="s">
        <v>3150</v>
      </c>
      <c r="F335" s="48" t="s">
        <v>1940</v>
      </c>
      <c r="G335" s="48" t="s">
        <v>3098</v>
      </c>
      <c r="H335" s="48" t="s">
        <v>1648</v>
      </c>
      <c r="I335" s="48" t="s">
        <v>2545</v>
      </c>
      <c r="J335" s="246" t="s">
        <v>3148</v>
      </c>
      <c r="K335" s="247" t="s">
        <v>1612</v>
      </c>
    </row>
    <row r="336" spans="1:11" ht="77.25" thickBot="1" x14ac:dyDescent="0.25">
      <c r="A336" s="48" t="s">
        <v>578</v>
      </c>
      <c r="B336" s="224" t="s">
        <v>577</v>
      </c>
      <c r="C336" s="48" t="s">
        <v>39</v>
      </c>
      <c r="D336" s="226">
        <v>36441</v>
      </c>
      <c r="E336" s="48" t="s">
        <v>2349</v>
      </c>
      <c r="F336" s="48" t="s">
        <v>2349</v>
      </c>
      <c r="G336" s="48" t="s">
        <v>3053</v>
      </c>
      <c r="H336" s="48" t="s">
        <v>1648</v>
      </c>
      <c r="I336" s="48" t="s">
        <v>2545</v>
      </c>
      <c r="J336" s="247" t="s">
        <v>3190</v>
      </c>
      <c r="K336" s="247" t="s">
        <v>1648</v>
      </c>
    </row>
    <row r="337" spans="1:11" ht="13.5" thickBot="1" x14ac:dyDescent="0.25">
      <c r="A337" s="48" t="s">
        <v>588</v>
      </c>
      <c r="B337" s="224" t="s">
        <v>587</v>
      </c>
      <c r="C337" s="48" t="s">
        <v>39</v>
      </c>
      <c r="D337" s="226">
        <v>36656</v>
      </c>
      <c r="E337" s="48" t="s">
        <v>2727</v>
      </c>
      <c r="F337" s="48" t="s">
        <v>1979</v>
      </c>
      <c r="G337" s="48" t="s">
        <v>3098</v>
      </c>
      <c r="H337" s="48" t="s">
        <v>1648</v>
      </c>
      <c r="I337" s="48" t="s">
        <v>2545</v>
      </c>
      <c r="J337" s="246" t="s">
        <v>3141</v>
      </c>
      <c r="K337" s="247" t="s">
        <v>1612</v>
      </c>
    </row>
    <row r="338" spans="1:11" ht="13.5" thickBot="1" x14ac:dyDescent="0.25">
      <c r="A338" s="48" t="s">
        <v>616</v>
      </c>
      <c r="B338" s="224" t="s">
        <v>615</v>
      </c>
      <c r="C338" s="48" t="s">
        <v>39</v>
      </c>
      <c r="D338" s="226">
        <v>48362</v>
      </c>
      <c r="E338" s="48" t="s">
        <v>2767</v>
      </c>
      <c r="F338" s="48" t="s">
        <v>1979</v>
      </c>
      <c r="G338" s="48" t="s">
        <v>3098</v>
      </c>
      <c r="H338" s="48" t="s">
        <v>1648</v>
      </c>
      <c r="I338" s="48" t="s">
        <v>2545</v>
      </c>
      <c r="J338" s="247" t="s">
        <v>3157</v>
      </c>
      <c r="K338" s="247" t="s">
        <v>1612</v>
      </c>
    </row>
    <row r="339" spans="1:11" ht="13.5" thickBot="1" x14ac:dyDescent="0.25">
      <c r="A339" s="48" t="s">
        <v>640</v>
      </c>
      <c r="B339" s="224" t="s">
        <v>639</v>
      </c>
      <c r="C339" s="48" t="s">
        <v>39</v>
      </c>
      <c r="D339" s="226">
        <v>33839</v>
      </c>
      <c r="E339" s="48" t="s">
        <v>3151</v>
      </c>
      <c r="F339" s="48" t="s">
        <v>2010</v>
      </c>
      <c r="G339" s="48" t="s">
        <v>3144</v>
      </c>
      <c r="H339" s="48" t="s">
        <v>1648</v>
      </c>
      <c r="I339" s="48" t="s">
        <v>2545</v>
      </c>
      <c r="J339" s="246" t="s">
        <v>3152</v>
      </c>
      <c r="K339" s="247" t="s">
        <v>1648</v>
      </c>
    </row>
    <row r="340" spans="1:11" ht="13.5" thickBot="1" x14ac:dyDescent="0.25">
      <c r="A340" s="48" t="s">
        <v>642</v>
      </c>
      <c r="B340" s="224" t="s">
        <v>641</v>
      </c>
      <c r="C340" s="48" t="s">
        <v>39</v>
      </c>
      <c r="D340" s="226">
        <v>39868</v>
      </c>
      <c r="E340" s="48" t="s">
        <v>3485</v>
      </c>
      <c r="F340" s="48" t="s">
        <v>1979</v>
      </c>
      <c r="G340" s="48" t="s">
        <v>3098</v>
      </c>
      <c r="H340" s="48" t="s">
        <v>1649</v>
      </c>
      <c r="I340" s="48" t="s">
        <v>2009</v>
      </c>
      <c r="J340" s="247" t="s">
        <v>2009</v>
      </c>
      <c r="K340" s="247" t="s">
        <v>1648</v>
      </c>
    </row>
    <row r="341" spans="1:11" ht="13.5" thickBot="1" x14ac:dyDescent="0.25">
      <c r="A341" s="48" t="s">
        <v>646</v>
      </c>
      <c r="B341" s="224" t="s">
        <v>645</v>
      </c>
      <c r="C341" s="48" t="s">
        <v>39</v>
      </c>
      <c r="D341" s="226">
        <v>47299</v>
      </c>
      <c r="E341" s="48" t="s">
        <v>3227</v>
      </c>
      <c r="F341" s="48" t="s">
        <v>2010</v>
      </c>
      <c r="G341" s="48" t="s">
        <v>3144</v>
      </c>
      <c r="H341" s="48" t="s">
        <v>1648</v>
      </c>
      <c r="I341" s="48" t="s">
        <v>2545</v>
      </c>
      <c r="J341" s="247" t="s">
        <v>3228</v>
      </c>
      <c r="K341" s="247" t="s">
        <v>1612</v>
      </c>
    </row>
    <row r="342" spans="1:11" ht="13.5" thickBot="1" x14ac:dyDescent="0.25">
      <c r="A342" s="48" t="s">
        <v>664</v>
      </c>
      <c r="B342" s="224" t="s">
        <v>663</v>
      </c>
      <c r="C342" s="48" t="s">
        <v>39</v>
      </c>
      <c r="D342" s="226">
        <v>26376</v>
      </c>
      <c r="E342" s="48" t="s">
        <v>3195</v>
      </c>
      <c r="F342" s="48" t="s">
        <v>2006</v>
      </c>
      <c r="G342" s="48" t="s">
        <v>3098</v>
      </c>
      <c r="H342" s="48" t="s">
        <v>1648</v>
      </c>
      <c r="I342" s="48" t="s">
        <v>2545</v>
      </c>
      <c r="J342" s="247" t="s">
        <v>3196</v>
      </c>
      <c r="K342" s="247" t="s">
        <v>1612</v>
      </c>
    </row>
    <row r="343" spans="1:11" ht="13.5" thickBot="1" x14ac:dyDescent="0.25">
      <c r="A343" s="48" t="s">
        <v>688</v>
      </c>
      <c r="B343" s="224" t="s">
        <v>687</v>
      </c>
      <c r="C343" s="48" t="s">
        <v>39</v>
      </c>
      <c r="D343" s="226">
        <v>27920</v>
      </c>
      <c r="E343" s="48" t="s">
        <v>2848</v>
      </c>
      <c r="F343" s="48" t="s">
        <v>2215</v>
      </c>
      <c r="G343" s="48" t="s">
        <v>3055</v>
      </c>
      <c r="H343" s="48" t="s">
        <v>1648</v>
      </c>
      <c r="I343" s="48" t="s">
        <v>2545</v>
      </c>
      <c r="J343" s="247" t="s">
        <v>3333</v>
      </c>
      <c r="K343" s="247" t="s">
        <v>1612</v>
      </c>
    </row>
    <row r="344" spans="1:11" ht="13.5" thickBot="1" x14ac:dyDescent="0.25">
      <c r="A344" s="48" t="s">
        <v>698</v>
      </c>
      <c r="B344" s="224" t="s">
        <v>697</v>
      </c>
      <c r="C344" s="48" t="s">
        <v>39</v>
      </c>
      <c r="D344" s="226">
        <v>30047</v>
      </c>
      <c r="E344" s="48" t="s">
        <v>2864</v>
      </c>
      <c r="F344" s="48" t="s">
        <v>1979</v>
      </c>
      <c r="G344" s="48" t="s">
        <v>3098</v>
      </c>
      <c r="H344" s="48" t="s">
        <v>1649</v>
      </c>
      <c r="I344" s="48" t="s">
        <v>2009</v>
      </c>
      <c r="J344" s="247" t="s">
        <v>2009</v>
      </c>
      <c r="K344" s="247" t="s">
        <v>1612</v>
      </c>
    </row>
    <row r="345" spans="1:11" ht="13.5" thickBot="1" x14ac:dyDescent="0.25">
      <c r="A345" s="48" t="s">
        <v>716</v>
      </c>
      <c r="B345" s="224" t="s">
        <v>715</v>
      </c>
      <c r="C345" s="48" t="s">
        <v>39</v>
      </c>
      <c r="D345" s="226">
        <v>43031</v>
      </c>
      <c r="E345" s="48" t="s">
        <v>3332</v>
      </c>
      <c r="F345" s="48" t="s">
        <v>2266</v>
      </c>
      <c r="G345" s="48" t="s">
        <v>3053</v>
      </c>
      <c r="H345" s="48" t="s">
        <v>1648</v>
      </c>
      <c r="I345" s="48" t="s">
        <v>2545</v>
      </c>
      <c r="J345" s="247" t="s">
        <v>3331</v>
      </c>
      <c r="K345" s="247" t="s">
        <v>1648</v>
      </c>
    </row>
    <row r="346" spans="1:11" ht="13.5" thickBot="1" x14ac:dyDescent="0.25">
      <c r="A346" s="48" t="s">
        <v>760</v>
      </c>
      <c r="B346" s="224" t="s">
        <v>759</v>
      </c>
      <c r="C346" s="48" t="s">
        <v>39</v>
      </c>
      <c r="D346" s="226">
        <v>44265</v>
      </c>
      <c r="E346" s="48" t="s">
        <v>2932</v>
      </c>
      <c r="F346" s="48" t="s">
        <v>2446</v>
      </c>
      <c r="G346" s="48" t="s">
        <v>3072</v>
      </c>
      <c r="H346" s="48" t="s">
        <v>1648</v>
      </c>
      <c r="I346" s="48" t="s">
        <v>2545</v>
      </c>
      <c r="J346" s="247" t="s">
        <v>3396</v>
      </c>
      <c r="K346" s="247" t="s">
        <v>1648</v>
      </c>
    </row>
    <row r="347" spans="1:11" ht="13.5" thickBot="1" x14ac:dyDescent="0.25">
      <c r="A347" s="48" t="s">
        <v>800</v>
      </c>
      <c r="B347" s="224" t="s">
        <v>799</v>
      </c>
      <c r="C347" s="48" t="s">
        <v>39</v>
      </c>
      <c r="D347" s="226">
        <v>30019</v>
      </c>
      <c r="E347" s="48" t="s">
        <v>2977</v>
      </c>
      <c r="F347" s="48" t="s">
        <v>1940</v>
      </c>
      <c r="G347" s="48" t="s">
        <v>3098</v>
      </c>
      <c r="H347" s="48" t="s">
        <v>1649</v>
      </c>
      <c r="I347" s="48" t="s">
        <v>2009</v>
      </c>
      <c r="J347" s="247" t="s">
        <v>2009</v>
      </c>
      <c r="K347" s="247" t="s">
        <v>2009</v>
      </c>
    </row>
    <row r="348" spans="1:11" ht="13.5" thickBot="1" x14ac:dyDescent="0.25">
      <c r="A348" s="48" t="s">
        <v>53</v>
      </c>
      <c r="B348" s="224" t="s">
        <v>52</v>
      </c>
      <c r="C348" s="48" t="s">
        <v>54</v>
      </c>
      <c r="D348" s="226">
        <v>163590</v>
      </c>
      <c r="E348" s="48" t="s">
        <v>3197</v>
      </c>
      <c r="F348" s="48" t="s">
        <v>2006</v>
      </c>
      <c r="G348" s="48" t="s">
        <v>3198</v>
      </c>
      <c r="H348" s="48" t="s">
        <v>1648</v>
      </c>
      <c r="I348" s="48" t="s">
        <v>2545</v>
      </c>
      <c r="J348" s="247" t="s">
        <v>3199</v>
      </c>
      <c r="K348" s="247" t="s">
        <v>1612</v>
      </c>
    </row>
    <row r="349" spans="1:11" ht="13.5" thickBot="1" x14ac:dyDescent="0.25">
      <c r="A349" s="48" t="s">
        <v>78</v>
      </c>
      <c r="B349" s="224" t="s">
        <v>77</v>
      </c>
      <c r="C349" s="48" t="s">
        <v>54</v>
      </c>
      <c r="D349" s="226">
        <v>107681</v>
      </c>
      <c r="E349" s="48" t="s">
        <v>3314</v>
      </c>
      <c r="F349" s="48" t="s">
        <v>2041</v>
      </c>
      <c r="G349" s="48" t="s">
        <v>3055</v>
      </c>
      <c r="H349" s="48" t="s">
        <v>1648</v>
      </c>
      <c r="I349" s="48" t="s">
        <v>2545</v>
      </c>
      <c r="J349" s="247" t="s">
        <v>3312</v>
      </c>
      <c r="K349" s="247" t="s">
        <v>1649</v>
      </c>
    </row>
    <row r="350" spans="1:11" ht="13.5" thickBot="1" x14ac:dyDescent="0.25">
      <c r="A350" s="48" t="s">
        <v>140</v>
      </c>
      <c r="B350" s="224" t="s">
        <v>139</v>
      </c>
      <c r="C350" s="48" t="s">
        <v>54</v>
      </c>
      <c r="D350" s="226">
        <v>90173</v>
      </c>
      <c r="E350" s="48" t="s">
        <v>2137</v>
      </c>
      <c r="F350" s="48" t="s">
        <v>1979</v>
      </c>
      <c r="G350" s="48" t="s">
        <v>3098</v>
      </c>
      <c r="H350" s="48" t="s">
        <v>1648</v>
      </c>
      <c r="I350" s="48" t="s">
        <v>2545</v>
      </c>
      <c r="J350" s="246" t="s">
        <v>3140</v>
      </c>
      <c r="K350" s="247" t="s">
        <v>2009</v>
      </c>
    </row>
    <row r="351" spans="1:11" ht="13.5" thickBot="1" x14ac:dyDescent="0.25">
      <c r="A351" s="48" t="s">
        <v>142</v>
      </c>
      <c r="B351" s="224" t="s">
        <v>141</v>
      </c>
      <c r="C351" s="48" t="s">
        <v>54</v>
      </c>
      <c r="D351" s="226">
        <v>238859</v>
      </c>
      <c r="E351" s="48" t="s">
        <v>3307</v>
      </c>
      <c r="F351" s="48" t="s">
        <v>1939</v>
      </c>
      <c r="G351" s="48" t="s">
        <v>3055</v>
      </c>
      <c r="H351" s="48" t="s">
        <v>1648</v>
      </c>
      <c r="I351" s="48" t="s">
        <v>2545</v>
      </c>
      <c r="J351" s="247" t="s">
        <v>3308</v>
      </c>
      <c r="K351" s="247" t="s">
        <v>1612</v>
      </c>
    </row>
    <row r="352" spans="1:11" ht="13.5" thickBot="1" x14ac:dyDescent="0.25">
      <c r="A352" s="48" t="s">
        <v>172</v>
      </c>
      <c r="B352" s="224" t="s">
        <v>171</v>
      </c>
      <c r="C352" s="48" t="s">
        <v>54</v>
      </c>
      <c r="D352" s="226">
        <v>51640</v>
      </c>
      <c r="E352" s="48" t="s">
        <v>3352</v>
      </c>
      <c r="F352" s="48" t="s">
        <v>2190</v>
      </c>
      <c r="G352" s="48" t="s">
        <v>3055</v>
      </c>
      <c r="H352" s="48" t="s">
        <v>1648</v>
      </c>
      <c r="I352" s="48" t="s">
        <v>2545</v>
      </c>
      <c r="J352" s="247" t="s">
        <v>3353</v>
      </c>
      <c r="K352" s="247" t="s">
        <v>1612</v>
      </c>
    </row>
    <row r="353" spans="1:11" ht="13.5" thickBot="1" x14ac:dyDescent="0.25">
      <c r="A353" s="48" t="s">
        <v>178</v>
      </c>
      <c r="B353" s="224" t="s">
        <v>177</v>
      </c>
      <c r="C353" s="48" t="s">
        <v>54</v>
      </c>
      <c r="D353" s="226">
        <v>169833</v>
      </c>
      <c r="E353" s="48" t="s">
        <v>3225</v>
      </c>
      <c r="F353" s="48" t="s">
        <v>2010</v>
      </c>
      <c r="G353" s="48" t="s">
        <v>3144</v>
      </c>
      <c r="H353" s="48" t="s">
        <v>1648</v>
      </c>
      <c r="I353" s="48" t="s">
        <v>2545</v>
      </c>
      <c r="J353" s="247" t="s">
        <v>3226</v>
      </c>
      <c r="K353" s="247" t="s">
        <v>1612</v>
      </c>
    </row>
    <row r="354" spans="1:11" ht="13.5" thickBot="1" x14ac:dyDescent="0.25">
      <c r="A354" s="48" t="s">
        <v>212</v>
      </c>
      <c r="B354" s="224" t="s">
        <v>211</v>
      </c>
      <c r="C354" s="48" t="s">
        <v>54</v>
      </c>
      <c r="D354" s="226">
        <v>57774</v>
      </c>
      <c r="E354" s="48" t="s">
        <v>2251</v>
      </c>
      <c r="F354" s="48" t="s">
        <v>1979</v>
      </c>
      <c r="G354" s="48" t="s">
        <v>3098</v>
      </c>
      <c r="H354" s="48" t="s">
        <v>1648</v>
      </c>
      <c r="I354" s="48" t="s">
        <v>2545</v>
      </c>
      <c r="J354" s="246" t="s">
        <v>3119</v>
      </c>
      <c r="K354" s="247" t="s">
        <v>1612</v>
      </c>
    </row>
    <row r="355" spans="1:11" ht="13.5" thickBot="1" x14ac:dyDescent="0.25">
      <c r="A355" s="48" t="s">
        <v>214</v>
      </c>
      <c r="B355" s="224" t="s">
        <v>213</v>
      </c>
      <c r="C355" s="48" t="s">
        <v>54</v>
      </c>
      <c r="D355" s="226">
        <v>98153</v>
      </c>
      <c r="E355" s="48" t="s">
        <v>3178</v>
      </c>
      <c r="F355" s="48" t="s">
        <v>1979</v>
      </c>
      <c r="G355" s="48" t="s">
        <v>3098</v>
      </c>
      <c r="H355" s="48" t="s">
        <v>1648</v>
      </c>
      <c r="I355" s="48" t="s">
        <v>2545</v>
      </c>
      <c r="J355" s="247" t="s">
        <v>3173</v>
      </c>
      <c r="K355" s="247" t="s">
        <v>1612</v>
      </c>
    </row>
    <row r="356" spans="1:11" ht="13.5" thickBot="1" x14ac:dyDescent="0.25">
      <c r="A356" s="48" t="s">
        <v>222</v>
      </c>
      <c r="B356" s="224" t="s">
        <v>221</v>
      </c>
      <c r="C356" s="48" t="s">
        <v>54</v>
      </c>
      <c r="D356" s="226">
        <v>713777</v>
      </c>
      <c r="E356" s="48" t="s">
        <v>3182</v>
      </c>
      <c r="F356" s="48" t="s">
        <v>1979</v>
      </c>
      <c r="G356" s="48" t="s">
        <v>3183</v>
      </c>
      <c r="H356" s="48" t="s">
        <v>1648</v>
      </c>
      <c r="I356" s="48" t="s">
        <v>2545</v>
      </c>
      <c r="J356" s="247" t="s">
        <v>3184</v>
      </c>
      <c r="K356" s="247" t="s">
        <v>1612</v>
      </c>
    </row>
    <row r="357" spans="1:11" ht="13.5" thickBot="1" x14ac:dyDescent="0.25">
      <c r="A357" s="48" t="s">
        <v>266</v>
      </c>
      <c r="B357" s="224" t="s">
        <v>265</v>
      </c>
      <c r="C357" s="48" t="s">
        <v>54</v>
      </c>
      <c r="D357" s="226">
        <v>90112</v>
      </c>
      <c r="E357" s="48" t="s">
        <v>3486</v>
      </c>
      <c r="F357" s="48" t="s">
        <v>1940</v>
      </c>
      <c r="G357" s="48" t="s">
        <v>3098</v>
      </c>
      <c r="H357" s="48" t="s">
        <v>1649</v>
      </c>
      <c r="I357" s="48" t="s">
        <v>2009</v>
      </c>
      <c r="J357" s="247" t="s">
        <v>2009</v>
      </c>
      <c r="K357" s="247" t="s">
        <v>1612</v>
      </c>
    </row>
    <row r="358" spans="1:11" ht="13.5" thickBot="1" x14ac:dyDescent="0.25">
      <c r="A358" s="48" t="s">
        <v>278</v>
      </c>
      <c r="B358" s="224" t="s">
        <v>277</v>
      </c>
      <c r="C358" s="48" t="s">
        <v>54</v>
      </c>
      <c r="D358" s="226">
        <v>102434</v>
      </c>
      <c r="E358" s="48" t="s">
        <v>2385</v>
      </c>
      <c r="F358" s="48" t="s">
        <v>2343</v>
      </c>
      <c r="G358" s="48" t="s">
        <v>3055</v>
      </c>
      <c r="H358" s="48" t="s">
        <v>1649</v>
      </c>
      <c r="I358" s="48" t="s">
        <v>2009</v>
      </c>
      <c r="J358" s="247" t="s">
        <v>2009</v>
      </c>
      <c r="K358" s="247" t="s">
        <v>1612</v>
      </c>
    </row>
    <row r="359" spans="1:11" ht="13.5" thickBot="1" x14ac:dyDescent="0.25">
      <c r="A359" s="48" t="s">
        <v>304</v>
      </c>
      <c r="B359" s="224" t="s">
        <v>303</v>
      </c>
      <c r="C359" s="48" t="s">
        <v>54</v>
      </c>
      <c r="D359" s="226">
        <v>332567</v>
      </c>
      <c r="E359" s="48" t="s">
        <v>2385</v>
      </c>
      <c r="F359" s="48" t="s">
        <v>2343</v>
      </c>
      <c r="G359" s="48" t="s">
        <v>3055</v>
      </c>
      <c r="H359" s="48" t="s">
        <v>1648</v>
      </c>
      <c r="I359" s="48" t="s">
        <v>2545</v>
      </c>
      <c r="J359" s="247" t="s">
        <v>3347</v>
      </c>
      <c r="K359" s="247" t="s">
        <v>1648</v>
      </c>
    </row>
    <row r="360" spans="1:11" ht="13.5" thickBot="1" x14ac:dyDescent="0.25">
      <c r="A360" s="48" t="s">
        <v>318</v>
      </c>
      <c r="B360" s="224" t="s">
        <v>317</v>
      </c>
      <c r="C360" s="48" t="s">
        <v>54</v>
      </c>
      <c r="D360" s="226">
        <v>76707</v>
      </c>
      <c r="E360" s="48" t="s">
        <v>2198</v>
      </c>
      <c r="F360" s="48" t="s">
        <v>2198</v>
      </c>
      <c r="G360" s="48" t="s">
        <v>3055</v>
      </c>
      <c r="H360" s="48" t="s">
        <v>1648</v>
      </c>
      <c r="I360" s="48" t="s">
        <v>2545</v>
      </c>
      <c r="J360" s="247" t="s">
        <v>3191</v>
      </c>
      <c r="K360" s="247" t="s">
        <v>1648</v>
      </c>
    </row>
    <row r="361" spans="1:11" ht="13.5" thickBot="1" x14ac:dyDescent="0.25">
      <c r="A361" s="48" t="s">
        <v>322</v>
      </c>
      <c r="B361" s="224" t="s">
        <v>321</v>
      </c>
      <c r="C361" s="48" t="s">
        <v>54</v>
      </c>
      <c r="D361" s="226">
        <v>188040</v>
      </c>
      <c r="E361" s="48" t="s">
        <v>3387</v>
      </c>
      <c r="F361" s="48" t="s">
        <v>2155</v>
      </c>
      <c r="G361" s="48" t="s">
        <v>3074</v>
      </c>
      <c r="H361" s="48" t="s">
        <v>1648</v>
      </c>
      <c r="I361" s="48" t="s">
        <v>2545</v>
      </c>
      <c r="J361" s="247" t="s">
        <v>3388</v>
      </c>
      <c r="K361" s="247" t="s">
        <v>2009</v>
      </c>
    </row>
    <row r="362" spans="1:11" ht="13.5" thickBot="1" x14ac:dyDescent="0.25">
      <c r="A362" s="48" t="s">
        <v>326</v>
      </c>
      <c r="B362" s="224" t="s">
        <v>325</v>
      </c>
      <c r="C362" s="48" t="s">
        <v>54</v>
      </c>
      <c r="D362" s="226">
        <v>51133</v>
      </c>
      <c r="E362" s="48" t="s">
        <v>3153</v>
      </c>
      <c r="F362" s="48" t="s">
        <v>1979</v>
      </c>
      <c r="G362" s="48" t="s">
        <v>3098</v>
      </c>
      <c r="H362" s="48" t="s">
        <v>1648</v>
      </c>
      <c r="I362" s="48" t="s">
        <v>2545</v>
      </c>
      <c r="J362" s="246" t="s">
        <v>3145</v>
      </c>
      <c r="K362" s="247" t="s">
        <v>1612</v>
      </c>
    </row>
    <row r="363" spans="1:11" ht="13.5" thickBot="1" x14ac:dyDescent="0.25">
      <c r="A363" s="48" t="s">
        <v>352</v>
      </c>
      <c r="B363" s="224" t="s">
        <v>351</v>
      </c>
      <c r="C363" s="48" t="s">
        <v>54</v>
      </c>
      <c r="D363" s="226">
        <v>102423</v>
      </c>
      <c r="E363" s="48" t="s">
        <v>3128</v>
      </c>
      <c r="F363" s="48" t="s">
        <v>1980</v>
      </c>
      <c r="G363" s="48" t="s">
        <v>3074</v>
      </c>
      <c r="H363" s="48" t="s">
        <v>1648</v>
      </c>
      <c r="I363" s="48" t="s">
        <v>2545</v>
      </c>
      <c r="J363" s="246" t="s">
        <v>3124</v>
      </c>
      <c r="K363" s="247" t="s">
        <v>1648</v>
      </c>
    </row>
    <row r="364" spans="1:11" ht="13.5" thickBot="1" x14ac:dyDescent="0.25">
      <c r="A364" s="48" t="s">
        <v>374</v>
      </c>
      <c r="B364" s="224" t="s">
        <v>373</v>
      </c>
      <c r="C364" s="48" t="s">
        <v>54</v>
      </c>
      <c r="D364" s="226">
        <v>52529</v>
      </c>
      <c r="E364" s="48" t="s">
        <v>3243</v>
      </c>
      <c r="F364" s="48" t="s">
        <v>2110</v>
      </c>
      <c r="G364" s="48" t="s">
        <v>3098</v>
      </c>
      <c r="H364" s="48" t="s">
        <v>1648</v>
      </c>
      <c r="I364" s="48" t="s">
        <v>2545</v>
      </c>
      <c r="J364" s="247" t="s">
        <v>3244</v>
      </c>
      <c r="K364" s="247" t="s">
        <v>1612</v>
      </c>
    </row>
    <row r="365" spans="1:11" ht="13.5" thickBot="1" x14ac:dyDescent="0.25">
      <c r="A365" s="48" t="s">
        <v>394</v>
      </c>
      <c r="B365" s="224" t="s">
        <v>393</v>
      </c>
      <c r="C365" s="48" t="s">
        <v>54</v>
      </c>
      <c r="D365" s="226">
        <v>160248</v>
      </c>
      <c r="E365" s="48" t="s">
        <v>2501</v>
      </c>
      <c r="F365" s="48" t="s">
        <v>2501</v>
      </c>
      <c r="G365" s="48" t="s">
        <v>3061</v>
      </c>
      <c r="H365" s="48" t="s">
        <v>1648</v>
      </c>
      <c r="I365" s="48" t="s">
        <v>2545</v>
      </c>
      <c r="J365" s="246" t="s">
        <v>3118</v>
      </c>
      <c r="K365" s="247" t="s">
        <v>1612</v>
      </c>
    </row>
    <row r="366" spans="1:11" ht="13.5" thickBot="1" x14ac:dyDescent="0.25">
      <c r="A366" s="48" t="s">
        <v>402</v>
      </c>
      <c r="B366" s="224" t="s">
        <v>401</v>
      </c>
      <c r="C366" s="48" t="s">
        <v>54</v>
      </c>
      <c r="D366" s="226">
        <v>123979</v>
      </c>
      <c r="E366" s="48" t="s">
        <v>2022</v>
      </c>
      <c r="F366" s="48" t="s">
        <v>2022</v>
      </c>
      <c r="G366" s="48" t="s">
        <v>3072</v>
      </c>
      <c r="H366" s="48" t="s">
        <v>1648</v>
      </c>
      <c r="I366" s="48" t="s">
        <v>2545</v>
      </c>
      <c r="J366" s="247" t="s">
        <v>3229</v>
      </c>
      <c r="K366" s="247" t="s">
        <v>1612</v>
      </c>
    </row>
    <row r="367" spans="1:11" ht="13.5" thickBot="1" x14ac:dyDescent="0.25">
      <c r="A367" s="48" t="s">
        <v>406</v>
      </c>
      <c r="B367" s="224" t="s">
        <v>405</v>
      </c>
      <c r="C367" s="48" t="s">
        <v>54</v>
      </c>
      <c r="D367" s="226">
        <v>395660</v>
      </c>
      <c r="E367" s="48" t="s">
        <v>3120</v>
      </c>
      <c r="F367" s="48" t="s">
        <v>2155</v>
      </c>
      <c r="G367" s="48" t="s">
        <v>3074</v>
      </c>
      <c r="H367" s="48" t="s">
        <v>1648</v>
      </c>
      <c r="I367" s="48" t="s">
        <v>2545</v>
      </c>
      <c r="J367" s="246" t="s">
        <v>3121</v>
      </c>
      <c r="K367" s="247" t="s">
        <v>1612</v>
      </c>
    </row>
    <row r="368" spans="1:11" ht="13.5" thickBot="1" x14ac:dyDescent="0.25">
      <c r="A368" s="48" t="s">
        <v>417</v>
      </c>
      <c r="B368" s="224" t="s">
        <v>416</v>
      </c>
      <c r="C368" s="48" t="s">
        <v>54</v>
      </c>
      <c r="D368" s="226">
        <v>60006</v>
      </c>
      <c r="E368" s="48" t="s">
        <v>1992</v>
      </c>
      <c r="F368" s="48" t="s">
        <v>1992</v>
      </c>
      <c r="G368" s="48" t="s">
        <v>3055</v>
      </c>
      <c r="H368" s="48" t="s">
        <v>1648</v>
      </c>
      <c r="I368" s="48" t="s">
        <v>2545</v>
      </c>
      <c r="J368" s="247" t="s">
        <v>3285</v>
      </c>
      <c r="K368" s="247" t="s">
        <v>1612</v>
      </c>
    </row>
    <row r="369" spans="1:11" ht="13.5" thickBot="1" x14ac:dyDescent="0.25">
      <c r="A369" s="48" t="s">
        <v>443</v>
      </c>
      <c r="B369" s="224" t="s">
        <v>442</v>
      </c>
      <c r="C369" s="48" t="s">
        <v>54</v>
      </c>
      <c r="D369" s="226">
        <v>96942</v>
      </c>
      <c r="E369" s="48" t="s">
        <v>3349</v>
      </c>
      <c r="F369" s="48" t="s">
        <v>1979</v>
      </c>
      <c r="G369" s="48" t="s">
        <v>3098</v>
      </c>
      <c r="H369" s="48" t="s">
        <v>1648</v>
      </c>
      <c r="I369" s="48" t="s">
        <v>2545</v>
      </c>
      <c r="J369" s="247" t="s">
        <v>3350</v>
      </c>
      <c r="K369" s="247" t="s">
        <v>1612</v>
      </c>
    </row>
    <row r="370" spans="1:11" ht="13.5" thickBot="1" x14ac:dyDescent="0.25">
      <c r="A370" s="48" t="s">
        <v>508</v>
      </c>
      <c r="B370" s="224" t="s">
        <v>507</v>
      </c>
      <c r="C370" s="48" t="s">
        <v>54</v>
      </c>
      <c r="D370" s="226">
        <v>149955</v>
      </c>
      <c r="E370" s="48" t="s">
        <v>2612</v>
      </c>
      <c r="F370" s="48" t="s">
        <v>2612</v>
      </c>
      <c r="G370" s="48" t="s">
        <v>3061</v>
      </c>
      <c r="H370" s="48" t="s">
        <v>1648</v>
      </c>
      <c r="I370" s="48" t="s">
        <v>2545</v>
      </c>
      <c r="J370" s="246" t="s">
        <v>3129</v>
      </c>
      <c r="K370" s="247" t="s">
        <v>1612</v>
      </c>
    </row>
    <row r="371" spans="1:11" ht="13.5" thickBot="1" x14ac:dyDescent="0.25">
      <c r="A371" s="48" t="s">
        <v>522</v>
      </c>
      <c r="B371" s="224" t="s">
        <v>521</v>
      </c>
      <c r="C371" s="48" t="s">
        <v>54</v>
      </c>
      <c r="D371" s="226">
        <v>105852</v>
      </c>
      <c r="E371" s="48" t="s">
        <v>2367</v>
      </c>
      <c r="F371" s="48" t="s">
        <v>2367</v>
      </c>
      <c r="G371" s="48" t="s">
        <v>3074</v>
      </c>
      <c r="H371" s="48" t="s">
        <v>1648</v>
      </c>
      <c r="I371" s="48" t="s">
        <v>2545</v>
      </c>
      <c r="J371" s="246" t="s">
        <v>3117</v>
      </c>
      <c r="K371" s="247" t="s">
        <v>1612</v>
      </c>
    </row>
    <row r="372" spans="1:11" ht="13.5" thickBot="1" x14ac:dyDescent="0.25">
      <c r="A372" s="48" t="s">
        <v>542</v>
      </c>
      <c r="B372" s="224" t="s">
        <v>541</v>
      </c>
      <c r="C372" s="48" t="s">
        <v>54</v>
      </c>
      <c r="D372" s="226">
        <v>55374</v>
      </c>
      <c r="E372" s="48" t="s">
        <v>3130</v>
      </c>
      <c r="F372" s="48" t="s">
        <v>1940</v>
      </c>
      <c r="G372" s="48" t="s">
        <v>3098</v>
      </c>
      <c r="H372" s="48" t="s">
        <v>1648</v>
      </c>
      <c r="I372" s="48" t="s">
        <v>2545</v>
      </c>
      <c r="J372" s="246" t="s">
        <v>3131</v>
      </c>
      <c r="K372" s="247" t="s">
        <v>1612</v>
      </c>
    </row>
    <row r="373" spans="1:11" ht="13.5" thickBot="1" x14ac:dyDescent="0.25">
      <c r="A373" s="48" t="s">
        <v>590</v>
      </c>
      <c r="B373" s="224" t="s">
        <v>589</v>
      </c>
      <c r="C373" s="48" t="s">
        <v>54</v>
      </c>
      <c r="D373" s="226">
        <v>59515</v>
      </c>
      <c r="E373" s="48" t="s">
        <v>3487</v>
      </c>
      <c r="F373" s="48" t="s">
        <v>1940</v>
      </c>
      <c r="G373" s="48" t="s">
        <v>3098</v>
      </c>
      <c r="H373" s="48" t="s">
        <v>1649</v>
      </c>
      <c r="I373" s="48" t="s">
        <v>2009</v>
      </c>
      <c r="J373" s="247" t="s">
        <v>2009</v>
      </c>
      <c r="K373" s="247" t="s">
        <v>1612</v>
      </c>
    </row>
    <row r="374" spans="1:11" ht="26.25" thickBot="1" x14ac:dyDescent="0.25">
      <c r="A374" s="48" t="s">
        <v>594</v>
      </c>
      <c r="B374" s="224" t="s">
        <v>593</v>
      </c>
      <c r="C374" s="48" t="s">
        <v>54</v>
      </c>
      <c r="D374" s="226">
        <v>52170</v>
      </c>
      <c r="E374" s="48" t="s">
        <v>3201</v>
      </c>
      <c r="F374" s="48" t="s">
        <v>2022</v>
      </c>
      <c r="G374" s="48" t="s">
        <v>3072</v>
      </c>
      <c r="H374" s="48" t="s">
        <v>1648</v>
      </c>
      <c r="I374" s="48" t="s">
        <v>2545</v>
      </c>
      <c r="J374" s="247" t="s">
        <v>3202</v>
      </c>
      <c r="K374" s="247" t="s">
        <v>1612</v>
      </c>
    </row>
    <row r="375" spans="1:11" ht="13.5" thickBot="1" x14ac:dyDescent="0.25">
      <c r="A375" s="48" t="s">
        <v>604</v>
      </c>
      <c r="B375" s="224" t="s">
        <v>603</v>
      </c>
      <c r="C375" s="48" t="s">
        <v>54</v>
      </c>
      <c r="D375" s="226">
        <v>124690</v>
      </c>
      <c r="E375" s="48" t="s">
        <v>2101</v>
      </c>
      <c r="F375" s="48" t="s">
        <v>2101</v>
      </c>
      <c r="G375" s="48" t="s">
        <v>3055</v>
      </c>
      <c r="H375" s="48" t="s">
        <v>1648</v>
      </c>
      <c r="I375" s="48" t="s">
        <v>2545</v>
      </c>
      <c r="J375" s="246" t="s">
        <v>3105</v>
      </c>
      <c r="K375" s="247" t="s">
        <v>1648</v>
      </c>
    </row>
    <row r="376" spans="1:11" ht="13.5" thickBot="1" x14ac:dyDescent="0.25">
      <c r="A376" s="48" t="s">
        <v>638</v>
      </c>
      <c r="B376" s="224" t="s">
        <v>637</v>
      </c>
      <c r="C376" s="48" t="s">
        <v>54</v>
      </c>
      <c r="D376" s="226">
        <v>100485</v>
      </c>
      <c r="E376" s="48" t="s">
        <v>3488</v>
      </c>
      <c r="F376" s="48" t="s">
        <v>1940</v>
      </c>
      <c r="G376" s="48" t="s">
        <v>3098</v>
      </c>
      <c r="H376" s="48" t="s">
        <v>1649</v>
      </c>
      <c r="I376" s="48" t="s">
        <v>2009</v>
      </c>
      <c r="J376" s="247" t="s">
        <v>2009</v>
      </c>
      <c r="K376" s="247" t="s">
        <v>1648</v>
      </c>
    </row>
    <row r="377" spans="1:11" ht="13.5" thickBot="1" x14ac:dyDescent="0.25">
      <c r="A377" s="48" t="s">
        <v>648</v>
      </c>
      <c r="B377" s="224" t="s">
        <v>647</v>
      </c>
      <c r="C377" s="48" t="s">
        <v>54</v>
      </c>
      <c r="D377" s="226">
        <v>57236</v>
      </c>
      <c r="E377" s="48" t="s">
        <v>3185</v>
      </c>
      <c r="F377" s="48" t="s">
        <v>1940</v>
      </c>
      <c r="G377" s="48" t="s">
        <v>3098</v>
      </c>
      <c r="H377" s="48" t="s">
        <v>1648</v>
      </c>
      <c r="I377" s="48" t="s">
        <v>2545</v>
      </c>
      <c r="J377" s="247" t="s">
        <v>3184</v>
      </c>
      <c r="K377" s="247" t="s">
        <v>1612</v>
      </c>
    </row>
    <row r="378" spans="1:11" ht="13.5" thickBot="1" x14ac:dyDescent="0.25">
      <c r="A378" s="48" t="s">
        <v>654</v>
      </c>
      <c r="B378" s="224" t="s">
        <v>653</v>
      </c>
      <c r="C378" s="48" t="s">
        <v>54</v>
      </c>
      <c r="D378" s="226">
        <v>160312</v>
      </c>
      <c r="E378" s="48" t="s">
        <v>3115</v>
      </c>
      <c r="F378" s="48" t="s">
        <v>2805</v>
      </c>
      <c r="G378" s="48" t="s">
        <v>3098</v>
      </c>
      <c r="H378" s="48" t="s">
        <v>1648</v>
      </c>
      <c r="I378" s="48" t="s">
        <v>2545</v>
      </c>
      <c r="J378" s="246" t="s">
        <v>3114</v>
      </c>
      <c r="K378" s="247" t="s">
        <v>1648</v>
      </c>
    </row>
    <row r="379" spans="1:11" ht="13.5" thickBot="1" x14ac:dyDescent="0.25">
      <c r="A379" s="48" t="s">
        <v>656</v>
      </c>
      <c r="B379" s="224" t="s">
        <v>655</v>
      </c>
      <c r="C379" s="48" t="s">
        <v>54</v>
      </c>
      <c r="D379" s="226">
        <v>59715</v>
      </c>
      <c r="E379" s="48" t="s">
        <v>3365</v>
      </c>
      <c r="F379" s="48" t="s">
        <v>2010</v>
      </c>
      <c r="G379" s="48" t="s">
        <v>3144</v>
      </c>
      <c r="H379" s="48" t="s">
        <v>1648</v>
      </c>
      <c r="I379" s="48" t="s">
        <v>2545</v>
      </c>
      <c r="J379" s="247" t="s">
        <v>3364</v>
      </c>
      <c r="K379" s="247" t="s">
        <v>1649</v>
      </c>
    </row>
    <row r="380" spans="1:11" ht="13.5" thickBot="1" x14ac:dyDescent="0.25">
      <c r="A380" s="48" t="s">
        <v>684</v>
      </c>
      <c r="B380" s="224" t="s">
        <v>683</v>
      </c>
      <c r="C380" s="48" t="s">
        <v>54</v>
      </c>
      <c r="D380" s="226">
        <v>73804</v>
      </c>
      <c r="E380" s="48" t="s">
        <v>3489</v>
      </c>
      <c r="F380" s="48" t="s">
        <v>2010</v>
      </c>
      <c r="G380" s="48" t="s">
        <v>3144</v>
      </c>
      <c r="H380" s="48" t="s">
        <v>1649</v>
      </c>
      <c r="I380" s="48" t="s">
        <v>2009</v>
      </c>
      <c r="J380" s="247" t="s">
        <v>2009</v>
      </c>
      <c r="K380" s="247" t="s">
        <v>1612</v>
      </c>
    </row>
    <row r="381" spans="1:11" ht="13.5" thickBot="1" x14ac:dyDescent="0.25">
      <c r="A381" s="48" t="s">
        <v>696</v>
      </c>
      <c r="B381" s="224" t="s">
        <v>695</v>
      </c>
      <c r="C381" s="48" t="s">
        <v>54</v>
      </c>
      <c r="D381" s="226">
        <v>75814</v>
      </c>
      <c r="E381" s="48" t="s">
        <v>2358</v>
      </c>
      <c r="F381" s="48" t="s">
        <v>1940</v>
      </c>
      <c r="G381" s="48" t="s">
        <v>3098</v>
      </c>
      <c r="H381" s="48" t="s">
        <v>1649</v>
      </c>
      <c r="I381" s="48" t="s">
        <v>2009</v>
      </c>
      <c r="J381" s="247" t="s">
        <v>2009</v>
      </c>
      <c r="K381" s="247" t="s">
        <v>1648</v>
      </c>
    </row>
    <row r="382" spans="1:11" ht="13.5" thickBot="1" x14ac:dyDescent="0.25">
      <c r="A382" s="48" t="s">
        <v>710</v>
      </c>
      <c r="B382" s="224" t="s">
        <v>709</v>
      </c>
      <c r="C382" s="48" t="s">
        <v>54</v>
      </c>
      <c r="D382" s="226">
        <v>129699</v>
      </c>
      <c r="E382" s="48" t="s">
        <v>3221</v>
      </c>
      <c r="F382" s="48" t="s">
        <v>2010</v>
      </c>
      <c r="G382" s="48" t="s">
        <v>3144</v>
      </c>
      <c r="H382" s="48" t="s">
        <v>1648</v>
      </c>
      <c r="I382" s="48" t="s">
        <v>2545</v>
      </c>
      <c r="J382" s="247" t="s">
        <v>3222</v>
      </c>
      <c r="K382" s="247" t="s">
        <v>1612</v>
      </c>
    </row>
    <row r="383" spans="1:11" ht="13.5" thickBot="1" x14ac:dyDescent="0.25">
      <c r="A383" s="48" t="s">
        <v>726</v>
      </c>
      <c r="B383" s="224" t="s">
        <v>725</v>
      </c>
      <c r="C383" s="48" t="s">
        <v>54</v>
      </c>
      <c r="D383" s="226">
        <v>63131</v>
      </c>
      <c r="E383" s="48" t="s">
        <v>3490</v>
      </c>
      <c r="F383" s="48" t="s">
        <v>1979</v>
      </c>
      <c r="G383" s="48" t="s">
        <v>3098</v>
      </c>
      <c r="H383" s="48" t="s">
        <v>1649</v>
      </c>
      <c r="I383" s="48" t="s">
        <v>2009</v>
      </c>
      <c r="J383" s="247" t="s">
        <v>2009</v>
      </c>
      <c r="K383" s="247" t="s">
        <v>2009</v>
      </c>
    </row>
    <row r="384" spans="1:11" ht="13.5" thickBot="1" x14ac:dyDescent="0.25">
      <c r="A384" s="48" t="s">
        <v>752</v>
      </c>
      <c r="B384" s="224" t="s">
        <v>751</v>
      </c>
      <c r="C384" s="48" t="s">
        <v>54</v>
      </c>
      <c r="D384" s="226">
        <v>97396</v>
      </c>
      <c r="E384" s="48" t="s">
        <v>3123</v>
      </c>
      <c r="F384" s="48" t="s">
        <v>2334</v>
      </c>
      <c r="G384" s="48" t="s">
        <v>3077</v>
      </c>
      <c r="H384" s="48" t="s">
        <v>1648</v>
      </c>
      <c r="I384" s="48" t="s">
        <v>2545</v>
      </c>
      <c r="J384" s="247" t="s">
        <v>3156</v>
      </c>
      <c r="K384" s="247" t="s">
        <v>1612</v>
      </c>
    </row>
    <row r="385" spans="1:11" ht="13.5" thickBot="1" x14ac:dyDescent="0.25">
      <c r="A385" s="48" t="s">
        <v>754</v>
      </c>
      <c r="B385" s="224" t="s">
        <v>1614</v>
      </c>
      <c r="C385" s="48" t="s">
        <v>54</v>
      </c>
      <c r="D385" s="226">
        <v>72726</v>
      </c>
      <c r="E385" s="48" t="s">
        <v>3491</v>
      </c>
      <c r="F385" s="48" t="s">
        <v>1979</v>
      </c>
      <c r="G385" s="48" t="s">
        <v>3098</v>
      </c>
      <c r="H385" s="48" t="s">
        <v>1649</v>
      </c>
      <c r="I385" s="48" t="s">
        <v>2009</v>
      </c>
      <c r="J385" s="247" t="s">
        <v>2009</v>
      </c>
      <c r="K385" s="247" t="s">
        <v>1648</v>
      </c>
    </row>
    <row r="386" spans="1:11" ht="26.25" thickBot="1" x14ac:dyDescent="0.25">
      <c r="A386" s="48" t="s">
        <v>756</v>
      </c>
      <c r="B386" s="224" t="s">
        <v>755</v>
      </c>
      <c r="C386" s="48" t="s">
        <v>54</v>
      </c>
      <c r="D386" s="226">
        <v>80980</v>
      </c>
      <c r="E386" s="48" t="s">
        <v>3223</v>
      </c>
      <c r="F386" s="48" t="s">
        <v>1940</v>
      </c>
      <c r="G386" s="48" t="s">
        <v>3144</v>
      </c>
      <c r="H386" s="48" t="s">
        <v>1648</v>
      </c>
      <c r="I386" s="48" t="s">
        <v>2545</v>
      </c>
      <c r="J386" s="247" t="s">
        <v>3224</v>
      </c>
      <c r="K386" s="247" t="s">
        <v>1612</v>
      </c>
    </row>
    <row r="387" spans="1:11" ht="13.5" thickBot="1" x14ac:dyDescent="0.25">
      <c r="A387" s="48" t="s">
        <v>778</v>
      </c>
      <c r="B387" s="224" t="s">
        <v>777</v>
      </c>
      <c r="C387" s="48" t="s">
        <v>54</v>
      </c>
      <c r="D387" s="226">
        <v>134056</v>
      </c>
      <c r="E387" s="48" t="s">
        <v>3218</v>
      </c>
      <c r="F387" s="48" t="s">
        <v>2010</v>
      </c>
      <c r="G387" s="48" t="s">
        <v>3144</v>
      </c>
      <c r="H387" s="48" t="s">
        <v>1648</v>
      </c>
      <c r="I387" s="48" t="s">
        <v>2545</v>
      </c>
      <c r="J387" s="247" t="s">
        <v>3219</v>
      </c>
      <c r="K387" s="247" t="s">
        <v>1649</v>
      </c>
    </row>
    <row r="388" spans="1:11" ht="13.5" thickBot="1" x14ac:dyDescent="0.25">
      <c r="A388" s="48" t="s">
        <v>780</v>
      </c>
      <c r="B388" s="224" t="s">
        <v>779</v>
      </c>
      <c r="C388" s="48" t="s">
        <v>54</v>
      </c>
      <c r="D388" s="226">
        <v>71997</v>
      </c>
      <c r="E388" s="48" t="s">
        <v>2954</v>
      </c>
      <c r="F388" s="48" t="s">
        <v>1940</v>
      </c>
      <c r="G388" s="48" t="s">
        <v>3098</v>
      </c>
      <c r="H388" s="48" t="s">
        <v>1649</v>
      </c>
      <c r="I388" s="48" t="s">
        <v>2009</v>
      </c>
      <c r="J388" s="247" t="s">
        <v>2009</v>
      </c>
      <c r="K388" s="247" t="s">
        <v>1612</v>
      </c>
    </row>
    <row r="389" spans="1:11" ht="13.5" thickBot="1" x14ac:dyDescent="0.25">
      <c r="A389" s="48" t="s">
        <v>788</v>
      </c>
      <c r="B389" s="224" t="s">
        <v>787</v>
      </c>
      <c r="C389" s="48" t="s">
        <v>54</v>
      </c>
      <c r="D389" s="226">
        <v>71755</v>
      </c>
      <c r="E389" s="48" t="s">
        <v>2961</v>
      </c>
      <c r="F389" s="48" t="s">
        <v>1940</v>
      </c>
      <c r="G389" s="48" t="s">
        <v>3098</v>
      </c>
      <c r="H389" s="48" t="s">
        <v>1649</v>
      </c>
      <c r="I389" s="48" t="s">
        <v>2009</v>
      </c>
      <c r="J389" s="247" t="s">
        <v>2009</v>
      </c>
      <c r="K389" s="247" t="s">
        <v>1648</v>
      </c>
    </row>
    <row r="390" spans="1:11" ht="13.5" thickBot="1" x14ac:dyDescent="0.25">
      <c r="A390" s="48" t="s">
        <v>808</v>
      </c>
      <c r="B390" s="224" t="s">
        <v>807</v>
      </c>
      <c r="C390" s="48" t="s">
        <v>54</v>
      </c>
      <c r="D390" s="226">
        <v>89779</v>
      </c>
      <c r="E390" s="48" t="s">
        <v>3142</v>
      </c>
      <c r="F390" s="48" t="s">
        <v>1960</v>
      </c>
      <c r="G390" s="48" t="s">
        <v>3072</v>
      </c>
      <c r="H390" s="48" t="s">
        <v>1648</v>
      </c>
      <c r="I390" s="48" t="s">
        <v>2545</v>
      </c>
      <c r="J390" s="246" t="s">
        <v>3143</v>
      </c>
      <c r="K390" s="247" t="s">
        <v>1612</v>
      </c>
    </row>
    <row r="391" spans="1:11" ht="13.5" thickBot="1" x14ac:dyDescent="0.25">
      <c r="A391" s="48" t="s">
        <v>810</v>
      </c>
      <c r="B391" s="224" t="s">
        <v>809</v>
      </c>
      <c r="C391" s="48" t="s">
        <v>54</v>
      </c>
      <c r="D391" s="226">
        <v>84094</v>
      </c>
      <c r="E391" s="48" t="s">
        <v>3097</v>
      </c>
      <c r="F391" s="48" t="s">
        <v>1979</v>
      </c>
      <c r="G391" s="48" t="s">
        <v>3098</v>
      </c>
      <c r="H391" s="48" t="s">
        <v>1648</v>
      </c>
      <c r="I391" s="48" t="s">
        <v>2545</v>
      </c>
      <c r="J391" s="246" t="s">
        <v>3094</v>
      </c>
      <c r="K391" s="247" t="s">
        <v>1612</v>
      </c>
    </row>
    <row r="392" spans="1:11" ht="13.5" thickBot="1" x14ac:dyDescent="0.25">
      <c r="A392" s="48" t="s">
        <v>816</v>
      </c>
      <c r="B392" s="224" t="s">
        <v>815</v>
      </c>
      <c r="C392" s="48" t="s">
        <v>54</v>
      </c>
      <c r="D392" s="226">
        <v>82974</v>
      </c>
      <c r="E392" s="48" t="s">
        <v>2995</v>
      </c>
      <c r="F392" s="48" t="s">
        <v>2006</v>
      </c>
      <c r="G392" s="48" t="s">
        <v>3098</v>
      </c>
      <c r="H392" s="48" t="s">
        <v>1648</v>
      </c>
      <c r="I392" s="48" t="s">
        <v>2545</v>
      </c>
      <c r="J392" s="246" t="s">
        <v>3141</v>
      </c>
      <c r="K392" s="247" t="s">
        <v>1612</v>
      </c>
    </row>
    <row r="393" spans="1:11" ht="13.5" thickBot="1" x14ac:dyDescent="0.25">
      <c r="A393" s="60"/>
      <c r="D393" s="232"/>
      <c r="E393" s="60"/>
      <c r="F393" s="60"/>
      <c r="G393" s="60"/>
      <c r="H393" s="60"/>
      <c r="I393" s="60"/>
      <c r="J393" s="249"/>
      <c r="K393" s="250"/>
    </row>
    <row r="394" spans="1:11" ht="18.75" thickBot="1" x14ac:dyDescent="0.3">
      <c r="B394" s="59" t="s">
        <v>1599</v>
      </c>
      <c r="C394" s="219">
        <f>SUBTOTAL(103,Table11[Library Class])</f>
        <v>389</v>
      </c>
    </row>
    <row r="396" spans="1:11" ht="15" x14ac:dyDescent="0.25">
      <c r="A396" s="369" t="s">
        <v>3736</v>
      </c>
    </row>
  </sheetData>
  <sortState xmlns:xlrd2="http://schemas.microsoft.com/office/spreadsheetml/2017/richdata2" ref="A4:K392">
    <sortCondition ref="C4:C392"/>
    <sortCondition ref="B4:B392"/>
  </sortState>
  <hyperlinks>
    <hyperlink ref="F1" location="'Table of Contents'!A1" display="Return to Table of Contents" xr:uid="{DFB92046-06A5-40EE-BF11-B07538675BD3}"/>
  </hyperlinks>
  <pageMargins left="0.7" right="0.7" top="0.75" bottom="0.75" header="0.3" footer="0.3"/>
  <pageSetup orientation="portrait" horizontalDpi="200" verticalDpi="200"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70B63-960B-4618-B474-2E2B9107BB9C}">
  <sheetPr>
    <tabColor rgb="FF8CC6D4"/>
  </sheetPr>
  <dimension ref="A1:V398"/>
  <sheetViews>
    <sheetView workbookViewId="0">
      <pane xSplit="3" ySplit="3" topLeftCell="D4" activePane="bottomRight" state="frozen"/>
      <selection pane="topRight" activeCell="D1" sqref="D1"/>
      <selection pane="bottomLeft" activeCell="A2" sqref="A2"/>
      <selection pane="bottomRight" activeCell="C1" sqref="C1"/>
    </sheetView>
  </sheetViews>
  <sheetFormatPr defaultRowHeight="12.75" x14ac:dyDescent="0.2"/>
  <cols>
    <col min="2" max="2" width="52.85546875" customWidth="1"/>
    <col min="3" max="3" width="32" style="256" bestFit="1" customWidth="1"/>
    <col min="4" max="22" width="20.7109375" customWidth="1"/>
  </cols>
  <sheetData>
    <row r="1" spans="1:22" ht="18.75" x14ac:dyDescent="0.3">
      <c r="A1" s="362" t="s">
        <v>3729</v>
      </c>
      <c r="B1" s="365"/>
      <c r="C1"/>
      <c r="D1" s="364" t="s">
        <v>1596</v>
      </c>
      <c r="F1" s="360" t="s">
        <v>3727</v>
      </c>
    </row>
    <row r="2" spans="1:22" ht="13.5" thickBot="1" x14ac:dyDescent="0.25"/>
    <row r="3" spans="1:22" s="238" customFormat="1" ht="120.75" customHeight="1" thickBot="1" x14ac:dyDescent="0.25">
      <c r="A3" s="260" t="s">
        <v>1</v>
      </c>
      <c r="B3" s="261" t="s">
        <v>0</v>
      </c>
      <c r="C3" s="262" t="s">
        <v>4</v>
      </c>
      <c r="D3" s="228" t="s">
        <v>1602</v>
      </c>
      <c r="E3" s="228" t="s">
        <v>3494</v>
      </c>
      <c r="F3" s="228" t="s">
        <v>3495</v>
      </c>
      <c r="G3" s="228" t="s">
        <v>3496</v>
      </c>
      <c r="H3" s="228" t="s">
        <v>3497</v>
      </c>
      <c r="I3" s="228" t="s">
        <v>3498</v>
      </c>
      <c r="J3" s="228" t="s">
        <v>3499</v>
      </c>
      <c r="K3" s="228" t="s">
        <v>3500</v>
      </c>
      <c r="L3" s="228" t="s">
        <v>3501</v>
      </c>
      <c r="M3" s="228" t="s">
        <v>3502</v>
      </c>
      <c r="N3" s="228" t="s">
        <v>3503</v>
      </c>
      <c r="O3" s="228" t="s">
        <v>3504</v>
      </c>
      <c r="P3" s="228" t="s">
        <v>3505</v>
      </c>
      <c r="Q3" s="228" t="s">
        <v>3506</v>
      </c>
      <c r="R3" s="228" t="s">
        <v>3507</v>
      </c>
      <c r="S3" s="228" t="s">
        <v>3508</v>
      </c>
      <c r="T3" s="228" t="s">
        <v>3509</v>
      </c>
      <c r="U3" s="228" t="s">
        <v>3510</v>
      </c>
      <c r="V3" s="228" t="s">
        <v>3511</v>
      </c>
    </row>
    <row r="4" spans="1:22" ht="13.5" thickBot="1" x14ac:dyDescent="0.25">
      <c r="A4" s="48" t="s">
        <v>33</v>
      </c>
      <c r="B4" s="258" t="s">
        <v>32</v>
      </c>
      <c r="C4" s="255" t="s">
        <v>34</v>
      </c>
      <c r="D4" s="244">
        <v>1285</v>
      </c>
      <c r="E4" s="244">
        <v>0</v>
      </c>
      <c r="F4" s="251">
        <v>0</v>
      </c>
      <c r="G4" s="251">
        <v>0</v>
      </c>
      <c r="H4" s="244">
        <v>1</v>
      </c>
      <c r="I4" s="253">
        <v>40</v>
      </c>
      <c r="J4" s="253">
        <v>1</v>
      </c>
      <c r="K4" s="244">
        <v>1</v>
      </c>
      <c r="L4" s="251">
        <v>40</v>
      </c>
      <c r="M4" s="251">
        <v>1</v>
      </c>
      <c r="N4" s="244">
        <v>4</v>
      </c>
      <c r="O4" s="251">
        <v>30</v>
      </c>
      <c r="P4" s="251">
        <v>0.75</v>
      </c>
      <c r="Q4" s="244">
        <v>5</v>
      </c>
      <c r="R4" s="251">
        <v>70</v>
      </c>
      <c r="S4" s="251">
        <v>1.75</v>
      </c>
      <c r="T4" s="87" t="s">
        <v>1648</v>
      </c>
      <c r="U4" s="244">
        <v>548</v>
      </c>
      <c r="V4" s="87" t="s">
        <v>1649</v>
      </c>
    </row>
    <row r="5" spans="1:22" ht="13.5" thickBot="1" x14ac:dyDescent="0.25">
      <c r="A5" s="48" t="s">
        <v>58</v>
      </c>
      <c r="B5" s="258" t="s">
        <v>57</v>
      </c>
      <c r="C5" s="255" t="s">
        <v>34</v>
      </c>
      <c r="D5" s="244">
        <v>3248</v>
      </c>
      <c r="E5" s="244">
        <v>0</v>
      </c>
      <c r="F5" s="251">
        <v>0</v>
      </c>
      <c r="G5" s="251">
        <v>0</v>
      </c>
      <c r="H5" s="244">
        <v>1</v>
      </c>
      <c r="I5" s="253">
        <v>40</v>
      </c>
      <c r="J5" s="253">
        <v>1</v>
      </c>
      <c r="K5" s="244">
        <v>1</v>
      </c>
      <c r="L5" s="251">
        <v>40</v>
      </c>
      <c r="M5" s="251">
        <v>1</v>
      </c>
      <c r="N5" s="244">
        <v>1</v>
      </c>
      <c r="O5" s="251">
        <v>4</v>
      </c>
      <c r="P5" s="251">
        <v>0.1</v>
      </c>
      <c r="Q5" s="244">
        <v>2</v>
      </c>
      <c r="R5" s="251">
        <v>44</v>
      </c>
      <c r="S5" s="251">
        <v>1.1000000000000001</v>
      </c>
      <c r="T5" s="87" t="s">
        <v>1648</v>
      </c>
      <c r="U5" s="244">
        <v>44</v>
      </c>
      <c r="V5" s="87" t="s">
        <v>1649</v>
      </c>
    </row>
    <row r="6" spans="1:22" ht="13.5" thickBot="1" x14ac:dyDescent="0.25">
      <c r="A6" s="48" t="s">
        <v>80</v>
      </c>
      <c r="B6" s="258" t="s">
        <v>79</v>
      </c>
      <c r="C6" s="255" t="s">
        <v>34</v>
      </c>
      <c r="D6" s="244">
        <v>657</v>
      </c>
      <c r="E6" s="244">
        <v>0</v>
      </c>
      <c r="F6" s="251">
        <v>0</v>
      </c>
      <c r="G6" s="251">
        <v>0</v>
      </c>
      <c r="H6" s="244">
        <v>3</v>
      </c>
      <c r="I6" s="253">
        <v>60</v>
      </c>
      <c r="J6" s="253">
        <v>1.5</v>
      </c>
      <c r="K6" s="244">
        <v>3</v>
      </c>
      <c r="L6" s="251">
        <v>60</v>
      </c>
      <c r="M6" s="251">
        <v>1.5</v>
      </c>
      <c r="N6" s="244">
        <v>1</v>
      </c>
      <c r="O6" s="251">
        <v>6</v>
      </c>
      <c r="P6" s="251">
        <v>0.15</v>
      </c>
      <c r="Q6" s="244">
        <v>4</v>
      </c>
      <c r="R6" s="251">
        <v>66</v>
      </c>
      <c r="S6" s="251">
        <v>1.65</v>
      </c>
      <c r="T6" s="87" t="s">
        <v>1649</v>
      </c>
      <c r="U6" s="244">
        <v>0</v>
      </c>
      <c r="V6" s="87" t="s">
        <v>1649</v>
      </c>
    </row>
    <row r="7" spans="1:22" ht="13.5" thickBot="1" x14ac:dyDescent="0.25">
      <c r="A7" s="48" t="s">
        <v>82</v>
      </c>
      <c r="B7" s="258" t="s">
        <v>81</v>
      </c>
      <c r="C7" s="255" t="s">
        <v>34</v>
      </c>
      <c r="D7" s="244">
        <v>3769</v>
      </c>
      <c r="E7" s="244">
        <v>1</v>
      </c>
      <c r="F7" s="251">
        <v>40</v>
      </c>
      <c r="G7" s="251">
        <v>1</v>
      </c>
      <c r="H7" s="244">
        <v>1</v>
      </c>
      <c r="I7" s="253">
        <v>40</v>
      </c>
      <c r="J7" s="253">
        <v>1</v>
      </c>
      <c r="K7" s="244">
        <v>1</v>
      </c>
      <c r="L7" s="251">
        <v>40</v>
      </c>
      <c r="M7" s="251">
        <v>1</v>
      </c>
      <c r="N7" s="244">
        <v>3</v>
      </c>
      <c r="O7" s="251">
        <v>54</v>
      </c>
      <c r="P7" s="251">
        <v>1.35</v>
      </c>
      <c r="Q7" s="244">
        <v>4</v>
      </c>
      <c r="R7" s="251">
        <v>94</v>
      </c>
      <c r="S7" s="251">
        <v>2.35</v>
      </c>
      <c r="T7" s="87" t="s">
        <v>1649</v>
      </c>
      <c r="U7" s="244">
        <v>0</v>
      </c>
      <c r="V7" s="87" t="s">
        <v>1649</v>
      </c>
    </row>
    <row r="8" spans="1:22" ht="13.5" thickBot="1" x14ac:dyDescent="0.25">
      <c r="A8" s="48" t="s">
        <v>86</v>
      </c>
      <c r="B8" s="258" t="s">
        <v>85</v>
      </c>
      <c r="C8" s="255" t="s">
        <v>34</v>
      </c>
      <c r="D8" s="244">
        <v>3150</v>
      </c>
      <c r="E8" s="87">
        <v>0</v>
      </c>
      <c r="F8" s="252">
        <v>0</v>
      </c>
      <c r="G8" s="252">
        <v>0</v>
      </c>
      <c r="H8" s="244">
        <v>1</v>
      </c>
      <c r="I8" s="253">
        <v>25</v>
      </c>
      <c r="J8" s="253">
        <v>0.625</v>
      </c>
      <c r="K8" s="87">
        <v>1</v>
      </c>
      <c r="L8" s="251">
        <v>25</v>
      </c>
      <c r="M8" s="251">
        <v>0.625</v>
      </c>
      <c r="N8" s="87">
        <v>0</v>
      </c>
      <c r="O8" s="252">
        <v>0</v>
      </c>
      <c r="P8" s="252">
        <v>0</v>
      </c>
      <c r="Q8" s="244">
        <v>1</v>
      </c>
      <c r="R8" s="251">
        <v>25</v>
      </c>
      <c r="S8" s="251">
        <v>0.625</v>
      </c>
      <c r="T8" s="87" t="s">
        <v>1649</v>
      </c>
      <c r="U8" s="244">
        <v>0</v>
      </c>
      <c r="V8" s="87" t="s">
        <v>1649</v>
      </c>
    </row>
    <row r="9" spans="1:22" ht="13.5" thickBot="1" x14ac:dyDescent="0.25">
      <c r="A9" s="48" t="s">
        <v>90</v>
      </c>
      <c r="B9" s="258" t="s">
        <v>89</v>
      </c>
      <c r="C9" s="255" t="s">
        <v>34</v>
      </c>
      <c r="D9" s="244">
        <v>3811</v>
      </c>
      <c r="E9" s="244">
        <v>1</v>
      </c>
      <c r="F9" s="251">
        <v>40</v>
      </c>
      <c r="G9" s="251">
        <v>1</v>
      </c>
      <c r="H9" s="244">
        <v>2</v>
      </c>
      <c r="I9" s="253">
        <v>58</v>
      </c>
      <c r="J9" s="253">
        <v>1.45</v>
      </c>
      <c r="K9" s="244">
        <v>3</v>
      </c>
      <c r="L9" s="251">
        <v>98</v>
      </c>
      <c r="M9" s="251">
        <v>2.4500000000000002</v>
      </c>
      <c r="N9" s="244">
        <v>2</v>
      </c>
      <c r="O9" s="251">
        <v>35</v>
      </c>
      <c r="P9" s="251">
        <v>0.875</v>
      </c>
      <c r="Q9" s="244">
        <v>5</v>
      </c>
      <c r="R9" s="251">
        <v>133</v>
      </c>
      <c r="S9" s="251">
        <v>3.3250000000000002</v>
      </c>
      <c r="T9" s="87" t="s">
        <v>1648</v>
      </c>
      <c r="U9" s="244">
        <v>324</v>
      </c>
      <c r="V9" s="87" t="s">
        <v>1649</v>
      </c>
    </row>
    <row r="10" spans="1:22" ht="13.5" thickBot="1" x14ac:dyDescent="0.25">
      <c r="A10" s="48" t="s">
        <v>92</v>
      </c>
      <c r="B10" s="258" t="s">
        <v>91</v>
      </c>
      <c r="C10" s="255" t="s">
        <v>34</v>
      </c>
      <c r="D10" s="244">
        <v>3623</v>
      </c>
      <c r="E10" s="244">
        <v>0</v>
      </c>
      <c r="F10" s="251">
        <v>0</v>
      </c>
      <c r="G10" s="251">
        <v>0</v>
      </c>
      <c r="H10" s="244">
        <v>5</v>
      </c>
      <c r="I10" s="253">
        <v>72</v>
      </c>
      <c r="J10" s="253">
        <v>1.8</v>
      </c>
      <c r="K10" s="244">
        <v>5</v>
      </c>
      <c r="L10" s="251">
        <v>72</v>
      </c>
      <c r="M10" s="251">
        <v>1.8</v>
      </c>
      <c r="N10" s="244">
        <v>1</v>
      </c>
      <c r="O10" s="251">
        <v>6</v>
      </c>
      <c r="P10" s="251">
        <v>0.15</v>
      </c>
      <c r="Q10" s="244">
        <v>6</v>
      </c>
      <c r="R10" s="251">
        <v>78</v>
      </c>
      <c r="S10" s="251">
        <v>1.95</v>
      </c>
      <c r="T10" s="87" t="s">
        <v>1649</v>
      </c>
      <c r="U10" s="244">
        <v>0</v>
      </c>
      <c r="V10" s="87" t="s">
        <v>1649</v>
      </c>
    </row>
    <row r="11" spans="1:22" ht="13.5" thickBot="1" x14ac:dyDescent="0.25">
      <c r="A11" s="48" t="s">
        <v>100</v>
      </c>
      <c r="B11" s="258" t="s">
        <v>99</v>
      </c>
      <c r="C11" s="255" t="s">
        <v>34</v>
      </c>
      <c r="D11" s="244">
        <v>2937</v>
      </c>
      <c r="E11" s="244">
        <v>0</v>
      </c>
      <c r="F11" s="251">
        <v>0</v>
      </c>
      <c r="G11" s="251">
        <v>0</v>
      </c>
      <c r="H11" s="244">
        <v>3</v>
      </c>
      <c r="I11" s="253">
        <v>41</v>
      </c>
      <c r="J11" s="253">
        <v>1.0249999999999999</v>
      </c>
      <c r="K11" s="244">
        <v>3</v>
      </c>
      <c r="L11" s="251">
        <v>41</v>
      </c>
      <c r="M11" s="251">
        <v>1.0249999999999999</v>
      </c>
      <c r="N11" s="244">
        <v>0</v>
      </c>
      <c r="O11" s="251">
        <v>0</v>
      </c>
      <c r="P11" s="251">
        <v>0</v>
      </c>
      <c r="Q11" s="244">
        <v>3</v>
      </c>
      <c r="R11" s="251">
        <v>41</v>
      </c>
      <c r="S11" s="251">
        <v>1.0249999999999999</v>
      </c>
      <c r="T11" s="87" t="s">
        <v>1648</v>
      </c>
      <c r="U11" s="244">
        <v>280</v>
      </c>
      <c r="V11" s="87" t="s">
        <v>1649</v>
      </c>
    </row>
    <row r="12" spans="1:22" ht="13.5" thickBot="1" x14ac:dyDescent="0.25">
      <c r="A12" s="48" t="s">
        <v>132</v>
      </c>
      <c r="B12" s="258" t="s">
        <v>131</v>
      </c>
      <c r="C12" s="255" t="s">
        <v>34</v>
      </c>
      <c r="D12" s="244">
        <v>2611</v>
      </c>
      <c r="E12" s="244">
        <v>0</v>
      </c>
      <c r="F12" s="251">
        <v>0</v>
      </c>
      <c r="G12" s="251">
        <v>0</v>
      </c>
      <c r="H12" s="244">
        <v>2</v>
      </c>
      <c r="I12" s="253">
        <v>28</v>
      </c>
      <c r="J12" s="253">
        <v>0.7</v>
      </c>
      <c r="K12" s="244">
        <v>2</v>
      </c>
      <c r="L12" s="251">
        <v>28</v>
      </c>
      <c r="M12" s="251">
        <v>0.7</v>
      </c>
      <c r="N12" s="244">
        <v>0</v>
      </c>
      <c r="O12" s="251">
        <v>0</v>
      </c>
      <c r="P12" s="251">
        <v>0</v>
      </c>
      <c r="Q12" s="244">
        <v>2</v>
      </c>
      <c r="R12" s="251">
        <v>28</v>
      </c>
      <c r="S12" s="251">
        <v>0.7</v>
      </c>
      <c r="T12" s="87" t="s">
        <v>1648</v>
      </c>
      <c r="U12" s="244">
        <v>354</v>
      </c>
      <c r="V12" s="87" t="s">
        <v>1649</v>
      </c>
    </row>
    <row r="13" spans="1:22" ht="13.5" thickBot="1" x14ac:dyDescent="0.25">
      <c r="A13" s="48" t="s">
        <v>146</v>
      </c>
      <c r="B13" s="258" t="s">
        <v>145</v>
      </c>
      <c r="C13" s="255" t="s">
        <v>34</v>
      </c>
      <c r="D13" s="244">
        <v>722</v>
      </c>
      <c r="E13" s="244">
        <v>0</v>
      </c>
      <c r="F13" s="251">
        <v>0</v>
      </c>
      <c r="G13" s="251">
        <v>0</v>
      </c>
      <c r="H13" s="244">
        <v>1</v>
      </c>
      <c r="I13" s="253">
        <v>20</v>
      </c>
      <c r="J13" s="253">
        <v>0.5</v>
      </c>
      <c r="K13" s="244">
        <v>1</v>
      </c>
      <c r="L13" s="251">
        <v>20</v>
      </c>
      <c r="M13" s="251">
        <v>0.5</v>
      </c>
      <c r="N13" s="244">
        <v>1</v>
      </c>
      <c r="O13" s="251">
        <v>4</v>
      </c>
      <c r="P13" s="251">
        <v>0.1</v>
      </c>
      <c r="Q13" s="244">
        <v>2</v>
      </c>
      <c r="R13" s="251">
        <v>24</v>
      </c>
      <c r="S13" s="251">
        <v>0.6</v>
      </c>
      <c r="T13" s="87" t="s">
        <v>1648</v>
      </c>
      <c r="U13" s="244">
        <v>32</v>
      </c>
      <c r="V13" s="87" t="s">
        <v>1649</v>
      </c>
    </row>
    <row r="14" spans="1:22" ht="13.5" thickBot="1" x14ac:dyDescent="0.25">
      <c r="A14" s="48" t="s">
        <v>156</v>
      </c>
      <c r="B14" s="258" t="s">
        <v>155</v>
      </c>
      <c r="C14" s="255" t="s">
        <v>34</v>
      </c>
      <c r="D14" s="244">
        <v>3995</v>
      </c>
      <c r="E14" s="244">
        <v>0</v>
      </c>
      <c r="F14" s="251">
        <v>0</v>
      </c>
      <c r="G14" s="251">
        <v>0</v>
      </c>
      <c r="H14" s="244">
        <v>1</v>
      </c>
      <c r="I14" s="253">
        <v>40</v>
      </c>
      <c r="J14" s="253">
        <v>1</v>
      </c>
      <c r="K14" s="244">
        <v>1</v>
      </c>
      <c r="L14" s="251">
        <v>40</v>
      </c>
      <c r="M14" s="251">
        <v>1</v>
      </c>
      <c r="N14" s="244">
        <v>3</v>
      </c>
      <c r="O14" s="251">
        <v>74</v>
      </c>
      <c r="P14" s="251">
        <v>1.85</v>
      </c>
      <c r="Q14" s="244">
        <v>4</v>
      </c>
      <c r="R14" s="251">
        <v>114</v>
      </c>
      <c r="S14" s="251">
        <v>2.85</v>
      </c>
      <c r="T14" s="87" t="s">
        <v>1649</v>
      </c>
      <c r="U14" s="244">
        <v>0</v>
      </c>
      <c r="V14" s="87" t="s">
        <v>1649</v>
      </c>
    </row>
    <row r="15" spans="1:22" ht="13.5" thickBot="1" x14ac:dyDescent="0.25">
      <c r="A15" s="48" t="s">
        <v>164</v>
      </c>
      <c r="B15" s="258" t="s">
        <v>163</v>
      </c>
      <c r="C15" s="255" t="s">
        <v>34</v>
      </c>
      <c r="D15" s="244">
        <v>1854</v>
      </c>
      <c r="E15" s="244">
        <v>0</v>
      </c>
      <c r="F15" s="251">
        <v>0</v>
      </c>
      <c r="G15" s="251">
        <v>0</v>
      </c>
      <c r="H15" s="244">
        <v>1</v>
      </c>
      <c r="I15" s="253">
        <v>27</v>
      </c>
      <c r="J15" s="253">
        <v>0.67500000000000004</v>
      </c>
      <c r="K15" s="244">
        <v>1</v>
      </c>
      <c r="L15" s="251">
        <v>27</v>
      </c>
      <c r="M15" s="251">
        <v>0.67500000000000004</v>
      </c>
      <c r="N15" s="244">
        <v>0</v>
      </c>
      <c r="O15" s="251">
        <v>0</v>
      </c>
      <c r="P15" s="251">
        <v>0</v>
      </c>
      <c r="Q15" s="244">
        <v>1</v>
      </c>
      <c r="R15" s="251">
        <v>27</v>
      </c>
      <c r="S15" s="251">
        <v>0.67500000000000004</v>
      </c>
      <c r="T15" s="87" t="s">
        <v>1648</v>
      </c>
      <c r="U15" s="244">
        <v>297</v>
      </c>
      <c r="V15" s="87" t="s">
        <v>1649</v>
      </c>
    </row>
    <row r="16" spans="1:22" ht="13.5" thickBot="1" x14ac:dyDescent="0.25">
      <c r="A16" s="48" t="s">
        <v>176</v>
      </c>
      <c r="B16" s="258" t="s">
        <v>175</v>
      </c>
      <c r="C16" s="255" t="s">
        <v>34</v>
      </c>
      <c r="D16" s="244">
        <v>3604</v>
      </c>
      <c r="E16" s="244">
        <v>1</v>
      </c>
      <c r="F16" s="251">
        <v>35</v>
      </c>
      <c r="G16" s="251">
        <v>0.875</v>
      </c>
      <c r="H16" s="244">
        <v>2</v>
      </c>
      <c r="I16" s="253">
        <v>2</v>
      </c>
      <c r="J16" s="253">
        <v>0.05</v>
      </c>
      <c r="K16" s="244">
        <v>3</v>
      </c>
      <c r="L16" s="251">
        <v>37</v>
      </c>
      <c r="M16" s="251">
        <v>0.92500000000000004</v>
      </c>
      <c r="N16" s="244">
        <v>5</v>
      </c>
      <c r="O16" s="251">
        <v>91</v>
      </c>
      <c r="P16" s="251">
        <v>2.2749999999999999</v>
      </c>
      <c r="Q16" s="244">
        <v>8</v>
      </c>
      <c r="R16" s="251">
        <v>128</v>
      </c>
      <c r="S16" s="251">
        <v>3.2</v>
      </c>
      <c r="T16" s="87" t="s">
        <v>1648</v>
      </c>
      <c r="U16" s="244">
        <v>435</v>
      </c>
      <c r="V16" s="87" t="s">
        <v>1649</v>
      </c>
    </row>
    <row r="17" spans="1:22" ht="13.5" thickBot="1" x14ac:dyDescent="0.25">
      <c r="A17" s="48" t="s">
        <v>184</v>
      </c>
      <c r="B17" s="258" t="s">
        <v>183</v>
      </c>
      <c r="C17" s="255" t="s">
        <v>34</v>
      </c>
      <c r="D17" s="244">
        <v>3803</v>
      </c>
      <c r="E17" s="244">
        <v>0</v>
      </c>
      <c r="F17" s="251">
        <v>0</v>
      </c>
      <c r="G17" s="251">
        <v>0</v>
      </c>
      <c r="H17" s="244">
        <v>4</v>
      </c>
      <c r="I17" s="253">
        <v>85</v>
      </c>
      <c r="J17" s="253">
        <v>2.125</v>
      </c>
      <c r="K17" s="244">
        <v>4</v>
      </c>
      <c r="L17" s="251">
        <v>85</v>
      </c>
      <c r="M17" s="251">
        <v>2.125</v>
      </c>
      <c r="N17" s="244">
        <v>1</v>
      </c>
      <c r="O17" s="251">
        <v>8</v>
      </c>
      <c r="P17" s="251">
        <v>0.2</v>
      </c>
      <c r="Q17" s="244">
        <v>4</v>
      </c>
      <c r="R17" s="251">
        <v>93</v>
      </c>
      <c r="S17" s="251">
        <v>2.3250000000000002</v>
      </c>
      <c r="T17" s="87" t="s">
        <v>1649</v>
      </c>
      <c r="U17" s="244">
        <v>0</v>
      </c>
      <c r="V17" s="87" t="s">
        <v>1649</v>
      </c>
    </row>
    <row r="18" spans="1:22" ht="13.5" thickBot="1" x14ac:dyDescent="0.25">
      <c r="A18" s="48" t="s">
        <v>186</v>
      </c>
      <c r="B18" s="258" t="s">
        <v>185</v>
      </c>
      <c r="C18" s="255" t="s">
        <v>34</v>
      </c>
      <c r="D18" s="244">
        <v>2373</v>
      </c>
      <c r="E18" s="244">
        <v>1</v>
      </c>
      <c r="F18" s="251">
        <v>25.5</v>
      </c>
      <c r="G18" s="251">
        <v>0.63749999999999996</v>
      </c>
      <c r="H18" s="244">
        <v>1</v>
      </c>
      <c r="I18" s="253">
        <v>12</v>
      </c>
      <c r="J18" s="253">
        <v>0.3</v>
      </c>
      <c r="K18" s="244">
        <v>2</v>
      </c>
      <c r="L18" s="251">
        <v>37.5</v>
      </c>
      <c r="M18" s="251">
        <v>0.9375</v>
      </c>
      <c r="N18" s="244">
        <v>6</v>
      </c>
      <c r="O18" s="251">
        <v>39.25</v>
      </c>
      <c r="P18" s="251">
        <v>0.98124999999999996</v>
      </c>
      <c r="Q18" s="244">
        <v>8</v>
      </c>
      <c r="R18" s="251">
        <v>76.75</v>
      </c>
      <c r="S18" s="251">
        <v>1.91875</v>
      </c>
      <c r="T18" s="87" t="s">
        <v>1648</v>
      </c>
      <c r="U18" s="244">
        <v>164</v>
      </c>
      <c r="V18" s="87" t="s">
        <v>1649</v>
      </c>
    </row>
    <row r="19" spans="1:22" ht="13.5" thickBot="1" x14ac:dyDescent="0.25">
      <c r="A19" s="48" t="s">
        <v>202</v>
      </c>
      <c r="B19" s="258" t="s">
        <v>201</v>
      </c>
      <c r="C19" s="255" t="s">
        <v>34</v>
      </c>
      <c r="D19" s="244">
        <v>3953</v>
      </c>
      <c r="E19" s="244">
        <v>2</v>
      </c>
      <c r="F19" s="251">
        <v>77</v>
      </c>
      <c r="G19" s="251">
        <v>1.925</v>
      </c>
      <c r="H19" s="244">
        <v>0</v>
      </c>
      <c r="I19" s="253">
        <v>0</v>
      </c>
      <c r="J19" s="253">
        <v>0</v>
      </c>
      <c r="K19" s="244">
        <v>2</v>
      </c>
      <c r="L19" s="251">
        <v>77</v>
      </c>
      <c r="M19" s="251">
        <v>1.925</v>
      </c>
      <c r="N19" s="244">
        <v>2</v>
      </c>
      <c r="O19" s="251">
        <v>45</v>
      </c>
      <c r="P19" s="251">
        <v>1.125</v>
      </c>
      <c r="Q19" s="244">
        <v>4</v>
      </c>
      <c r="R19" s="251">
        <v>122</v>
      </c>
      <c r="S19" s="251">
        <v>3.05</v>
      </c>
      <c r="T19" s="87" t="s">
        <v>1649</v>
      </c>
      <c r="U19" s="244">
        <v>0</v>
      </c>
      <c r="V19" s="87" t="s">
        <v>1649</v>
      </c>
    </row>
    <row r="20" spans="1:22" ht="13.5" thickBot="1" x14ac:dyDescent="0.25">
      <c r="A20" s="48" t="s">
        <v>204</v>
      </c>
      <c r="B20" s="258" t="s">
        <v>203</v>
      </c>
      <c r="C20" s="255" t="s">
        <v>34</v>
      </c>
      <c r="D20" s="244">
        <v>3228</v>
      </c>
      <c r="E20" s="244">
        <v>0</v>
      </c>
      <c r="F20" s="251">
        <v>0</v>
      </c>
      <c r="G20" s="251">
        <v>0</v>
      </c>
      <c r="H20" s="244">
        <v>2</v>
      </c>
      <c r="I20" s="253">
        <v>57</v>
      </c>
      <c r="J20" s="253">
        <v>1.425</v>
      </c>
      <c r="K20" s="244">
        <v>2</v>
      </c>
      <c r="L20" s="251">
        <v>57</v>
      </c>
      <c r="M20" s="251">
        <v>1.425</v>
      </c>
      <c r="N20" s="244">
        <v>2</v>
      </c>
      <c r="O20" s="251">
        <v>27</v>
      </c>
      <c r="P20" s="251">
        <v>0.67500000000000004</v>
      </c>
      <c r="Q20" s="244">
        <v>5</v>
      </c>
      <c r="R20" s="251">
        <v>84</v>
      </c>
      <c r="S20" s="251">
        <v>2.1</v>
      </c>
      <c r="T20" s="87" t="s">
        <v>1649</v>
      </c>
      <c r="U20" s="244">
        <v>0</v>
      </c>
      <c r="V20" s="87" t="s">
        <v>1649</v>
      </c>
    </row>
    <row r="21" spans="1:22" ht="13.5" thickBot="1" x14ac:dyDescent="0.25">
      <c r="A21" s="48" t="s">
        <v>206</v>
      </c>
      <c r="B21" s="258" t="s">
        <v>205</v>
      </c>
      <c r="C21" s="255" t="s">
        <v>34</v>
      </c>
      <c r="D21" s="244">
        <v>3453</v>
      </c>
      <c r="E21" s="244">
        <v>0</v>
      </c>
      <c r="F21" s="251">
        <v>0</v>
      </c>
      <c r="G21" s="251">
        <v>0</v>
      </c>
      <c r="H21" s="244">
        <v>1</v>
      </c>
      <c r="I21" s="253">
        <v>31</v>
      </c>
      <c r="J21" s="253">
        <v>0.77500000000000002</v>
      </c>
      <c r="K21" s="244">
        <v>1</v>
      </c>
      <c r="L21" s="251">
        <v>31</v>
      </c>
      <c r="M21" s="251">
        <v>0.77500000000000002</v>
      </c>
      <c r="N21" s="244">
        <v>10</v>
      </c>
      <c r="O21" s="251">
        <v>86.61</v>
      </c>
      <c r="P21" s="251">
        <v>2.1652499999999999</v>
      </c>
      <c r="Q21" s="244">
        <v>11</v>
      </c>
      <c r="R21" s="251">
        <v>117.61</v>
      </c>
      <c r="S21" s="251">
        <v>2.9402499999999998</v>
      </c>
      <c r="T21" s="257" t="s">
        <v>1648</v>
      </c>
      <c r="U21" s="244">
        <v>1000</v>
      </c>
      <c r="V21" s="87" t="s">
        <v>1649</v>
      </c>
    </row>
    <row r="22" spans="1:22" ht="13.5" thickBot="1" x14ac:dyDescent="0.25">
      <c r="A22" s="48" t="s">
        <v>208</v>
      </c>
      <c r="B22" s="258" t="s">
        <v>207</v>
      </c>
      <c r="C22" s="255" t="s">
        <v>34</v>
      </c>
      <c r="D22" s="244">
        <v>1236</v>
      </c>
      <c r="E22" s="244">
        <v>0</v>
      </c>
      <c r="F22" s="251">
        <v>0</v>
      </c>
      <c r="G22" s="251">
        <v>0</v>
      </c>
      <c r="H22" s="244">
        <v>2</v>
      </c>
      <c r="I22" s="253">
        <v>46</v>
      </c>
      <c r="J22" s="253">
        <v>1.1499999999999999</v>
      </c>
      <c r="K22" s="244">
        <v>2</v>
      </c>
      <c r="L22" s="251">
        <v>46</v>
      </c>
      <c r="M22" s="251">
        <v>1.1499999999999999</v>
      </c>
      <c r="N22" s="244">
        <v>1</v>
      </c>
      <c r="O22" s="251">
        <v>15</v>
      </c>
      <c r="P22" s="251">
        <v>0.375</v>
      </c>
      <c r="Q22" s="244">
        <v>3</v>
      </c>
      <c r="R22" s="251">
        <v>61</v>
      </c>
      <c r="S22" s="251">
        <v>1.5249999999999999</v>
      </c>
      <c r="T22" s="257" t="s">
        <v>1648</v>
      </c>
      <c r="U22" s="244">
        <v>6</v>
      </c>
      <c r="V22" s="87" t="s">
        <v>1649</v>
      </c>
    </row>
    <row r="23" spans="1:22" ht="13.5" thickBot="1" x14ac:dyDescent="0.25">
      <c r="A23" s="48" t="s">
        <v>210</v>
      </c>
      <c r="B23" s="258" t="s">
        <v>209</v>
      </c>
      <c r="C23" s="255" t="s">
        <v>34</v>
      </c>
      <c r="D23" s="244">
        <v>3179</v>
      </c>
      <c r="E23" s="244">
        <v>3</v>
      </c>
      <c r="F23" s="251">
        <v>48</v>
      </c>
      <c r="G23" s="251">
        <v>1.2</v>
      </c>
      <c r="H23" s="244">
        <v>2</v>
      </c>
      <c r="I23" s="253">
        <v>25</v>
      </c>
      <c r="J23" s="253">
        <v>0.625</v>
      </c>
      <c r="K23" s="244">
        <v>5</v>
      </c>
      <c r="L23" s="251">
        <v>73</v>
      </c>
      <c r="M23" s="251">
        <v>1.825</v>
      </c>
      <c r="N23" s="244">
        <v>0</v>
      </c>
      <c r="O23" s="254">
        <v>0</v>
      </c>
      <c r="P23" s="252">
        <v>0</v>
      </c>
      <c r="Q23" s="244">
        <v>5</v>
      </c>
      <c r="R23" s="251">
        <v>73</v>
      </c>
      <c r="S23" s="251">
        <v>1.825</v>
      </c>
      <c r="T23" s="87" t="s">
        <v>1648</v>
      </c>
      <c r="U23" s="244">
        <v>761</v>
      </c>
      <c r="V23" s="87" t="s">
        <v>1649</v>
      </c>
    </row>
    <row r="24" spans="1:22" ht="13.5" thickBot="1" x14ac:dyDescent="0.25">
      <c r="A24" s="48" t="s">
        <v>256</v>
      </c>
      <c r="B24" s="258" t="s">
        <v>255</v>
      </c>
      <c r="C24" s="255" t="s">
        <v>34</v>
      </c>
      <c r="D24" s="244">
        <v>2769</v>
      </c>
      <c r="E24" s="244">
        <v>0</v>
      </c>
      <c r="F24" s="251">
        <v>0</v>
      </c>
      <c r="G24" s="251">
        <v>0</v>
      </c>
      <c r="H24" s="244">
        <v>1</v>
      </c>
      <c r="I24" s="253">
        <v>35</v>
      </c>
      <c r="J24" s="253">
        <v>0.875</v>
      </c>
      <c r="K24" s="244">
        <v>1</v>
      </c>
      <c r="L24" s="251">
        <v>35</v>
      </c>
      <c r="M24" s="251">
        <v>0.875</v>
      </c>
      <c r="N24" s="244">
        <v>0</v>
      </c>
      <c r="O24" s="251">
        <v>0</v>
      </c>
      <c r="P24" s="251">
        <v>0</v>
      </c>
      <c r="Q24" s="244">
        <v>1</v>
      </c>
      <c r="R24" s="251">
        <v>35</v>
      </c>
      <c r="S24" s="251">
        <v>0.875</v>
      </c>
      <c r="T24" s="87" t="s">
        <v>1649</v>
      </c>
      <c r="U24" s="244">
        <v>0</v>
      </c>
      <c r="V24" s="87" t="s">
        <v>1649</v>
      </c>
    </row>
    <row r="25" spans="1:22" ht="13.5" thickBot="1" x14ac:dyDescent="0.25">
      <c r="A25" s="48" t="s">
        <v>258</v>
      </c>
      <c r="B25" s="258" t="s">
        <v>257</v>
      </c>
      <c r="C25" s="255" t="s">
        <v>34</v>
      </c>
      <c r="D25" s="244">
        <v>3738</v>
      </c>
      <c r="E25" s="244">
        <v>0</v>
      </c>
      <c r="F25" s="251">
        <v>0</v>
      </c>
      <c r="G25" s="251">
        <v>0</v>
      </c>
      <c r="H25" s="244">
        <v>1</v>
      </c>
      <c r="I25" s="253">
        <v>25</v>
      </c>
      <c r="J25" s="253">
        <v>0.625</v>
      </c>
      <c r="K25" s="244">
        <v>1</v>
      </c>
      <c r="L25" s="251">
        <v>25</v>
      </c>
      <c r="M25" s="251">
        <v>0.625</v>
      </c>
      <c r="N25" s="244">
        <v>6</v>
      </c>
      <c r="O25" s="251">
        <v>50</v>
      </c>
      <c r="P25" s="251">
        <v>1.25</v>
      </c>
      <c r="Q25" s="244">
        <v>7</v>
      </c>
      <c r="R25" s="251">
        <v>75</v>
      </c>
      <c r="S25" s="251">
        <v>1.875</v>
      </c>
      <c r="T25" s="87" t="s">
        <v>1648</v>
      </c>
      <c r="U25" s="244">
        <v>252</v>
      </c>
      <c r="V25" s="87" t="s">
        <v>1649</v>
      </c>
    </row>
    <row r="26" spans="1:22" ht="13.5" thickBot="1" x14ac:dyDescent="0.25">
      <c r="A26" s="48" t="s">
        <v>264</v>
      </c>
      <c r="B26" s="258" t="s">
        <v>263</v>
      </c>
      <c r="C26" s="255" t="s">
        <v>34</v>
      </c>
      <c r="D26" s="244">
        <v>3112</v>
      </c>
      <c r="E26" s="244">
        <v>0</v>
      </c>
      <c r="F26" s="251">
        <v>0</v>
      </c>
      <c r="G26" s="251">
        <v>0</v>
      </c>
      <c r="H26" s="244">
        <v>1</v>
      </c>
      <c r="I26" s="253">
        <v>33</v>
      </c>
      <c r="J26" s="253">
        <v>0.82499999999999996</v>
      </c>
      <c r="K26" s="244">
        <v>1</v>
      </c>
      <c r="L26" s="251">
        <v>33</v>
      </c>
      <c r="M26" s="251">
        <v>0.82499999999999996</v>
      </c>
      <c r="N26" s="244">
        <v>4</v>
      </c>
      <c r="O26" s="251">
        <v>73</v>
      </c>
      <c r="P26" s="251">
        <v>1.825</v>
      </c>
      <c r="Q26" s="244">
        <v>5</v>
      </c>
      <c r="R26" s="251">
        <v>106</v>
      </c>
      <c r="S26" s="251">
        <v>2.65</v>
      </c>
      <c r="T26" s="87" t="s">
        <v>1648</v>
      </c>
      <c r="U26" s="244">
        <v>40</v>
      </c>
      <c r="V26" s="87" t="s">
        <v>1649</v>
      </c>
    </row>
    <row r="27" spans="1:22" ht="13.5" thickBot="1" x14ac:dyDescent="0.25">
      <c r="A27" s="48" t="s">
        <v>272</v>
      </c>
      <c r="B27" s="258" t="s">
        <v>271</v>
      </c>
      <c r="C27" s="255" t="s">
        <v>34</v>
      </c>
      <c r="D27" s="244">
        <v>2791</v>
      </c>
      <c r="E27" s="244">
        <v>1</v>
      </c>
      <c r="F27" s="251">
        <v>3</v>
      </c>
      <c r="G27" s="251">
        <v>7.4999999999999997E-2</v>
      </c>
      <c r="H27" s="244">
        <v>10</v>
      </c>
      <c r="I27" s="253">
        <v>104.13</v>
      </c>
      <c r="J27" s="253">
        <v>2.6032500000000001</v>
      </c>
      <c r="K27" s="244">
        <v>11</v>
      </c>
      <c r="L27" s="251">
        <v>107.22</v>
      </c>
      <c r="M27" s="251">
        <v>2.6804999999999999</v>
      </c>
      <c r="N27" s="244">
        <v>0</v>
      </c>
      <c r="O27" s="251">
        <v>0</v>
      </c>
      <c r="P27" s="251">
        <v>0</v>
      </c>
      <c r="Q27" s="244">
        <v>11</v>
      </c>
      <c r="R27" s="251">
        <v>107.22</v>
      </c>
      <c r="S27" s="251">
        <v>2.6804999999999999</v>
      </c>
      <c r="T27" s="87" t="s">
        <v>1648</v>
      </c>
      <c r="U27" s="244">
        <v>1040</v>
      </c>
      <c r="V27" s="87" t="s">
        <v>1649</v>
      </c>
    </row>
    <row r="28" spans="1:22" ht="13.5" thickBot="1" x14ac:dyDescent="0.25">
      <c r="A28" s="48" t="s">
        <v>286</v>
      </c>
      <c r="B28" s="258" t="s">
        <v>285</v>
      </c>
      <c r="C28" s="255" t="s">
        <v>34</v>
      </c>
      <c r="D28" s="244">
        <v>3150</v>
      </c>
      <c r="E28" s="244">
        <v>2</v>
      </c>
      <c r="F28" s="251">
        <v>27</v>
      </c>
      <c r="G28" s="251">
        <v>0.67500000000000004</v>
      </c>
      <c r="H28" s="244">
        <v>2</v>
      </c>
      <c r="I28" s="253">
        <v>23</v>
      </c>
      <c r="J28" s="253">
        <v>0.57499999999999996</v>
      </c>
      <c r="K28" s="244">
        <v>4</v>
      </c>
      <c r="L28" s="251">
        <v>51</v>
      </c>
      <c r="M28" s="251">
        <v>1.2749999999999999</v>
      </c>
      <c r="N28" s="244">
        <v>6</v>
      </c>
      <c r="O28" s="251">
        <v>16</v>
      </c>
      <c r="P28" s="251">
        <v>0.4</v>
      </c>
      <c r="Q28" s="244">
        <v>9</v>
      </c>
      <c r="R28" s="251">
        <v>67</v>
      </c>
      <c r="S28" s="251">
        <v>1.675</v>
      </c>
      <c r="T28" s="87" t="s">
        <v>1649</v>
      </c>
      <c r="U28" s="244">
        <v>0</v>
      </c>
      <c r="V28" s="87" t="s">
        <v>1649</v>
      </c>
    </row>
    <row r="29" spans="1:22" ht="13.5" thickBot="1" x14ac:dyDescent="0.25">
      <c r="A29" s="48" t="s">
        <v>298</v>
      </c>
      <c r="B29" s="258" t="s">
        <v>297</v>
      </c>
      <c r="C29" s="255" t="s">
        <v>34</v>
      </c>
      <c r="D29" s="244">
        <v>3043</v>
      </c>
      <c r="E29" s="244">
        <v>0</v>
      </c>
      <c r="F29" s="251">
        <v>0</v>
      </c>
      <c r="G29" s="251">
        <v>0</v>
      </c>
      <c r="H29" s="244">
        <v>1</v>
      </c>
      <c r="I29" s="253">
        <v>40</v>
      </c>
      <c r="J29" s="253">
        <v>1</v>
      </c>
      <c r="K29" s="244">
        <v>1</v>
      </c>
      <c r="L29" s="251">
        <v>40</v>
      </c>
      <c r="M29" s="251">
        <v>1</v>
      </c>
      <c r="N29" s="244">
        <v>1</v>
      </c>
      <c r="O29" s="251">
        <v>10</v>
      </c>
      <c r="P29" s="251">
        <v>0.25</v>
      </c>
      <c r="Q29" s="244">
        <v>2</v>
      </c>
      <c r="R29" s="251">
        <v>50</v>
      </c>
      <c r="S29" s="251">
        <v>1.25</v>
      </c>
      <c r="T29" s="257" t="s">
        <v>1648</v>
      </c>
      <c r="U29" s="244">
        <v>300</v>
      </c>
      <c r="V29" s="87" t="s">
        <v>1649</v>
      </c>
    </row>
    <row r="30" spans="1:22" ht="13.5" thickBot="1" x14ac:dyDescent="0.25">
      <c r="A30" s="48" t="s">
        <v>306</v>
      </c>
      <c r="B30" s="258" t="s">
        <v>305</v>
      </c>
      <c r="C30" s="255" t="s">
        <v>34</v>
      </c>
      <c r="D30" s="244">
        <v>2047</v>
      </c>
      <c r="E30" s="244">
        <v>0</v>
      </c>
      <c r="F30" s="251">
        <v>0</v>
      </c>
      <c r="G30" s="251">
        <v>0</v>
      </c>
      <c r="H30" s="244">
        <v>1</v>
      </c>
      <c r="I30" s="253">
        <v>20</v>
      </c>
      <c r="J30" s="253">
        <v>0.5</v>
      </c>
      <c r="K30" s="244">
        <v>1</v>
      </c>
      <c r="L30" s="251">
        <v>20</v>
      </c>
      <c r="M30" s="251">
        <v>0.5</v>
      </c>
      <c r="N30" s="244">
        <v>2</v>
      </c>
      <c r="O30" s="251">
        <v>3</v>
      </c>
      <c r="P30" s="251">
        <v>7.4999999999999997E-2</v>
      </c>
      <c r="Q30" s="244">
        <v>3</v>
      </c>
      <c r="R30" s="251">
        <v>23</v>
      </c>
      <c r="S30" s="251">
        <v>0.57499999999999996</v>
      </c>
      <c r="T30" s="87" t="s">
        <v>1649</v>
      </c>
      <c r="U30" s="244">
        <v>0</v>
      </c>
      <c r="V30" s="87" t="s">
        <v>1649</v>
      </c>
    </row>
    <row r="31" spans="1:22" ht="13.5" thickBot="1" x14ac:dyDescent="0.25">
      <c r="A31" s="48" t="s">
        <v>314</v>
      </c>
      <c r="B31" s="258" t="s">
        <v>313</v>
      </c>
      <c r="C31" s="255" t="s">
        <v>34</v>
      </c>
      <c r="D31" s="244">
        <v>3650</v>
      </c>
      <c r="E31" s="244">
        <v>1</v>
      </c>
      <c r="F31" s="251">
        <v>40</v>
      </c>
      <c r="G31" s="251">
        <v>1</v>
      </c>
      <c r="H31" s="244">
        <v>1</v>
      </c>
      <c r="I31" s="253">
        <v>40</v>
      </c>
      <c r="J31" s="253">
        <v>1</v>
      </c>
      <c r="K31" s="244">
        <v>2</v>
      </c>
      <c r="L31" s="251">
        <v>80</v>
      </c>
      <c r="M31" s="251">
        <v>2</v>
      </c>
      <c r="N31" s="244">
        <v>3</v>
      </c>
      <c r="O31" s="251">
        <v>5.3</v>
      </c>
      <c r="P31" s="251">
        <v>0.13250000000000001</v>
      </c>
      <c r="Q31" s="244">
        <v>5</v>
      </c>
      <c r="R31" s="251">
        <v>85.3</v>
      </c>
      <c r="S31" s="251">
        <v>2.1324999999999998</v>
      </c>
      <c r="T31" s="87" t="s">
        <v>1649</v>
      </c>
      <c r="U31" s="244">
        <v>0</v>
      </c>
      <c r="V31" s="87" t="s">
        <v>1649</v>
      </c>
    </row>
    <row r="32" spans="1:22" ht="13.5" thickBot="1" x14ac:dyDescent="0.25">
      <c r="A32" s="48" t="s">
        <v>316</v>
      </c>
      <c r="B32" s="258" t="s">
        <v>315</v>
      </c>
      <c r="C32" s="255" t="s">
        <v>34</v>
      </c>
      <c r="D32" s="244">
        <v>1828</v>
      </c>
      <c r="E32" s="244">
        <v>0</v>
      </c>
      <c r="F32" s="251">
        <v>0</v>
      </c>
      <c r="G32" s="251">
        <v>0</v>
      </c>
      <c r="H32" s="244">
        <v>2</v>
      </c>
      <c r="I32" s="253">
        <v>30</v>
      </c>
      <c r="J32" s="253">
        <v>0.75</v>
      </c>
      <c r="K32" s="244">
        <v>2</v>
      </c>
      <c r="L32" s="251">
        <v>30</v>
      </c>
      <c r="M32" s="251">
        <v>0.75</v>
      </c>
      <c r="N32" s="244">
        <v>0</v>
      </c>
      <c r="O32" s="251">
        <v>0</v>
      </c>
      <c r="P32" s="251">
        <v>0</v>
      </c>
      <c r="Q32" s="244">
        <v>2</v>
      </c>
      <c r="R32" s="251">
        <v>30</v>
      </c>
      <c r="S32" s="251">
        <v>0.75</v>
      </c>
      <c r="T32" s="87" t="s">
        <v>1649</v>
      </c>
      <c r="U32" s="244">
        <v>0</v>
      </c>
      <c r="V32" s="87" t="s">
        <v>1649</v>
      </c>
    </row>
    <row r="33" spans="1:22" ht="13.5" thickBot="1" x14ac:dyDescent="0.25">
      <c r="A33" s="48" t="s">
        <v>364</v>
      </c>
      <c r="B33" s="258" t="s">
        <v>363</v>
      </c>
      <c r="C33" s="255" t="s">
        <v>34</v>
      </c>
      <c r="D33" s="244">
        <v>3926</v>
      </c>
      <c r="E33" s="87">
        <v>0</v>
      </c>
      <c r="F33" s="252">
        <v>0</v>
      </c>
      <c r="G33" s="252">
        <v>0</v>
      </c>
      <c r="H33" s="244">
        <v>4</v>
      </c>
      <c r="I33" s="253">
        <v>97.78</v>
      </c>
      <c r="J33" s="253">
        <v>2.4445000000000001</v>
      </c>
      <c r="K33" s="244">
        <v>4</v>
      </c>
      <c r="L33" s="251">
        <v>97.78</v>
      </c>
      <c r="M33" s="251">
        <v>2.4445000000000001</v>
      </c>
      <c r="N33" s="244">
        <v>5</v>
      </c>
      <c r="O33" s="251">
        <v>25.81</v>
      </c>
      <c r="P33" s="251">
        <v>0.64524999999999999</v>
      </c>
      <c r="Q33" s="244">
        <v>9</v>
      </c>
      <c r="R33" s="251">
        <v>123.59</v>
      </c>
      <c r="S33" s="251">
        <v>3.08975</v>
      </c>
      <c r="T33" s="87" t="s">
        <v>1648</v>
      </c>
      <c r="U33" s="244">
        <v>20</v>
      </c>
      <c r="V33" s="87" t="s">
        <v>1649</v>
      </c>
    </row>
    <row r="34" spans="1:22" ht="13.5" thickBot="1" x14ac:dyDescent="0.25">
      <c r="A34" s="48" t="s">
        <v>380</v>
      </c>
      <c r="B34" s="258" t="s">
        <v>379</v>
      </c>
      <c r="C34" s="255" t="s">
        <v>34</v>
      </c>
      <c r="D34" s="244">
        <v>3038</v>
      </c>
      <c r="E34" s="244">
        <v>0</v>
      </c>
      <c r="F34" s="251">
        <v>0</v>
      </c>
      <c r="G34" s="251">
        <v>0</v>
      </c>
      <c r="H34" s="244">
        <v>3</v>
      </c>
      <c r="I34" s="253">
        <v>71</v>
      </c>
      <c r="J34" s="253">
        <v>1.7749999999999999</v>
      </c>
      <c r="K34" s="244">
        <v>3</v>
      </c>
      <c r="L34" s="251">
        <v>71</v>
      </c>
      <c r="M34" s="251">
        <v>1.7749999999999999</v>
      </c>
      <c r="N34" s="244">
        <v>0</v>
      </c>
      <c r="O34" s="251">
        <v>0</v>
      </c>
      <c r="P34" s="251">
        <v>0</v>
      </c>
      <c r="Q34" s="244">
        <v>3</v>
      </c>
      <c r="R34" s="251">
        <v>71</v>
      </c>
      <c r="S34" s="251">
        <v>1.7749999999999999</v>
      </c>
      <c r="T34" s="87" t="s">
        <v>1649</v>
      </c>
      <c r="U34" s="244">
        <v>0</v>
      </c>
      <c r="V34" s="87" t="s">
        <v>1649</v>
      </c>
    </row>
    <row r="35" spans="1:22" ht="13.5" thickBot="1" x14ac:dyDescent="0.25">
      <c r="A35" s="48" t="s">
        <v>412</v>
      </c>
      <c r="B35" s="258" t="s">
        <v>411</v>
      </c>
      <c r="C35" s="255" t="s">
        <v>34</v>
      </c>
      <c r="D35" s="244">
        <v>3730</v>
      </c>
      <c r="E35" s="244">
        <v>0</v>
      </c>
      <c r="F35" s="251">
        <v>0</v>
      </c>
      <c r="G35" s="251">
        <v>0</v>
      </c>
      <c r="H35" s="244">
        <v>1</v>
      </c>
      <c r="I35" s="253">
        <v>20</v>
      </c>
      <c r="J35" s="253">
        <v>0.5</v>
      </c>
      <c r="K35" s="244">
        <v>1</v>
      </c>
      <c r="L35" s="251">
        <v>20</v>
      </c>
      <c r="M35" s="251">
        <v>0.5</v>
      </c>
      <c r="N35" s="244">
        <v>2</v>
      </c>
      <c r="O35" s="251">
        <v>30</v>
      </c>
      <c r="P35" s="251">
        <v>0.75</v>
      </c>
      <c r="Q35" s="244">
        <v>2</v>
      </c>
      <c r="R35" s="251">
        <v>50</v>
      </c>
      <c r="S35" s="251">
        <v>1.25</v>
      </c>
      <c r="T35" s="87" t="s">
        <v>1648</v>
      </c>
      <c r="U35" s="244">
        <v>30</v>
      </c>
      <c r="V35" s="87" t="s">
        <v>1649</v>
      </c>
    </row>
    <row r="36" spans="1:22" ht="13.5" thickBot="1" x14ac:dyDescent="0.25">
      <c r="A36" s="48" t="s">
        <v>419</v>
      </c>
      <c r="B36" s="258" t="s">
        <v>418</v>
      </c>
      <c r="C36" s="255" t="s">
        <v>34</v>
      </c>
      <c r="D36" s="244">
        <v>2735</v>
      </c>
      <c r="E36" s="244">
        <v>1</v>
      </c>
      <c r="F36" s="251">
        <v>2</v>
      </c>
      <c r="G36" s="251">
        <v>0.05</v>
      </c>
      <c r="H36" s="244">
        <v>0</v>
      </c>
      <c r="I36" s="253">
        <v>0</v>
      </c>
      <c r="J36" s="253">
        <v>0</v>
      </c>
      <c r="K36" s="244">
        <v>1</v>
      </c>
      <c r="L36" s="251">
        <v>2</v>
      </c>
      <c r="M36" s="251">
        <v>0.05</v>
      </c>
      <c r="N36" s="244">
        <v>2</v>
      </c>
      <c r="O36" s="252">
        <v>0</v>
      </c>
      <c r="P36" s="252">
        <v>0</v>
      </c>
      <c r="Q36" s="244">
        <v>3</v>
      </c>
      <c r="R36" s="251">
        <v>2</v>
      </c>
      <c r="S36" s="251">
        <v>0.05</v>
      </c>
      <c r="T36" s="87" t="s">
        <v>1649</v>
      </c>
      <c r="U36" s="244">
        <v>0</v>
      </c>
      <c r="V36" s="87" t="s">
        <v>1649</v>
      </c>
    </row>
    <row r="37" spans="1:22" ht="13.5" thickBot="1" x14ac:dyDescent="0.25">
      <c r="A37" s="48" t="s">
        <v>421</v>
      </c>
      <c r="B37" s="258" t="s">
        <v>420</v>
      </c>
      <c r="C37" s="255" t="s">
        <v>34</v>
      </c>
      <c r="D37" s="244">
        <v>1900</v>
      </c>
      <c r="E37" s="244">
        <v>0</v>
      </c>
      <c r="F37" s="251">
        <v>0</v>
      </c>
      <c r="G37" s="251">
        <v>0</v>
      </c>
      <c r="H37" s="244">
        <v>1</v>
      </c>
      <c r="I37" s="253">
        <v>38</v>
      </c>
      <c r="J37" s="253">
        <v>0.95</v>
      </c>
      <c r="K37" s="244">
        <v>3</v>
      </c>
      <c r="L37" s="251">
        <v>70</v>
      </c>
      <c r="M37" s="251">
        <v>1.75</v>
      </c>
      <c r="N37" s="244">
        <v>2</v>
      </c>
      <c r="O37" s="251">
        <v>38</v>
      </c>
      <c r="P37" s="251">
        <v>0.95</v>
      </c>
      <c r="Q37" s="244">
        <v>5</v>
      </c>
      <c r="R37" s="251">
        <v>108</v>
      </c>
      <c r="S37" s="251">
        <v>2.7</v>
      </c>
      <c r="T37" s="87" t="s">
        <v>1648</v>
      </c>
      <c r="U37" s="244">
        <v>736</v>
      </c>
      <c r="V37" s="87" t="s">
        <v>1649</v>
      </c>
    </row>
    <row r="38" spans="1:22" ht="13.5" thickBot="1" x14ac:dyDescent="0.25">
      <c r="A38" s="48" t="s">
        <v>425</v>
      </c>
      <c r="B38" s="258" t="s">
        <v>424</v>
      </c>
      <c r="C38" s="255" t="s">
        <v>34</v>
      </c>
      <c r="D38" s="244">
        <v>2027</v>
      </c>
      <c r="E38" s="244">
        <v>1</v>
      </c>
      <c r="F38" s="251">
        <v>40</v>
      </c>
      <c r="G38" s="251">
        <v>1</v>
      </c>
      <c r="H38" s="244">
        <v>0</v>
      </c>
      <c r="I38" s="253">
        <v>0</v>
      </c>
      <c r="J38" s="253">
        <v>0</v>
      </c>
      <c r="K38" s="244">
        <v>1</v>
      </c>
      <c r="L38" s="251">
        <v>40</v>
      </c>
      <c r="M38" s="251">
        <v>1</v>
      </c>
      <c r="N38" s="244">
        <v>4</v>
      </c>
      <c r="O38" s="251">
        <v>23</v>
      </c>
      <c r="P38" s="251">
        <v>0.57499999999999996</v>
      </c>
      <c r="Q38" s="244">
        <v>5</v>
      </c>
      <c r="R38" s="251">
        <v>63</v>
      </c>
      <c r="S38" s="251">
        <v>1.575</v>
      </c>
      <c r="T38" s="87" t="s">
        <v>1649</v>
      </c>
      <c r="U38" s="244">
        <v>0</v>
      </c>
      <c r="V38" s="87" t="s">
        <v>1649</v>
      </c>
    </row>
    <row r="39" spans="1:22" ht="13.5" thickBot="1" x14ac:dyDescent="0.25">
      <c r="A39" s="48" t="s">
        <v>435</v>
      </c>
      <c r="B39" s="258" t="s">
        <v>434</v>
      </c>
      <c r="C39" s="255" t="s">
        <v>34</v>
      </c>
      <c r="D39" s="244">
        <v>2835</v>
      </c>
      <c r="E39" s="244">
        <v>1</v>
      </c>
      <c r="F39" s="251">
        <v>20</v>
      </c>
      <c r="G39" s="251">
        <v>0.5</v>
      </c>
      <c r="H39" s="244">
        <v>1</v>
      </c>
      <c r="I39" s="253">
        <v>8</v>
      </c>
      <c r="J39" s="253">
        <v>0.2</v>
      </c>
      <c r="K39" s="244">
        <v>2</v>
      </c>
      <c r="L39" s="251">
        <v>26</v>
      </c>
      <c r="M39" s="251">
        <v>0.65</v>
      </c>
      <c r="N39" s="244">
        <v>0</v>
      </c>
      <c r="O39" s="251">
        <v>0</v>
      </c>
      <c r="P39" s="251">
        <v>0</v>
      </c>
      <c r="Q39" s="244">
        <v>2</v>
      </c>
      <c r="R39" s="251">
        <v>26</v>
      </c>
      <c r="S39" s="251">
        <v>0.65</v>
      </c>
      <c r="T39" s="87" t="s">
        <v>1648</v>
      </c>
      <c r="U39" s="244">
        <v>351</v>
      </c>
      <c r="V39" s="87" t="s">
        <v>1649</v>
      </c>
    </row>
    <row r="40" spans="1:22" ht="13.5" thickBot="1" x14ac:dyDescent="0.25">
      <c r="A40" s="48" t="s">
        <v>441</v>
      </c>
      <c r="B40" s="258" t="s">
        <v>440</v>
      </c>
      <c r="C40" s="255" t="s">
        <v>34</v>
      </c>
      <c r="D40" s="244">
        <v>2372</v>
      </c>
      <c r="E40" s="244">
        <v>1</v>
      </c>
      <c r="F40" s="251">
        <v>24</v>
      </c>
      <c r="G40" s="251">
        <v>0.6</v>
      </c>
      <c r="H40" s="244">
        <v>2</v>
      </c>
      <c r="I40" s="253">
        <v>32</v>
      </c>
      <c r="J40" s="253">
        <v>0.8</v>
      </c>
      <c r="K40" s="244">
        <v>2</v>
      </c>
      <c r="L40" s="251">
        <v>44</v>
      </c>
      <c r="M40" s="251">
        <v>1.1000000000000001</v>
      </c>
      <c r="N40" s="244">
        <v>0</v>
      </c>
      <c r="O40" s="251">
        <v>0</v>
      </c>
      <c r="P40" s="251">
        <v>0</v>
      </c>
      <c r="Q40" s="244">
        <v>3</v>
      </c>
      <c r="R40" s="251">
        <v>44</v>
      </c>
      <c r="S40" s="251">
        <v>1.1000000000000001</v>
      </c>
      <c r="T40" s="87" t="s">
        <v>1648</v>
      </c>
      <c r="U40" s="244">
        <v>24</v>
      </c>
      <c r="V40" s="87" t="s">
        <v>1649</v>
      </c>
    </row>
    <row r="41" spans="1:22" ht="13.5" thickBot="1" x14ac:dyDescent="0.25">
      <c r="A41" s="48" t="s">
        <v>454</v>
      </c>
      <c r="B41" s="258" t="s">
        <v>453</v>
      </c>
      <c r="C41" s="255" t="s">
        <v>34</v>
      </c>
      <c r="D41" s="244">
        <v>3667</v>
      </c>
      <c r="E41" s="244">
        <v>1</v>
      </c>
      <c r="F41" s="251">
        <v>38</v>
      </c>
      <c r="G41" s="251">
        <v>0.95</v>
      </c>
      <c r="H41" s="244">
        <v>0</v>
      </c>
      <c r="I41" s="253">
        <v>0</v>
      </c>
      <c r="J41" s="253">
        <v>0</v>
      </c>
      <c r="K41" s="244">
        <v>1</v>
      </c>
      <c r="L41" s="251">
        <v>38</v>
      </c>
      <c r="M41" s="251">
        <v>0.95</v>
      </c>
      <c r="N41" s="244">
        <v>3</v>
      </c>
      <c r="O41" s="251">
        <v>53</v>
      </c>
      <c r="P41" s="251">
        <v>1.325</v>
      </c>
      <c r="Q41" s="244">
        <v>4</v>
      </c>
      <c r="R41" s="251">
        <v>91</v>
      </c>
      <c r="S41" s="251">
        <v>2.2749999999999999</v>
      </c>
      <c r="T41" s="87" t="s">
        <v>1649</v>
      </c>
      <c r="U41" s="244">
        <v>0</v>
      </c>
      <c r="V41" s="87" t="s">
        <v>1649</v>
      </c>
    </row>
    <row r="42" spans="1:22" ht="13.5" thickBot="1" x14ac:dyDescent="0.25">
      <c r="A42" s="48" t="s">
        <v>460</v>
      </c>
      <c r="B42" s="258" t="s">
        <v>459</v>
      </c>
      <c r="C42" s="255" t="s">
        <v>34</v>
      </c>
      <c r="D42" s="244">
        <v>492</v>
      </c>
      <c r="E42" s="244">
        <v>0</v>
      </c>
      <c r="F42" s="251">
        <v>0</v>
      </c>
      <c r="G42" s="251">
        <v>0</v>
      </c>
      <c r="H42" s="244">
        <v>1</v>
      </c>
      <c r="I42" s="253">
        <v>40</v>
      </c>
      <c r="J42" s="253">
        <v>1</v>
      </c>
      <c r="K42" s="244">
        <v>1</v>
      </c>
      <c r="L42" s="251">
        <v>40</v>
      </c>
      <c r="M42" s="251">
        <v>1</v>
      </c>
      <c r="N42" s="244">
        <v>0</v>
      </c>
      <c r="O42" s="251">
        <v>0</v>
      </c>
      <c r="P42" s="251">
        <v>0</v>
      </c>
      <c r="Q42" s="244">
        <v>1</v>
      </c>
      <c r="R42" s="251">
        <v>40</v>
      </c>
      <c r="S42" s="251">
        <v>1</v>
      </c>
      <c r="T42" s="87" t="s">
        <v>1649</v>
      </c>
      <c r="U42" s="244">
        <v>0</v>
      </c>
      <c r="V42" s="87" t="s">
        <v>1649</v>
      </c>
    </row>
    <row r="43" spans="1:22" ht="13.5" thickBot="1" x14ac:dyDescent="0.25">
      <c r="A43" s="48" t="s">
        <v>476</v>
      </c>
      <c r="B43" s="258" t="s">
        <v>475</v>
      </c>
      <c r="C43" s="255" t="s">
        <v>34</v>
      </c>
      <c r="D43" s="244">
        <v>3115</v>
      </c>
      <c r="E43" s="244">
        <v>0</v>
      </c>
      <c r="F43" s="251">
        <v>0</v>
      </c>
      <c r="G43" s="251">
        <v>0</v>
      </c>
      <c r="H43" s="244">
        <v>2</v>
      </c>
      <c r="I43" s="253">
        <v>34</v>
      </c>
      <c r="J43" s="253">
        <v>0.85</v>
      </c>
      <c r="K43" s="244">
        <v>2</v>
      </c>
      <c r="L43" s="251">
        <v>34</v>
      </c>
      <c r="M43" s="251">
        <v>0.85</v>
      </c>
      <c r="N43" s="244">
        <v>1</v>
      </c>
      <c r="O43" s="251">
        <v>1</v>
      </c>
      <c r="P43" s="251">
        <v>2.5000000000000001E-2</v>
      </c>
      <c r="Q43" s="244">
        <v>3</v>
      </c>
      <c r="R43" s="251">
        <v>35</v>
      </c>
      <c r="S43" s="251">
        <v>0.875</v>
      </c>
      <c r="T43" s="87" t="s">
        <v>1649</v>
      </c>
      <c r="U43" s="244">
        <v>0</v>
      </c>
      <c r="V43" s="87" t="s">
        <v>1649</v>
      </c>
    </row>
    <row r="44" spans="1:22" ht="13.5" thickBot="1" x14ac:dyDescent="0.25">
      <c r="A44" s="48" t="s">
        <v>498</v>
      </c>
      <c r="B44" s="258" t="s">
        <v>497</v>
      </c>
      <c r="C44" s="255" t="s">
        <v>34</v>
      </c>
      <c r="D44" s="244">
        <v>3433</v>
      </c>
      <c r="E44" s="244">
        <v>0</v>
      </c>
      <c r="F44" s="251">
        <v>0</v>
      </c>
      <c r="G44" s="251">
        <v>0</v>
      </c>
      <c r="H44" s="244">
        <v>1</v>
      </c>
      <c r="I44" s="253">
        <v>28</v>
      </c>
      <c r="J44" s="253">
        <v>0.7</v>
      </c>
      <c r="K44" s="244">
        <v>1</v>
      </c>
      <c r="L44" s="251">
        <v>24</v>
      </c>
      <c r="M44" s="251">
        <v>0.6</v>
      </c>
      <c r="N44" s="244">
        <v>2</v>
      </c>
      <c r="O44" s="251">
        <v>13.5</v>
      </c>
      <c r="P44" s="251">
        <v>0.33750000000000002</v>
      </c>
      <c r="Q44" s="244">
        <v>4</v>
      </c>
      <c r="R44" s="251">
        <v>37.5</v>
      </c>
      <c r="S44" s="251">
        <v>0.9375</v>
      </c>
      <c r="T44" s="87" t="s">
        <v>1649</v>
      </c>
      <c r="U44" s="244">
        <v>0</v>
      </c>
      <c r="V44" s="87" t="s">
        <v>1649</v>
      </c>
    </row>
    <row r="45" spans="1:22" ht="13.5" thickBot="1" x14ac:dyDescent="0.25">
      <c r="A45" s="48" t="s">
        <v>518</v>
      </c>
      <c r="B45" s="258" t="s">
        <v>517</v>
      </c>
      <c r="C45" s="255" t="s">
        <v>34</v>
      </c>
      <c r="D45" s="244">
        <v>1848</v>
      </c>
      <c r="E45" s="244">
        <v>0</v>
      </c>
      <c r="F45" s="251">
        <v>0</v>
      </c>
      <c r="G45" s="251">
        <v>0</v>
      </c>
      <c r="H45" s="244">
        <v>2</v>
      </c>
      <c r="I45" s="253">
        <v>40</v>
      </c>
      <c r="J45" s="253">
        <v>1</v>
      </c>
      <c r="K45" s="244">
        <v>2</v>
      </c>
      <c r="L45" s="251">
        <v>40</v>
      </c>
      <c r="M45" s="251">
        <v>1</v>
      </c>
      <c r="N45" s="244">
        <v>1</v>
      </c>
      <c r="O45" s="251">
        <v>6</v>
      </c>
      <c r="P45" s="251">
        <v>0.15</v>
      </c>
      <c r="Q45" s="244">
        <v>3</v>
      </c>
      <c r="R45" s="251">
        <v>46</v>
      </c>
      <c r="S45" s="251">
        <v>1.1499999999999999</v>
      </c>
      <c r="T45" s="257" t="s">
        <v>1648</v>
      </c>
      <c r="U45" s="244">
        <v>20</v>
      </c>
      <c r="V45" s="87" t="s">
        <v>1649</v>
      </c>
    </row>
    <row r="46" spans="1:22" ht="13.5" thickBot="1" x14ac:dyDescent="0.25">
      <c r="A46" s="48" t="s">
        <v>534</v>
      </c>
      <c r="B46" s="258" t="s">
        <v>533</v>
      </c>
      <c r="C46" s="255" t="s">
        <v>34</v>
      </c>
      <c r="D46" s="244">
        <v>3645</v>
      </c>
      <c r="E46" s="244">
        <v>1</v>
      </c>
      <c r="F46" s="251">
        <v>0</v>
      </c>
      <c r="G46" s="251">
        <v>0</v>
      </c>
      <c r="H46" s="244">
        <v>4</v>
      </c>
      <c r="I46" s="253">
        <v>109</v>
      </c>
      <c r="J46" s="253">
        <v>2.7250000000000001</v>
      </c>
      <c r="K46" s="244">
        <v>4</v>
      </c>
      <c r="L46" s="251">
        <v>109</v>
      </c>
      <c r="M46" s="251">
        <v>2.7250000000000001</v>
      </c>
      <c r="N46" s="244">
        <v>3</v>
      </c>
      <c r="O46" s="251">
        <v>32</v>
      </c>
      <c r="P46" s="251">
        <v>0.8</v>
      </c>
      <c r="Q46" s="244">
        <v>7</v>
      </c>
      <c r="R46" s="251">
        <v>141</v>
      </c>
      <c r="S46" s="251">
        <v>3.5249999999999999</v>
      </c>
      <c r="T46" s="257" t="s">
        <v>1648</v>
      </c>
      <c r="U46" s="244">
        <v>20</v>
      </c>
      <c r="V46" s="87" t="s">
        <v>1649</v>
      </c>
    </row>
    <row r="47" spans="1:22" ht="13.5" thickBot="1" x14ac:dyDescent="0.25">
      <c r="A47" s="48" t="s">
        <v>548</v>
      </c>
      <c r="B47" s="258" t="s">
        <v>547</v>
      </c>
      <c r="C47" s="255" t="s">
        <v>34</v>
      </c>
      <c r="D47" s="244">
        <v>3679</v>
      </c>
      <c r="E47" s="244">
        <v>0</v>
      </c>
      <c r="F47" s="251">
        <v>0</v>
      </c>
      <c r="G47" s="251">
        <v>0</v>
      </c>
      <c r="H47" s="244">
        <v>2</v>
      </c>
      <c r="I47" s="253">
        <v>60</v>
      </c>
      <c r="J47" s="253">
        <v>1.5</v>
      </c>
      <c r="K47" s="244">
        <v>2</v>
      </c>
      <c r="L47" s="251">
        <v>60</v>
      </c>
      <c r="M47" s="251">
        <v>1.5</v>
      </c>
      <c r="N47" s="87">
        <v>3</v>
      </c>
      <c r="O47" s="251">
        <v>2</v>
      </c>
      <c r="P47" s="251">
        <v>0.05</v>
      </c>
      <c r="Q47" s="244">
        <v>5</v>
      </c>
      <c r="R47" s="251">
        <v>62</v>
      </c>
      <c r="S47" s="251">
        <v>1.55</v>
      </c>
      <c r="T47" s="87" t="s">
        <v>1648</v>
      </c>
      <c r="U47" s="244">
        <v>100</v>
      </c>
      <c r="V47" s="87" t="s">
        <v>1649</v>
      </c>
    </row>
    <row r="48" spans="1:22" ht="13.5" thickBot="1" x14ac:dyDescent="0.25">
      <c r="A48" s="48" t="s">
        <v>552</v>
      </c>
      <c r="B48" s="258" t="s">
        <v>551</v>
      </c>
      <c r="C48" s="255" t="s">
        <v>34</v>
      </c>
      <c r="D48" s="244">
        <v>1830</v>
      </c>
      <c r="E48" s="244">
        <v>0</v>
      </c>
      <c r="F48" s="251">
        <v>0</v>
      </c>
      <c r="G48" s="251">
        <v>0</v>
      </c>
      <c r="H48" s="244">
        <v>1</v>
      </c>
      <c r="I48" s="253">
        <v>32</v>
      </c>
      <c r="J48" s="253">
        <v>0.8</v>
      </c>
      <c r="K48" s="244">
        <v>1</v>
      </c>
      <c r="L48" s="251">
        <v>32</v>
      </c>
      <c r="M48" s="251">
        <v>0.8</v>
      </c>
      <c r="N48" s="244">
        <v>1</v>
      </c>
      <c r="O48" s="251">
        <v>2.5</v>
      </c>
      <c r="P48" s="251">
        <v>6.25E-2</v>
      </c>
      <c r="Q48" s="244">
        <v>2</v>
      </c>
      <c r="R48" s="251">
        <v>34.5</v>
      </c>
      <c r="S48" s="251">
        <v>0.86250000000000004</v>
      </c>
      <c r="T48" s="257" t="s">
        <v>1648</v>
      </c>
      <c r="U48" s="244">
        <v>75</v>
      </c>
      <c r="V48" s="87" t="s">
        <v>1648</v>
      </c>
    </row>
    <row r="49" spans="1:22" ht="13.5" thickBot="1" x14ac:dyDescent="0.25">
      <c r="A49" s="48" t="s">
        <v>574</v>
      </c>
      <c r="B49" s="258" t="s">
        <v>573</v>
      </c>
      <c r="C49" s="255" t="s">
        <v>34</v>
      </c>
      <c r="D49" s="244">
        <v>1939</v>
      </c>
      <c r="E49" s="87">
        <v>0</v>
      </c>
      <c r="F49" s="252">
        <v>0</v>
      </c>
      <c r="G49" s="252">
        <v>0</v>
      </c>
      <c r="H49" s="244">
        <v>6</v>
      </c>
      <c r="I49" s="253">
        <v>102</v>
      </c>
      <c r="J49" s="253">
        <v>2.5499999999999998</v>
      </c>
      <c r="K49" s="244">
        <v>6</v>
      </c>
      <c r="L49" s="251">
        <v>102</v>
      </c>
      <c r="M49" s="251">
        <v>2.5499999999999998</v>
      </c>
      <c r="N49" s="87">
        <v>0</v>
      </c>
      <c r="O49" s="252">
        <v>0</v>
      </c>
      <c r="P49" s="252">
        <v>0</v>
      </c>
      <c r="Q49" s="244">
        <v>6</v>
      </c>
      <c r="R49" s="251">
        <v>102</v>
      </c>
      <c r="S49" s="251">
        <v>2.5499999999999998</v>
      </c>
      <c r="T49" s="87" t="s">
        <v>1649</v>
      </c>
      <c r="U49" s="244">
        <v>0</v>
      </c>
      <c r="V49" s="87" t="s">
        <v>1649</v>
      </c>
    </row>
    <row r="50" spans="1:22" ht="13.5" thickBot="1" x14ac:dyDescent="0.25">
      <c r="A50" s="48" t="s">
        <v>612</v>
      </c>
      <c r="B50" s="258" t="s">
        <v>611</v>
      </c>
      <c r="C50" s="255" t="s">
        <v>34</v>
      </c>
      <c r="D50" s="244">
        <v>3739</v>
      </c>
      <c r="E50" s="244">
        <v>0</v>
      </c>
      <c r="F50" s="251">
        <v>0</v>
      </c>
      <c r="G50" s="251">
        <v>0</v>
      </c>
      <c r="H50" s="244">
        <v>1</v>
      </c>
      <c r="I50" s="253">
        <v>23</v>
      </c>
      <c r="J50" s="253">
        <v>0.57499999999999996</v>
      </c>
      <c r="K50" s="244">
        <v>1</v>
      </c>
      <c r="L50" s="251">
        <v>23</v>
      </c>
      <c r="M50" s="251">
        <v>0.57499999999999996</v>
      </c>
      <c r="N50" s="244">
        <v>8</v>
      </c>
      <c r="O50" s="251">
        <v>52.86</v>
      </c>
      <c r="P50" s="251">
        <v>1.3214999999999999</v>
      </c>
      <c r="Q50" s="244">
        <v>9</v>
      </c>
      <c r="R50" s="251">
        <v>75.86</v>
      </c>
      <c r="S50" s="251">
        <v>1.8965000000000001</v>
      </c>
      <c r="T50" s="257" t="s">
        <v>1648</v>
      </c>
      <c r="U50" s="244">
        <v>31</v>
      </c>
      <c r="V50" s="87" t="s">
        <v>1649</v>
      </c>
    </row>
    <row r="51" spans="1:22" ht="13.5" thickBot="1" x14ac:dyDescent="0.25">
      <c r="A51" s="48" t="s">
        <v>622</v>
      </c>
      <c r="B51" s="258" t="s">
        <v>621</v>
      </c>
      <c r="C51" s="255" t="s">
        <v>34</v>
      </c>
      <c r="D51" s="244">
        <v>1508</v>
      </c>
      <c r="E51" s="244">
        <v>0</v>
      </c>
      <c r="F51" s="251">
        <v>0</v>
      </c>
      <c r="G51" s="251">
        <v>0</v>
      </c>
      <c r="H51" s="244">
        <v>1</v>
      </c>
      <c r="I51" s="253">
        <v>16.38</v>
      </c>
      <c r="J51" s="253">
        <v>0.40949999999999998</v>
      </c>
      <c r="K51" s="244">
        <v>1</v>
      </c>
      <c r="L51" s="251">
        <v>16.38</v>
      </c>
      <c r="M51" s="251">
        <v>0.40949999999999998</v>
      </c>
      <c r="N51" s="244">
        <v>0</v>
      </c>
      <c r="O51" s="251">
        <v>0</v>
      </c>
      <c r="P51" s="251">
        <v>0</v>
      </c>
      <c r="Q51" s="244">
        <v>1</v>
      </c>
      <c r="R51" s="251">
        <v>16.38</v>
      </c>
      <c r="S51" s="251">
        <v>0.40949999999999998</v>
      </c>
      <c r="T51" s="87" t="s">
        <v>1649</v>
      </c>
      <c r="U51" s="244">
        <v>0</v>
      </c>
      <c r="V51" s="87" t="s">
        <v>1649</v>
      </c>
    </row>
    <row r="52" spans="1:22" ht="13.5" thickBot="1" x14ac:dyDescent="0.25">
      <c r="A52" s="48" t="s">
        <v>624</v>
      </c>
      <c r="B52" s="258" t="s">
        <v>623</v>
      </c>
      <c r="C52" s="255" t="s">
        <v>34</v>
      </c>
      <c r="D52" s="244">
        <v>3731</v>
      </c>
      <c r="E52" s="244">
        <v>0</v>
      </c>
      <c r="F52" s="251">
        <v>0</v>
      </c>
      <c r="G52" s="251">
        <v>0</v>
      </c>
      <c r="H52" s="244">
        <v>1</v>
      </c>
      <c r="I52" s="253">
        <v>28</v>
      </c>
      <c r="J52" s="253">
        <v>0.7</v>
      </c>
      <c r="K52" s="244">
        <v>1</v>
      </c>
      <c r="L52" s="251">
        <v>28</v>
      </c>
      <c r="M52" s="251">
        <v>0.7</v>
      </c>
      <c r="N52" s="244">
        <v>2</v>
      </c>
      <c r="O52" s="251">
        <v>27</v>
      </c>
      <c r="P52" s="251">
        <v>0.67500000000000004</v>
      </c>
      <c r="Q52" s="244">
        <v>3</v>
      </c>
      <c r="R52" s="251">
        <v>55</v>
      </c>
      <c r="S52" s="251">
        <v>1.375</v>
      </c>
      <c r="T52" s="87" t="s">
        <v>1648</v>
      </c>
      <c r="U52" s="244">
        <v>6</v>
      </c>
      <c r="V52" s="87" t="s">
        <v>1649</v>
      </c>
    </row>
    <row r="53" spans="1:22" ht="13.5" thickBot="1" x14ac:dyDescent="0.25">
      <c r="A53" s="48" t="s">
        <v>628</v>
      </c>
      <c r="B53" s="258" t="s">
        <v>627</v>
      </c>
      <c r="C53" s="255" t="s">
        <v>34</v>
      </c>
      <c r="D53" s="244">
        <v>3674</v>
      </c>
      <c r="E53" s="244">
        <v>0</v>
      </c>
      <c r="F53" s="251">
        <v>0</v>
      </c>
      <c r="G53" s="251">
        <v>0</v>
      </c>
      <c r="H53" s="244">
        <v>1</v>
      </c>
      <c r="I53" s="253">
        <v>32</v>
      </c>
      <c r="J53" s="253">
        <v>0.8</v>
      </c>
      <c r="K53" s="244">
        <v>1</v>
      </c>
      <c r="L53" s="251">
        <v>32</v>
      </c>
      <c r="M53" s="251">
        <v>0.8</v>
      </c>
      <c r="N53" s="244">
        <v>4</v>
      </c>
      <c r="O53" s="251">
        <v>52</v>
      </c>
      <c r="P53" s="251">
        <v>1.3</v>
      </c>
      <c r="Q53" s="244">
        <v>5</v>
      </c>
      <c r="R53" s="251">
        <v>84</v>
      </c>
      <c r="S53" s="251">
        <v>2.1</v>
      </c>
      <c r="T53" s="87" t="s">
        <v>1648</v>
      </c>
      <c r="U53" s="244">
        <v>564</v>
      </c>
      <c r="V53" s="87" t="s">
        <v>1649</v>
      </c>
    </row>
    <row r="54" spans="1:22" ht="13.5" thickBot="1" x14ac:dyDescent="0.25">
      <c r="A54" s="48" t="s">
        <v>630</v>
      </c>
      <c r="B54" s="258" t="s">
        <v>629</v>
      </c>
      <c r="C54" s="255" t="s">
        <v>34</v>
      </c>
      <c r="D54" s="244">
        <v>882</v>
      </c>
      <c r="E54" s="244">
        <v>0</v>
      </c>
      <c r="F54" s="251">
        <v>0</v>
      </c>
      <c r="G54" s="251">
        <v>0</v>
      </c>
      <c r="H54" s="244">
        <v>1</v>
      </c>
      <c r="I54" s="253">
        <v>26</v>
      </c>
      <c r="J54" s="253">
        <v>0.65</v>
      </c>
      <c r="K54" s="244">
        <v>1</v>
      </c>
      <c r="L54" s="251">
        <v>26</v>
      </c>
      <c r="M54" s="251">
        <v>0.65</v>
      </c>
      <c r="N54" s="244">
        <v>0</v>
      </c>
      <c r="O54" s="251">
        <v>0</v>
      </c>
      <c r="P54" s="251">
        <v>0</v>
      </c>
      <c r="Q54" s="244">
        <v>1</v>
      </c>
      <c r="R54" s="251">
        <v>26</v>
      </c>
      <c r="S54" s="251">
        <v>0.65</v>
      </c>
      <c r="T54" s="257" t="s">
        <v>1648</v>
      </c>
      <c r="U54" s="244">
        <v>34</v>
      </c>
      <c r="V54" s="87" t="s">
        <v>1649</v>
      </c>
    </row>
    <row r="55" spans="1:22" ht="13.5" thickBot="1" x14ac:dyDescent="0.25">
      <c r="A55" s="48" t="s">
        <v>674</v>
      </c>
      <c r="B55" s="258" t="s">
        <v>673</v>
      </c>
      <c r="C55" s="255" t="s">
        <v>34</v>
      </c>
      <c r="D55" s="244">
        <v>3775</v>
      </c>
      <c r="E55" s="244">
        <v>1</v>
      </c>
      <c r="F55" s="251">
        <v>40</v>
      </c>
      <c r="G55" s="251">
        <v>1</v>
      </c>
      <c r="H55" s="244">
        <v>2</v>
      </c>
      <c r="I55" s="253">
        <v>34</v>
      </c>
      <c r="J55" s="253">
        <v>0.85</v>
      </c>
      <c r="K55" s="244">
        <v>3</v>
      </c>
      <c r="L55" s="251">
        <v>74</v>
      </c>
      <c r="M55" s="251">
        <v>1.85</v>
      </c>
      <c r="N55" s="244">
        <v>5</v>
      </c>
      <c r="O55" s="251">
        <v>62</v>
      </c>
      <c r="P55" s="251">
        <v>1.55</v>
      </c>
      <c r="Q55" s="244">
        <v>8</v>
      </c>
      <c r="R55" s="251">
        <v>136</v>
      </c>
      <c r="S55" s="251">
        <v>3.4</v>
      </c>
      <c r="T55" s="87" t="s">
        <v>1648</v>
      </c>
      <c r="U55" s="244">
        <v>927</v>
      </c>
      <c r="V55" s="87" t="s">
        <v>1649</v>
      </c>
    </row>
    <row r="56" spans="1:22" ht="13.5" thickBot="1" x14ac:dyDescent="0.25">
      <c r="A56" s="48" t="s">
        <v>680</v>
      </c>
      <c r="B56" s="258" t="s">
        <v>679</v>
      </c>
      <c r="C56" s="255" t="s">
        <v>34</v>
      </c>
      <c r="D56" s="244">
        <v>3138</v>
      </c>
      <c r="E56" s="244">
        <v>0</v>
      </c>
      <c r="F56" s="251">
        <v>0</v>
      </c>
      <c r="G56" s="251">
        <v>0</v>
      </c>
      <c r="H56" s="244">
        <v>2</v>
      </c>
      <c r="I56" s="253">
        <v>25</v>
      </c>
      <c r="J56" s="253">
        <v>0.625</v>
      </c>
      <c r="K56" s="244">
        <v>2</v>
      </c>
      <c r="L56" s="251">
        <v>38</v>
      </c>
      <c r="M56" s="251">
        <v>0.95</v>
      </c>
      <c r="N56" s="244">
        <v>4</v>
      </c>
      <c r="O56" s="251">
        <v>37</v>
      </c>
      <c r="P56" s="251">
        <v>0.92500000000000004</v>
      </c>
      <c r="Q56" s="244">
        <v>5</v>
      </c>
      <c r="R56" s="251">
        <v>75</v>
      </c>
      <c r="S56" s="251">
        <v>1.875</v>
      </c>
      <c r="T56" s="87" t="s">
        <v>1648</v>
      </c>
      <c r="U56" s="244">
        <v>156</v>
      </c>
      <c r="V56" s="87" t="s">
        <v>1649</v>
      </c>
    </row>
    <row r="57" spans="1:22" ht="13.5" thickBot="1" x14ac:dyDescent="0.25">
      <c r="A57" s="48" t="s">
        <v>690</v>
      </c>
      <c r="B57" s="258" t="s">
        <v>689</v>
      </c>
      <c r="C57" s="255" t="s">
        <v>34</v>
      </c>
      <c r="D57" s="244">
        <v>3428</v>
      </c>
      <c r="E57" s="244">
        <v>0</v>
      </c>
      <c r="F57" s="251">
        <v>0</v>
      </c>
      <c r="G57" s="251">
        <v>0</v>
      </c>
      <c r="H57" s="244">
        <v>2</v>
      </c>
      <c r="I57" s="253">
        <v>52</v>
      </c>
      <c r="J57" s="253">
        <v>1.3</v>
      </c>
      <c r="K57" s="244">
        <v>2</v>
      </c>
      <c r="L57" s="251">
        <v>52</v>
      </c>
      <c r="M57" s="251">
        <v>1.3</v>
      </c>
      <c r="N57" s="244">
        <v>1</v>
      </c>
      <c r="O57" s="251">
        <v>4</v>
      </c>
      <c r="P57" s="251">
        <v>0.1</v>
      </c>
      <c r="Q57" s="244">
        <v>3</v>
      </c>
      <c r="R57" s="251">
        <v>56</v>
      </c>
      <c r="S57" s="251">
        <v>1.4</v>
      </c>
      <c r="T57" s="87" t="s">
        <v>1648</v>
      </c>
      <c r="U57" s="244">
        <v>1080</v>
      </c>
      <c r="V57" s="87" t="s">
        <v>1649</v>
      </c>
    </row>
    <row r="58" spans="1:22" ht="13.5" thickBot="1" x14ac:dyDescent="0.25">
      <c r="A58" s="48" t="s">
        <v>692</v>
      </c>
      <c r="B58" s="258" t="s">
        <v>691</v>
      </c>
      <c r="C58" s="255" t="s">
        <v>34</v>
      </c>
      <c r="D58" s="244">
        <v>1932</v>
      </c>
      <c r="E58" s="244">
        <v>0</v>
      </c>
      <c r="F58" s="251">
        <v>0</v>
      </c>
      <c r="G58" s="251">
        <v>0</v>
      </c>
      <c r="H58" s="244">
        <v>1</v>
      </c>
      <c r="I58" s="253">
        <v>26</v>
      </c>
      <c r="J58" s="253">
        <v>0.65</v>
      </c>
      <c r="K58" s="244">
        <v>1</v>
      </c>
      <c r="L58" s="251">
        <v>26</v>
      </c>
      <c r="M58" s="251">
        <v>0.65</v>
      </c>
      <c r="N58" s="244">
        <v>1</v>
      </c>
      <c r="O58" s="251">
        <v>10</v>
      </c>
      <c r="P58" s="251">
        <v>0.25</v>
      </c>
      <c r="Q58" s="244">
        <v>2</v>
      </c>
      <c r="R58" s="251">
        <v>36</v>
      </c>
      <c r="S58" s="251">
        <v>0.9</v>
      </c>
      <c r="T58" s="87" t="s">
        <v>1649</v>
      </c>
      <c r="U58" s="244">
        <v>0</v>
      </c>
      <c r="V58" s="87" t="s">
        <v>1649</v>
      </c>
    </row>
    <row r="59" spans="1:22" ht="13.5" thickBot="1" x14ac:dyDescent="0.25">
      <c r="A59" s="48" t="s">
        <v>714</v>
      </c>
      <c r="B59" s="258" t="s">
        <v>713</v>
      </c>
      <c r="C59" s="255" t="s">
        <v>34</v>
      </c>
      <c r="D59" s="244">
        <v>2387</v>
      </c>
      <c r="E59" s="244">
        <v>0</v>
      </c>
      <c r="F59" s="251">
        <v>0</v>
      </c>
      <c r="G59" s="251">
        <v>0</v>
      </c>
      <c r="H59" s="244">
        <v>1</v>
      </c>
      <c r="I59" s="253">
        <v>40</v>
      </c>
      <c r="J59" s="253">
        <v>1</v>
      </c>
      <c r="K59" s="244">
        <v>1</v>
      </c>
      <c r="L59" s="251">
        <v>40</v>
      </c>
      <c r="M59" s="251">
        <v>1</v>
      </c>
      <c r="N59" s="244">
        <v>3</v>
      </c>
      <c r="O59" s="251">
        <v>28</v>
      </c>
      <c r="P59" s="251">
        <v>0.7</v>
      </c>
      <c r="Q59" s="244">
        <v>4</v>
      </c>
      <c r="R59" s="251">
        <v>68</v>
      </c>
      <c r="S59" s="251">
        <v>1.7</v>
      </c>
      <c r="T59" s="87" t="s">
        <v>1649</v>
      </c>
      <c r="U59" s="244">
        <v>0</v>
      </c>
      <c r="V59" s="87" t="s">
        <v>1649</v>
      </c>
    </row>
    <row r="60" spans="1:22" ht="13.5" thickBot="1" x14ac:dyDescent="0.25">
      <c r="A60" s="48" t="s">
        <v>732</v>
      </c>
      <c r="B60" s="258" t="s">
        <v>731</v>
      </c>
      <c r="C60" s="255" t="s">
        <v>34</v>
      </c>
      <c r="D60" s="244">
        <v>1873</v>
      </c>
      <c r="E60" s="244">
        <v>0</v>
      </c>
      <c r="F60" s="251">
        <v>0</v>
      </c>
      <c r="G60" s="251">
        <v>0</v>
      </c>
      <c r="H60" s="244">
        <v>1</v>
      </c>
      <c r="I60" s="253">
        <v>26</v>
      </c>
      <c r="J60" s="253">
        <v>0.65</v>
      </c>
      <c r="K60" s="244">
        <v>1</v>
      </c>
      <c r="L60" s="251">
        <v>26</v>
      </c>
      <c r="M60" s="251">
        <v>0.65</v>
      </c>
      <c r="N60" s="244">
        <v>2</v>
      </c>
      <c r="O60" s="251">
        <v>11</v>
      </c>
      <c r="P60" s="251">
        <v>0.27500000000000002</v>
      </c>
      <c r="Q60" s="244">
        <v>3</v>
      </c>
      <c r="R60" s="251">
        <v>37</v>
      </c>
      <c r="S60" s="251">
        <v>0.92500000000000004</v>
      </c>
      <c r="T60" s="87" t="s">
        <v>1648</v>
      </c>
      <c r="U60" s="244">
        <v>52</v>
      </c>
      <c r="V60" s="87" t="s">
        <v>1649</v>
      </c>
    </row>
    <row r="61" spans="1:22" ht="13.5" thickBot="1" x14ac:dyDescent="0.25">
      <c r="A61" s="48" t="s">
        <v>750</v>
      </c>
      <c r="B61" s="258" t="s">
        <v>749</v>
      </c>
      <c r="C61" s="255" t="s">
        <v>34</v>
      </c>
      <c r="D61" s="244">
        <v>2294</v>
      </c>
      <c r="E61" s="87">
        <v>0</v>
      </c>
      <c r="F61" s="252">
        <v>0</v>
      </c>
      <c r="G61" s="252">
        <v>0</v>
      </c>
      <c r="H61" s="244">
        <v>3</v>
      </c>
      <c r="I61" s="253">
        <v>38</v>
      </c>
      <c r="J61" s="253">
        <v>0.95</v>
      </c>
      <c r="K61" s="244">
        <v>3</v>
      </c>
      <c r="L61" s="251">
        <v>38</v>
      </c>
      <c r="M61" s="251">
        <v>0.95</v>
      </c>
      <c r="N61" s="87">
        <v>0</v>
      </c>
      <c r="O61" s="252">
        <v>0</v>
      </c>
      <c r="P61" s="252">
        <v>0</v>
      </c>
      <c r="Q61" s="244">
        <v>3</v>
      </c>
      <c r="R61" s="251">
        <v>38</v>
      </c>
      <c r="S61" s="251">
        <v>0.95</v>
      </c>
      <c r="T61" s="87" t="s">
        <v>1648</v>
      </c>
      <c r="U61" s="244">
        <v>495</v>
      </c>
      <c r="V61" s="87" t="s">
        <v>1649</v>
      </c>
    </row>
    <row r="62" spans="1:22" ht="13.5" thickBot="1" x14ac:dyDescent="0.25">
      <c r="A62" s="48" t="s">
        <v>762</v>
      </c>
      <c r="B62" s="258" t="s">
        <v>761</v>
      </c>
      <c r="C62" s="255" t="s">
        <v>34</v>
      </c>
      <c r="D62" s="244">
        <v>3895</v>
      </c>
      <c r="E62" s="244">
        <v>0</v>
      </c>
      <c r="F62" s="251">
        <v>0</v>
      </c>
      <c r="G62" s="251">
        <v>0</v>
      </c>
      <c r="H62" s="244">
        <v>4</v>
      </c>
      <c r="I62" s="253">
        <v>67</v>
      </c>
      <c r="J62" s="253">
        <v>1.675</v>
      </c>
      <c r="K62" s="244">
        <v>4</v>
      </c>
      <c r="L62" s="251">
        <v>67</v>
      </c>
      <c r="M62" s="251">
        <v>1.675</v>
      </c>
      <c r="N62" s="244">
        <v>0</v>
      </c>
      <c r="O62" s="251">
        <v>0</v>
      </c>
      <c r="P62" s="251">
        <v>0</v>
      </c>
      <c r="Q62" s="244">
        <v>4</v>
      </c>
      <c r="R62" s="251">
        <v>67</v>
      </c>
      <c r="S62" s="251">
        <v>1.675</v>
      </c>
      <c r="T62" s="87" t="s">
        <v>1648</v>
      </c>
      <c r="U62" s="244">
        <v>180</v>
      </c>
      <c r="V62" s="87" t="s">
        <v>1649</v>
      </c>
    </row>
    <row r="63" spans="1:22" ht="13.5" thickBot="1" x14ac:dyDescent="0.25">
      <c r="A63" s="48" t="s">
        <v>768</v>
      </c>
      <c r="B63" s="258" t="s">
        <v>767</v>
      </c>
      <c r="C63" s="255" t="s">
        <v>34</v>
      </c>
      <c r="D63" s="244">
        <v>2156</v>
      </c>
      <c r="E63" s="244">
        <v>1</v>
      </c>
      <c r="F63" s="251">
        <v>36</v>
      </c>
      <c r="G63" s="251">
        <v>0.9</v>
      </c>
      <c r="H63" s="244">
        <v>0</v>
      </c>
      <c r="I63" s="253">
        <v>0</v>
      </c>
      <c r="J63" s="253">
        <v>0</v>
      </c>
      <c r="K63" s="244">
        <v>1</v>
      </c>
      <c r="L63" s="251">
        <v>36</v>
      </c>
      <c r="M63" s="251">
        <v>0.9</v>
      </c>
      <c r="N63" s="244">
        <v>1</v>
      </c>
      <c r="O63" s="251">
        <v>6</v>
      </c>
      <c r="P63" s="251">
        <v>0.15</v>
      </c>
      <c r="Q63" s="244">
        <v>2</v>
      </c>
      <c r="R63" s="251">
        <v>42</v>
      </c>
      <c r="S63" s="251">
        <v>1.05</v>
      </c>
      <c r="T63" s="87" t="s">
        <v>1648</v>
      </c>
      <c r="U63" s="244">
        <v>390</v>
      </c>
      <c r="V63" s="87" t="s">
        <v>1649</v>
      </c>
    </row>
    <row r="64" spans="1:22" ht="13.5" thickBot="1" x14ac:dyDescent="0.25">
      <c r="A64" s="48" t="s">
        <v>770</v>
      </c>
      <c r="B64" s="258" t="s">
        <v>769</v>
      </c>
      <c r="C64" s="255" t="s">
        <v>34</v>
      </c>
      <c r="D64" s="244">
        <v>2475</v>
      </c>
      <c r="E64" s="244">
        <v>0</v>
      </c>
      <c r="F64" s="251">
        <v>0</v>
      </c>
      <c r="G64" s="251">
        <v>0</v>
      </c>
      <c r="H64" s="244">
        <v>1</v>
      </c>
      <c r="I64" s="253">
        <v>35</v>
      </c>
      <c r="J64" s="253">
        <v>0.875</v>
      </c>
      <c r="K64" s="244">
        <v>1</v>
      </c>
      <c r="L64" s="251">
        <v>35</v>
      </c>
      <c r="M64" s="251">
        <v>0.875</v>
      </c>
      <c r="N64" s="244">
        <v>2</v>
      </c>
      <c r="O64" s="251">
        <v>29</v>
      </c>
      <c r="P64" s="251">
        <v>0.72499999999999998</v>
      </c>
      <c r="Q64" s="244">
        <v>3</v>
      </c>
      <c r="R64" s="251">
        <v>64</v>
      </c>
      <c r="S64" s="251">
        <v>1.6</v>
      </c>
      <c r="T64" s="87" t="s">
        <v>1649</v>
      </c>
      <c r="U64" s="244">
        <v>0</v>
      </c>
      <c r="V64" s="87" t="s">
        <v>1649</v>
      </c>
    </row>
    <row r="65" spans="1:22" ht="13.5" thickBot="1" x14ac:dyDescent="0.25">
      <c r="A65" s="48" t="s">
        <v>772</v>
      </c>
      <c r="B65" s="258" t="s">
        <v>771</v>
      </c>
      <c r="C65" s="255" t="s">
        <v>34</v>
      </c>
      <c r="D65" s="244">
        <v>1968</v>
      </c>
      <c r="E65" s="244">
        <v>1</v>
      </c>
      <c r="F65" s="251">
        <v>15</v>
      </c>
      <c r="G65" s="251">
        <v>0.375</v>
      </c>
      <c r="H65" s="244">
        <v>0</v>
      </c>
      <c r="I65" s="253">
        <v>0</v>
      </c>
      <c r="J65" s="253">
        <v>0</v>
      </c>
      <c r="K65" s="244">
        <v>1</v>
      </c>
      <c r="L65" s="251">
        <v>15</v>
      </c>
      <c r="M65" s="251">
        <v>0.375</v>
      </c>
      <c r="N65" s="244">
        <v>0</v>
      </c>
      <c r="O65" s="251">
        <v>0</v>
      </c>
      <c r="P65" s="251">
        <v>0</v>
      </c>
      <c r="Q65" s="244">
        <v>1</v>
      </c>
      <c r="R65" s="251">
        <v>15</v>
      </c>
      <c r="S65" s="251">
        <v>0.375</v>
      </c>
      <c r="T65" s="87" t="s">
        <v>1648</v>
      </c>
      <c r="U65" s="244">
        <v>178</v>
      </c>
      <c r="V65" s="87" t="s">
        <v>1649</v>
      </c>
    </row>
    <row r="66" spans="1:22" ht="13.5" thickBot="1" x14ac:dyDescent="0.25">
      <c r="A66" s="48" t="s">
        <v>782</v>
      </c>
      <c r="B66" s="258" t="s">
        <v>781</v>
      </c>
      <c r="C66" s="255" t="s">
        <v>34</v>
      </c>
      <c r="D66" s="244">
        <v>2202</v>
      </c>
      <c r="E66" s="244">
        <v>0</v>
      </c>
      <c r="F66" s="251">
        <v>0</v>
      </c>
      <c r="G66" s="251">
        <v>0</v>
      </c>
      <c r="H66" s="244">
        <v>0</v>
      </c>
      <c r="I66" s="253">
        <v>0</v>
      </c>
      <c r="J66" s="253">
        <v>0</v>
      </c>
      <c r="K66" s="244">
        <v>1</v>
      </c>
      <c r="L66" s="251">
        <v>28</v>
      </c>
      <c r="M66" s="251">
        <v>0.7</v>
      </c>
      <c r="N66" s="244">
        <v>0</v>
      </c>
      <c r="O66" s="251">
        <v>0</v>
      </c>
      <c r="P66" s="251">
        <v>0</v>
      </c>
      <c r="Q66" s="244">
        <v>1</v>
      </c>
      <c r="R66" s="251">
        <v>28</v>
      </c>
      <c r="S66" s="251">
        <v>0.7</v>
      </c>
      <c r="T66" s="87" t="s">
        <v>1648</v>
      </c>
      <c r="U66" s="244">
        <v>400</v>
      </c>
      <c r="V66" s="87" t="s">
        <v>1649</v>
      </c>
    </row>
    <row r="67" spans="1:22" ht="13.5" thickBot="1" x14ac:dyDescent="0.25">
      <c r="A67" s="48" t="s">
        <v>794</v>
      </c>
      <c r="B67" s="258" t="s">
        <v>793</v>
      </c>
      <c r="C67" s="255" t="s">
        <v>34</v>
      </c>
      <c r="D67" s="244">
        <v>2913</v>
      </c>
      <c r="E67" s="244">
        <v>0</v>
      </c>
      <c r="F67" s="251">
        <v>0</v>
      </c>
      <c r="G67" s="251">
        <v>0</v>
      </c>
      <c r="H67" s="244">
        <v>4</v>
      </c>
      <c r="I67" s="253">
        <v>72</v>
      </c>
      <c r="J67" s="253">
        <v>1.8</v>
      </c>
      <c r="K67" s="244">
        <v>4</v>
      </c>
      <c r="L67" s="251">
        <v>72</v>
      </c>
      <c r="M67" s="251">
        <v>1.8</v>
      </c>
      <c r="N67" s="244">
        <v>0</v>
      </c>
      <c r="O67" s="251">
        <v>0</v>
      </c>
      <c r="P67" s="251">
        <v>0</v>
      </c>
      <c r="Q67" s="244">
        <v>4</v>
      </c>
      <c r="R67" s="251">
        <v>72</v>
      </c>
      <c r="S67" s="251">
        <v>1.8</v>
      </c>
      <c r="T67" s="257" t="s">
        <v>1648</v>
      </c>
      <c r="U67" s="244">
        <v>1296</v>
      </c>
      <c r="V67" s="87" t="s">
        <v>1649</v>
      </c>
    </row>
    <row r="68" spans="1:22" ht="13.5" thickBot="1" x14ac:dyDescent="0.25">
      <c r="A68" s="48" t="s">
        <v>806</v>
      </c>
      <c r="B68" s="258" t="s">
        <v>805</v>
      </c>
      <c r="C68" s="255" t="s">
        <v>34</v>
      </c>
      <c r="D68" s="244">
        <v>575</v>
      </c>
      <c r="E68" s="244">
        <v>0</v>
      </c>
      <c r="F68" s="251">
        <v>0</v>
      </c>
      <c r="G68" s="251">
        <v>0</v>
      </c>
      <c r="H68" s="244">
        <v>1</v>
      </c>
      <c r="I68" s="253">
        <v>8</v>
      </c>
      <c r="J68" s="253">
        <v>0.2</v>
      </c>
      <c r="K68" s="244">
        <v>1</v>
      </c>
      <c r="L68" s="251">
        <v>8</v>
      </c>
      <c r="M68" s="251">
        <v>0.2</v>
      </c>
      <c r="N68" s="244">
        <v>5</v>
      </c>
      <c r="O68" s="251">
        <v>20</v>
      </c>
      <c r="P68" s="251">
        <v>0.5</v>
      </c>
      <c r="Q68" s="244">
        <v>7</v>
      </c>
      <c r="R68" s="251">
        <v>28</v>
      </c>
      <c r="S68" s="251">
        <v>0.7</v>
      </c>
      <c r="T68" s="87" t="s">
        <v>1648</v>
      </c>
      <c r="U68" s="244">
        <v>240</v>
      </c>
      <c r="V68" s="87" t="s">
        <v>1649</v>
      </c>
    </row>
    <row r="69" spans="1:22" ht="13.5" thickBot="1" x14ac:dyDescent="0.25">
      <c r="A69" s="48" t="s">
        <v>814</v>
      </c>
      <c r="B69" s="258" t="s">
        <v>813</v>
      </c>
      <c r="C69" s="255" t="s">
        <v>34</v>
      </c>
      <c r="D69" s="244">
        <v>2738</v>
      </c>
      <c r="E69" s="244">
        <v>0</v>
      </c>
      <c r="F69" s="251">
        <v>0</v>
      </c>
      <c r="G69" s="251">
        <v>0</v>
      </c>
      <c r="H69" s="244">
        <v>1</v>
      </c>
      <c r="I69" s="253">
        <v>35</v>
      </c>
      <c r="J69" s="253">
        <v>0.875</v>
      </c>
      <c r="K69" s="87">
        <v>1</v>
      </c>
      <c r="L69" s="251">
        <v>35</v>
      </c>
      <c r="M69" s="251">
        <v>0.875</v>
      </c>
      <c r="N69" s="244">
        <v>1</v>
      </c>
      <c r="O69" s="251">
        <v>14</v>
      </c>
      <c r="P69" s="251">
        <v>0.35</v>
      </c>
      <c r="Q69" s="244">
        <v>2</v>
      </c>
      <c r="R69" s="251">
        <v>49</v>
      </c>
      <c r="S69" s="251">
        <v>1.2250000000000001</v>
      </c>
      <c r="T69" s="87" t="s">
        <v>1648</v>
      </c>
      <c r="U69" s="244">
        <v>49</v>
      </c>
      <c r="V69" s="87" t="s">
        <v>1649</v>
      </c>
    </row>
    <row r="70" spans="1:22" ht="13.5" thickBot="1" x14ac:dyDescent="0.25">
      <c r="A70" s="48" t="s">
        <v>14</v>
      </c>
      <c r="B70" s="258" t="s">
        <v>13</v>
      </c>
      <c r="C70" s="255" t="s">
        <v>17</v>
      </c>
      <c r="D70" s="244">
        <v>6351</v>
      </c>
      <c r="E70" s="87">
        <v>2</v>
      </c>
      <c r="F70" s="251">
        <v>56</v>
      </c>
      <c r="G70" s="251">
        <v>1.4</v>
      </c>
      <c r="H70" s="244">
        <v>0</v>
      </c>
      <c r="I70" s="253">
        <v>0</v>
      </c>
      <c r="J70" s="253">
        <v>0</v>
      </c>
      <c r="K70" s="244">
        <v>2</v>
      </c>
      <c r="L70" s="251">
        <v>56</v>
      </c>
      <c r="M70" s="251">
        <v>1.4</v>
      </c>
      <c r="N70" s="244">
        <v>11</v>
      </c>
      <c r="O70" s="251">
        <v>96</v>
      </c>
      <c r="P70" s="251">
        <v>2.4</v>
      </c>
      <c r="Q70" s="244">
        <v>13</v>
      </c>
      <c r="R70" s="251">
        <v>152</v>
      </c>
      <c r="S70" s="251">
        <v>3.8</v>
      </c>
      <c r="T70" s="87" t="s">
        <v>1648</v>
      </c>
      <c r="U70" s="244">
        <v>8</v>
      </c>
      <c r="V70" s="87" t="s">
        <v>1649</v>
      </c>
    </row>
    <row r="71" spans="1:22" ht="13.5" thickBot="1" x14ac:dyDescent="0.25">
      <c r="A71" s="48" t="s">
        <v>45</v>
      </c>
      <c r="B71" s="258" t="s">
        <v>44</v>
      </c>
      <c r="C71" s="255" t="s">
        <v>17</v>
      </c>
      <c r="D71" s="244">
        <v>6583</v>
      </c>
      <c r="E71" s="244">
        <v>0</v>
      </c>
      <c r="F71" s="251">
        <v>0</v>
      </c>
      <c r="G71" s="251">
        <v>0</v>
      </c>
      <c r="H71" s="244">
        <v>5</v>
      </c>
      <c r="I71" s="253">
        <v>180</v>
      </c>
      <c r="J71" s="253">
        <v>4.5</v>
      </c>
      <c r="K71" s="244">
        <v>5</v>
      </c>
      <c r="L71" s="251">
        <v>180</v>
      </c>
      <c r="M71" s="251">
        <v>4.5</v>
      </c>
      <c r="N71" s="244">
        <v>3</v>
      </c>
      <c r="O71" s="251">
        <v>61</v>
      </c>
      <c r="P71" s="251">
        <v>1.5249999999999999</v>
      </c>
      <c r="Q71" s="244">
        <v>8</v>
      </c>
      <c r="R71" s="251">
        <v>241</v>
      </c>
      <c r="S71" s="251">
        <v>6.0250000000000004</v>
      </c>
      <c r="T71" s="87" t="s">
        <v>1649</v>
      </c>
      <c r="U71" s="244">
        <v>0</v>
      </c>
      <c r="V71" s="87" t="s">
        <v>1649</v>
      </c>
    </row>
    <row r="72" spans="1:22" ht="13.5" thickBot="1" x14ac:dyDescent="0.25">
      <c r="A72" s="48" t="s">
        <v>56</v>
      </c>
      <c r="B72" s="258" t="s">
        <v>55</v>
      </c>
      <c r="C72" s="255" t="s">
        <v>17</v>
      </c>
      <c r="D72" s="244">
        <v>5379</v>
      </c>
      <c r="E72" s="244">
        <v>1</v>
      </c>
      <c r="F72" s="251">
        <v>40</v>
      </c>
      <c r="G72" s="251">
        <v>1</v>
      </c>
      <c r="H72" s="244">
        <v>0</v>
      </c>
      <c r="I72" s="253">
        <v>0</v>
      </c>
      <c r="J72" s="253">
        <v>0</v>
      </c>
      <c r="K72" s="244">
        <v>1</v>
      </c>
      <c r="L72" s="251">
        <v>40</v>
      </c>
      <c r="M72" s="251">
        <v>1</v>
      </c>
      <c r="N72" s="244">
        <v>8</v>
      </c>
      <c r="O72" s="251">
        <v>110</v>
      </c>
      <c r="P72" s="251">
        <v>2.75</v>
      </c>
      <c r="Q72" s="244">
        <v>9</v>
      </c>
      <c r="R72" s="251">
        <v>150</v>
      </c>
      <c r="S72" s="251">
        <v>3.75</v>
      </c>
      <c r="T72" s="87" t="s">
        <v>1649</v>
      </c>
      <c r="U72" s="244">
        <v>0</v>
      </c>
      <c r="V72" s="87" t="s">
        <v>1649</v>
      </c>
    </row>
    <row r="73" spans="1:22" ht="13.5" thickBot="1" x14ac:dyDescent="0.25">
      <c r="A73" s="48" t="s">
        <v>60</v>
      </c>
      <c r="B73" s="258" t="s">
        <v>59</v>
      </c>
      <c r="C73" s="255" t="s">
        <v>17</v>
      </c>
      <c r="D73" s="244">
        <v>4265</v>
      </c>
      <c r="E73" s="244">
        <v>0</v>
      </c>
      <c r="F73" s="251">
        <v>0</v>
      </c>
      <c r="G73" s="251">
        <v>0</v>
      </c>
      <c r="H73" s="244">
        <v>1</v>
      </c>
      <c r="I73" s="253">
        <v>20</v>
      </c>
      <c r="J73" s="253">
        <v>0.5</v>
      </c>
      <c r="K73" s="244">
        <v>1</v>
      </c>
      <c r="L73" s="251">
        <v>20</v>
      </c>
      <c r="M73" s="251">
        <v>0.5</v>
      </c>
      <c r="N73" s="244">
        <v>11</v>
      </c>
      <c r="O73" s="251">
        <v>31</v>
      </c>
      <c r="P73" s="251">
        <v>0.77500000000000002</v>
      </c>
      <c r="Q73" s="244">
        <v>12</v>
      </c>
      <c r="R73" s="251">
        <v>51</v>
      </c>
      <c r="S73" s="251">
        <v>1.2749999999999999</v>
      </c>
      <c r="T73" s="257" t="s">
        <v>1648</v>
      </c>
      <c r="U73" s="244">
        <v>498</v>
      </c>
      <c r="V73" s="87" t="s">
        <v>1649</v>
      </c>
    </row>
    <row r="74" spans="1:22" ht="13.5" thickBot="1" x14ac:dyDescent="0.25">
      <c r="A74" s="48" t="s">
        <v>70</v>
      </c>
      <c r="B74" s="258" t="s">
        <v>69</v>
      </c>
      <c r="C74" s="255" t="s">
        <v>17</v>
      </c>
      <c r="D74" s="244">
        <v>6621</v>
      </c>
      <c r="E74" s="244">
        <v>0</v>
      </c>
      <c r="F74" s="251">
        <v>0</v>
      </c>
      <c r="G74" s="251">
        <v>0</v>
      </c>
      <c r="H74" s="244">
        <v>1</v>
      </c>
      <c r="I74" s="253">
        <v>40</v>
      </c>
      <c r="J74" s="253">
        <v>1</v>
      </c>
      <c r="K74" s="244">
        <v>1</v>
      </c>
      <c r="L74" s="251">
        <v>40</v>
      </c>
      <c r="M74" s="251">
        <v>1</v>
      </c>
      <c r="N74" s="244">
        <v>9</v>
      </c>
      <c r="O74" s="251">
        <v>116</v>
      </c>
      <c r="P74" s="251">
        <v>2.9</v>
      </c>
      <c r="Q74" s="244">
        <v>10</v>
      </c>
      <c r="R74" s="251">
        <v>156</v>
      </c>
      <c r="S74" s="251">
        <v>3.9</v>
      </c>
      <c r="T74" s="87" t="s">
        <v>1649</v>
      </c>
      <c r="U74" s="244">
        <v>0</v>
      </c>
      <c r="V74" s="87" t="s">
        <v>1649</v>
      </c>
    </row>
    <row r="75" spans="1:22" ht="13.5" thickBot="1" x14ac:dyDescent="0.25">
      <c r="A75" s="48" t="s">
        <v>74</v>
      </c>
      <c r="B75" s="258" t="s">
        <v>73</v>
      </c>
      <c r="C75" s="255" t="s">
        <v>17</v>
      </c>
      <c r="D75" s="244">
        <v>4075</v>
      </c>
      <c r="E75" s="244">
        <v>0</v>
      </c>
      <c r="F75" s="251">
        <v>0</v>
      </c>
      <c r="G75" s="251">
        <v>0</v>
      </c>
      <c r="H75" s="244">
        <v>2</v>
      </c>
      <c r="I75" s="253">
        <v>76</v>
      </c>
      <c r="J75" s="253">
        <v>1.9</v>
      </c>
      <c r="K75" s="244">
        <v>2</v>
      </c>
      <c r="L75" s="251">
        <v>76</v>
      </c>
      <c r="M75" s="251">
        <v>1.9</v>
      </c>
      <c r="N75" s="244">
        <v>3</v>
      </c>
      <c r="O75" s="251">
        <v>42</v>
      </c>
      <c r="P75" s="251">
        <v>1.05</v>
      </c>
      <c r="Q75" s="244">
        <v>5</v>
      </c>
      <c r="R75" s="251">
        <v>118</v>
      </c>
      <c r="S75" s="251">
        <v>2.95</v>
      </c>
      <c r="T75" s="87" t="s">
        <v>1648</v>
      </c>
      <c r="U75" s="244">
        <v>780</v>
      </c>
      <c r="V75" s="87" t="s">
        <v>1649</v>
      </c>
    </row>
    <row r="76" spans="1:22" ht="13.5" thickBot="1" x14ac:dyDescent="0.25">
      <c r="A76" s="48" t="s">
        <v>98</v>
      </c>
      <c r="B76" s="258" t="s">
        <v>97</v>
      </c>
      <c r="C76" s="255" t="s">
        <v>17</v>
      </c>
      <c r="D76" s="244">
        <v>5414</v>
      </c>
      <c r="E76" s="244">
        <v>1</v>
      </c>
      <c r="F76" s="251">
        <v>40</v>
      </c>
      <c r="G76" s="251">
        <v>1</v>
      </c>
      <c r="H76" s="244">
        <v>0</v>
      </c>
      <c r="I76" s="253">
        <v>0</v>
      </c>
      <c r="J76" s="253">
        <v>0</v>
      </c>
      <c r="K76" s="244">
        <v>1</v>
      </c>
      <c r="L76" s="251">
        <v>40</v>
      </c>
      <c r="M76" s="251">
        <v>1</v>
      </c>
      <c r="N76" s="244">
        <v>1</v>
      </c>
      <c r="O76" s="251">
        <v>13</v>
      </c>
      <c r="P76" s="251">
        <v>0.32500000000000001</v>
      </c>
      <c r="Q76" s="244">
        <v>2</v>
      </c>
      <c r="R76" s="251">
        <v>53</v>
      </c>
      <c r="S76" s="251">
        <v>1.325</v>
      </c>
      <c r="T76" s="87" t="s">
        <v>1649</v>
      </c>
      <c r="U76" s="244">
        <v>0</v>
      </c>
      <c r="V76" s="87" t="s">
        <v>1649</v>
      </c>
    </row>
    <row r="77" spans="1:22" ht="13.5" thickBot="1" x14ac:dyDescent="0.25">
      <c r="A77" s="48" t="s">
        <v>120</v>
      </c>
      <c r="B77" s="258" t="s">
        <v>119</v>
      </c>
      <c r="C77" s="255" t="s">
        <v>17</v>
      </c>
      <c r="D77" s="244">
        <v>6296</v>
      </c>
      <c r="E77" s="244">
        <v>1</v>
      </c>
      <c r="F77" s="251">
        <v>40</v>
      </c>
      <c r="G77" s="251">
        <v>1</v>
      </c>
      <c r="H77" s="244">
        <v>2</v>
      </c>
      <c r="I77" s="253">
        <v>74</v>
      </c>
      <c r="J77" s="253">
        <v>1.85</v>
      </c>
      <c r="K77" s="244">
        <v>3</v>
      </c>
      <c r="L77" s="251">
        <v>114</v>
      </c>
      <c r="M77" s="251">
        <v>2.85</v>
      </c>
      <c r="N77" s="244">
        <v>8</v>
      </c>
      <c r="O77" s="251">
        <v>184</v>
      </c>
      <c r="P77" s="251">
        <v>4.5999999999999996</v>
      </c>
      <c r="Q77" s="244">
        <v>11</v>
      </c>
      <c r="R77" s="251">
        <v>298</v>
      </c>
      <c r="S77" s="251">
        <v>7.45</v>
      </c>
      <c r="T77" s="87" t="s">
        <v>1649</v>
      </c>
      <c r="U77" s="244">
        <v>0</v>
      </c>
      <c r="V77" s="87" t="s">
        <v>1649</v>
      </c>
    </row>
    <row r="78" spans="1:22" ht="13.5" thickBot="1" x14ac:dyDescent="0.25">
      <c r="A78" s="48" t="s">
        <v>126</v>
      </c>
      <c r="B78" s="258" t="s">
        <v>125</v>
      </c>
      <c r="C78" s="255" t="s">
        <v>17</v>
      </c>
      <c r="D78" s="244">
        <v>4005</v>
      </c>
      <c r="E78" s="244">
        <v>0</v>
      </c>
      <c r="F78" s="251">
        <v>0</v>
      </c>
      <c r="G78" s="251">
        <v>0</v>
      </c>
      <c r="H78" s="244">
        <v>1</v>
      </c>
      <c r="I78" s="253">
        <v>32</v>
      </c>
      <c r="J78" s="253">
        <v>0.8</v>
      </c>
      <c r="K78" s="244">
        <v>1</v>
      </c>
      <c r="L78" s="251">
        <v>32</v>
      </c>
      <c r="M78" s="251">
        <v>0.8</v>
      </c>
      <c r="N78" s="244">
        <v>2</v>
      </c>
      <c r="O78" s="251">
        <v>5</v>
      </c>
      <c r="P78" s="251">
        <v>0.125</v>
      </c>
      <c r="Q78" s="244">
        <v>2</v>
      </c>
      <c r="R78" s="251">
        <v>37</v>
      </c>
      <c r="S78" s="251">
        <v>0.92500000000000004</v>
      </c>
      <c r="T78" s="87" t="s">
        <v>1648</v>
      </c>
      <c r="U78" s="244">
        <v>214</v>
      </c>
      <c r="V78" s="87" t="s">
        <v>1649</v>
      </c>
    </row>
    <row r="79" spans="1:22" ht="13.5" thickBot="1" x14ac:dyDescent="0.25">
      <c r="A79" s="48" t="s">
        <v>138</v>
      </c>
      <c r="B79" s="258" t="s">
        <v>137</v>
      </c>
      <c r="C79" s="255" t="s">
        <v>17</v>
      </c>
      <c r="D79" s="244">
        <v>4191</v>
      </c>
      <c r="E79" s="244">
        <v>0</v>
      </c>
      <c r="F79" s="251">
        <v>0</v>
      </c>
      <c r="G79" s="251">
        <v>0</v>
      </c>
      <c r="H79" s="244">
        <v>1</v>
      </c>
      <c r="I79" s="253">
        <v>28</v>
      </c>
      <c r="J79" s="253">
        <v>0.7</v>
      </c>
      <c r="K79" s="244">
        <v>1</v>
      </c>
      <c r="L79" s="251">
        <v>28</v>
      </c>
      <c r="M79" s="251">
        <v>0.7</v>
      </c>
      <c r="N79" s="244">
        <v>1</v>
      </c>
      <c r="O79" s="251">
        <v>22</v>
      </c>
      <c r="P79" s="251">
        <v>0.55000000000000004</v>
      </c>
      <c r="Q79" s="244">
        <v>2</v>
      </c>
      <c r="R79" s="251">
        <v>50</v>
      </c>
      <c r="S79" s="251">
        <v>1.25</v>
      </c>
      <c r="T79" s="87" t="s">
        <v>1648</v>
      </c>
      <c r="U79" s="244">
        <v>80</v>
      </c>
      <c r="V79" s="87" t="s">
        <v>1649</v>
      </c>
    </row>
    <row r="80" spans="1:22" ht="13.5" thickBot="1" x14ac:dyDescent="0.25">
      <c r="A80" s="48" t="s">
        <v>180</v>
      </c>
      <c r="B80" s="258" t="s">
        <v>179</v>
      </c>
      <c r="C80" s="255" t="s">
        <v>17</v>
      </c>
      <c r="D80" s="244">
        <v>4622</v>
      </c>
      <c r="E80" s="244">
        <v>0</v>
      </c>
      <c r="F80" s="251">
        <v>0</v>
      </c>
      <c r="G80" s="251">
        <v>0</v>
      </c>
      <c r="H80" s="244">
        <v>1</v>
      </c>
      <c r="I80" s="253">
        <v>32</v>
      </c>
      <c r="J80" s="253">
        <v>0.8</v>
      </c>
      <c r="K80" s="244">
        <v>1</v>
      </c>
      <c r="L80" s="251">
        <v>37</v>
      </c>
      <c r="M80" s="251">
        <v>0.92500000000000004</v>
      </c>
      <c r="N80" s="244">
        <v>6</v>
      </c>
      <c r="O80" s="251">
        <v>103</v>
      </c>
      <c r="P80" s="251">
        <v>2.5750000000000002</v>
      </c>
      <c r="Q80" s="244">
        <v>7</v>
      </c>
      <c r="R80" s="251">
        <v>140</v>
      </c>
      <c r="S80" s="251">
        <v>3.5</v>
      </c>
      <c r="T80" s="87" t="s">
        <v>1648</v>
      </c>
      <c r="U80" s="244">
        <v>257</v>
      </c>
      <c r="V80" s="87" t="s">
        <v>1649</v>
      </c>
    </row>
    <row r="81" spans="1:22" ht="13.5" thickBot="1" x14ac:dyDescent="0.25">
      <c r="A81" s="48" t="s">
        <v>194</v>
      </c>
      <c r="B81" s="258" t="s">
        <v>193</v>
      </c>
      <c r="C81" s="255" t="s">
        <v>17</v>
      </c>
      <c r="D81" s="244">
        <v>4986</v>
      </c>
      <c r="E81" s="244">
        <v>0</v>
      </c>
      <c r="F81" s="251">
        <v>0</v>
      </c>
      <c r="G81" s="251">
        <v>0</v>
      </c>
      <c r="H81" s="244">
        <v>3</v>
      </c>
      <c r="I81" s="253">
        <v>77</v>
      </c>
      <c r="J81" s="253">
        <v>1.925</v>
      </c>
      <c r="K81" s="244">
        <v>3</v>
      </c>
      <c r="L81" s="251">
        <v>77</v>
      </c>
      <c r="M81" s="251">
        <v>1.925</v>
      </c>
      <c r="N81" s="244">
        <v>4</v>
      </c>
      <c r="O81" s="251">
        <v>50</v>
      </c>
      <c r="P81" s="251">
        <v>1.25</v>
      </c>
      <c r="Q81" s="244">
        <v>7</v>
      </c>
      <c r="R81" s="251">
        <v>127</v>
      </c>
      <c r="S81" s="251">
        <v>3.1749999999999998</v>
      </c>
      <c r="T81" s="87" t="s">
        <v>1649</v>
      </c>
      <c r="U81" s="244">
        <v>0</v>
      </c>
      <c r="V81" s="87" t="s">
        <v>1649</v>
      </c>
    </row>
    <row r="82" spans="1:22" ht="13.5" thickBot="1" x14ac:dyDescent="0.25">
      <c r="A82" s="48" t="s">
        <v>216</v>
      </c>
      <c r="B82" s="258" t="s">
        <v>215</v>
      </c>
      <c r="C82" s="255" t="s">
        <v>17</v>
      </c>
      <c r="D82" s="244">
        <v>4514</v>
      </c>
      <c r="E82" s="244">
        <v>0</v>
      </c>
      <c r="F82" s="251">
        <v>0</v>
      </c>
      <c r="G82" s="251">
        <v>0</v>
      </c>
      <c r="H82" s="244">
        <v>2</v>
      </c>
      <c r="I82" s="253">
        <v>52</v>
      </c>
      <c r="J82" s="253">
        <v>1.3</v>
      </c>
      <c r="K82" s="244">
        <v>2</v>
      </c>
      <c r="L82" s="251">
        <v>53</v>
      </c>
      <c r="M82" s="251">
        <v>1.325</v>
      </c>
      <c r="N82" s="244">
        <v>2</v>
      </c>
      <c r="O82" s="251">
        <v>14</v>
      </c>
      <c r="P82" s="251">
        <v>0.35</v>
      </c>
      <c r="Q82" s="244">
        <v>4</v>
      </c>
      <c r="R82" s="251">
        <v>67</v>
      </c>
      <c r="S82" s="251">
        <v>1.675</v>
      </c>
      <c r="T82" s="87" t="s">
        <v>1649</v>
      </c>
      <c r="U82" s="244">
        <v>0</v>
      </c>
      <c r="V82" s="87" t="s">
        <v>1649</v>
      </c>
    </row>
    <row r="83" spans="1:22" ht="13.5" thickBot="1" x14ac:dyDescent="0.25">
      <c r="A83" s="48" t="s">
        <v>230</v>
      </c>
      <c r="B83" s="258" t="s">
        <v>229</v>
      </c>
      <c r="C83" s="255" t="s">
        <v>17</v>
      </c>
      <c r="D83" s="244">
        <v>6838</v>
      </c>
      <c r="E83" s="244">
        <v>2</v>
      </c>
      <c r="F83" s="251">
        <v>69</v>
      </c>
      <c r="G83" s="251">
        <v>1.7250000000000001</v>
      </c>
      <c r="H83" s="244">
        <v>0</v>
      </c>
      <c r="I83" s="253">
        <v>0</v>
      </c>
      <c r="J83" s="253">
        <v>0</v>
      </c>
      <c r="K83" s="244">
        <v>2</v>
      </c>
      <c r="L83" s="251">
        <v>69</v>
      </c>
      <c r="M83" s="251">
        <v>1.7250000000000001</v>
      </c>
      <c r="N83" s="244">
        <v>3</v>
      </c>
      <c r="O83" s="251">
        <v>26</v>
      </c>
      <c r="P83" s="251">
        <v>0.65</v>
      </c>
      <c r="Q83" s="244">
        <v>5</v>
      </c>
      <c r="R83" s="251">
        <v>95</v>
      </c>
      <c r="S83" s="251">
        <v>2.375</v>
      </c>
      <c r="T83" s="87" t="s">
        <v>1649</v>
      </c>
      <c r="U83" s="244">
        <v>0</v>
      </c>
      <c r="V83" s="87" t="s">
        <v>1649</v>
      </c>
    </row>
    <row r="84" spans="1:22" ht="13.5" thickBot="1" x14ac:dyDescent="0.25">
      <c r="A84" s="48" t="s">
        <v>236</v>
      </c>
      <c r="B84" s="258" t="s">
        <v>235</v>
      </c>
      <c r="C84" s="255" t="s">
        <v>17</v>
      </c>
      <c r="D84" s="244">
        <v>4869</v>
      </c>
      <c r="E84" s="244">
        <v>0</v>
      </c>
      <c r="F84" s="251">
        <v>0</v>
      </c>
      <c r="G84" s="251">
        <v>0</v>
      </c>
      <c r="H84" s="244">
        <v>1</v>
      </c>
      <c r="I84" s="253">
        <v>22</v>
      </c>
      <c r="J84" s="253">
        <v>0.55000000000000004</v>
      </c>
      <c r="K84" s="87">
        <v>1</v>
      </c>
      <c r="L84" s="251">
        <v>22</v>
      </c>
      <c r="M84" s="251">
        <v>0.55000000000000004</v>
      </c>
      <c r="N84" s="244">
        <v>3</v>
      </c>
      <c r="O84" s="251">
        <v>29</v>
      </c>
      <c r="P84" s="251">
        <v>0.72499999999999998</v>
      </c>
      <c r="Q84" s="244">
        <v>4</v>
      </c>
      <c r="R84" s="251">
        <v>51</v>
      </c>
      <c r="S84" s="251">
        <v>1.2749999999999999</v>
      </c>
      <c r="T84" s="87" t="s">
        <v>1648</v>
      </c>
      <c r="U84" s="244">
        <v>36</v>
      </c>
      <c r="V84" s="87" t="s">
        <v>1649</v>
      </c>
    </row>
    <row r="85" spans="1:22" ht="13.5" thickBot="1" x14ac:dyDescent="0.25">
      <c r="A85" s="48" t="s">
        <v>238</v>
      </c>
      <c r="B85" s="258" t="s">
        <v>237</v>
      </c>
      <c r="C85" s="255" t="s">
        <v>17</v>
      </c>
      <c r="D85" s="244">
        <v>4768</v>
      </c>
      <c r="E85" s="244">
        <v>0</v>
      </c>
      <c r="F85" s="251">
        <v>0</v>
      </c>
      <c r="G85" s="251">
        <v>0</v>
      </c>
      <c r="H85" s="244">
        <v>1</v>
      </c>
      <c r="I85" s="253">
        <v>32</v>
      </c>
      <c r="J85" s="253">
        <v>0.8</v>
      </c>
      <c r="K85" s="244">
        <v>1</v>
      </c>
      <c r="L85" s="251">
        <v>32</v>
      </c>
      <c r="M85" s="251">
        <v>0.8</v>
      </c>
      <c r="N85" s="244">
        <v>2</v>
      </c>
      <c r="O85" s="251">
        <v>56</v>
      </c>
      <c r="P85" s="251">
        <v>1.4</v>
      </c>
      <c r="Q85" s="244">
        <v>3</v>
      </c>
      <c r="R85" s="251">
        <v>88</v>
      </c>
      <c r="S85" s="251">
        <v>2.2000000000000002</v>
      </c>
      <c r="T85" s="87" t="s">
        <v>1649</v>
      </c>
      <c r="U85" s="244">
        <v>0</v>
      </c>
      <c r="V85" s="87" t="s">
        <v>1649</v>
      </c>
    </row>
    <row r="86" spans="1:22" ht="13.5" thickBot="1" x14ac:dyDescent="0.25">
      <c r="A86" s="48" t="s">
        <v>252</v>
      </c>
      <c r="B86" s="258" t="s">
        <v>251</v>
      </c>
      <c r="C86" s="255" t="s">
        <v>17</v>
      </c>
      <c r="D86" s="244">
        <v>5432</v>
      </c>
      <c r="E86" s="244">
        <v>0</v>
      </c>
      <c r="F86" s="251">
        <v>0</v>
      </c>
      <c r="G86" s="251">
        <v>0</v>
      </c>
      <c r="H86" s="244">
        <v>1</v>
      </c>
      <c r="I86" s="253">
        <v>40</v>
      </c>
      <c r="J86" s="253">
        <v>1</v>
      </c>
      <c r="K86" s="244">
        <v>1</v>
      </c>
      <c r="L86" s="251">
        <v>40</v>
      </c>
      <c r="M86" s="251">
        <v>1</v>
      </c>
      <c r="N86" s="244">
        <v>10</v>
      </c>
      <c r="O86" s="251">
        <v>157</v>
      </c>
      <c r="P86" s="251">
        <v>3.9249999999999998</v>
      </c>
      <c r="Q86" s="244">
        <v>11</v>
      </c>
      <c r="R86" s="251">
        <v>197</v>
      </c>
      <c r="S86" s="251">
        <v>4.9249999999999998</v>
      </c>
      <c r="T86" s="87" t="s">
        <v>1648</v>
      </c>
      <c r="U86" s="244">
        <v>336</v>
      </c>
      <c r="V86" s="87" t="s">
        <v>1649</v>
      </c>
    </row>
    <row r="87" spans="1:22" ht="13.5" thickBot="1" x14ac:dyDescent="0.25">
      <c r="A87" s="48" t="s">
        <v>280</v>
      </c>
      <c r="B87" s="258" t="s">
        <v>279</v>
      </c>
      <c r="C87" s="255" t="s">
        <v>17</v>
      </c>
      <c r="D87" s="244">
        <v>6164</v>
      </c>
      <c r="E87" s="244">
        <v>0</v>
      </c>
      <c r="F87" s="251">
        <v>0</v>
      </c>
      <c r="G87" s="251">
        <v>0</v>
      </c>
      <c r="H87" s="244">
        <v>1</v>
      </c>
      <c r="I87" s="253">
        <v>40</v>
      </c>
      <c r="J87" s="253">
        <v>1</v>
      </c>
      <c r="K87" s="244">
        <v>1</v>
      </c>
      <c r="L87" s="251">
        <v>40</v>
      </c>
      <c r="M87" s="251">
        <v>1</v>
      </c>
      <c r="N87" s="244">
        <v>5</v>
      </c>
      <c r="O87" s="251">
        <v>97.5</v>
      </c>
      <c r="P87" s="251">
        <v>2.4375</v>
      </c>
      <c r="Q87" s="244">
        <v>6</v>
      </c>
      <c r="R87" s="251">
        <v>137.5</v>
      </c>
      <c r="S87" s="251">
        <v>3.4375</v>
      </c>
      <c r="T87" s="87" t="s">
        <v>1649</v>
      </c>
      <c r="U87" s="244">
        <v>0</v>
      </c>
      <c r="V87" s="87" t="s">
        <v>1649</v>
      </c>
    </row>
    <row r="88" spans="1:22" ht="13.5" thickBot="1" x14ac:dyDescent="0.25">
      <c r="A88" s="48" t="s">
        <v>290</v>
      </c>
      <c r="B88" s="258" t="s">
        <v>289</v>
      </c>
      <c r="C88" s="255" t="s">
        <v>17</v>
      </c>
      <c r="D88" s="244">
        <v>5641</v>
      </c>
      <c r="E88" s="244">
        <v>0</v>
      </c>
      <c r="F88" s="252">
        <v>0</v>
      </c>
      <c r="G88" s="252">
        <v>0</v>
      </c>
      <c r="H88" s="244">
        <v>6</v>
      </c>
      <c r="I88" s="253">
        <v>61</v>
      </c>
      <c r="J88" s="253">
        <v>1.5249999999999999</v>
      </c>
      <c r="K88" s="244">
        <v>6</v>
      </c>
      <c r="L88" s="251">
        <v>61</v>
      </c>
      <c r="M88" s="251">
        <v>1.5249999999999999</v>
      </c>
      <c r="N88" s="244">
        <v>1</v>
      </c>
      <c r="O88" s="251">
        <v>2</v>
      </c>
      <c r="P88" s="251">
        <v>0.05</v>
      </c>
      <c r="Q88" s="244">
        <v>7</v>
      </c>
      <c r="R88" s="251">
        <v>63</v>
      </c>
      <c r="S88" s="251">
        <v>1.575</v>
      </c>
      <c r="T88" s="257" t="s">
        <v>1648</v>
      </c>
      <c r="U88" s="244">
        <v>353</v>
      </c>
      <c r="V88" s="87" t="s">
        <v>1649</v>
      </c>
    </row>
    <row r="89" spans="1:22" ht="13.5" thickBot="1" x14ac:dyDescent="0.25">
      <c r="A89" s="48" t="s">
        <v>334</v>
      </c>
      <c r="B89" s="258" t="s">
        <v>333</v>
      </c>
      <c r="C89" s="255" t="s">
        <v>17</v>
      </c>
      <c r="D89" s="244">
        <v>6119</v>
      </c>
      <c r="E89" s="244">
        <v>0</v>
      </c>
      <c r="F89" s="251">
        <v>0</v>
      </c>
      <c r="G89" s="251">
        <v>0</v>
      </c>
      <c r="H89" s="244">
        <v>5</v>
      </c>
      <c r="I89" s="253">
        <v>95</v>
      </c>
      <c r="J89" s="253">
        <v>2.375</v>
      </c>
      <c r="K89" s="244">
        <v>5</v>
      </c>
      <c r="L89" s="251">
        <v>95</v>
      </c>
      <c r="M89" s="251">
        <v>2.375</v>
      </c>
      <c r="N89" s="244">
        <v>2</v>
      </c>
      <c r="O89" s="251">
        <v>80</v>
      </c>
      <c r="P89" s="251">
        <v>2</v>
      </c>
      <c r="Q89" s="244">
        <v>7</v>
      </c>
      <c r="R89" s="251">
        <v>175</v>
      </c>
      <c r="S89" s="251">
        <v>4.375</v>
      </c>
      <c r="T89" s="87" t="s">
        <v>1648</v>
      </c>
      <c r="U89" s="244">
        <v>108</v>
      </c>
      <c r="V89" s="87" t="s">
        <v>1649</v>
      </c>
    </row>
    <row r="90" spans="1:22" ht="13.5" thickBot="1" x14ac:dyDescent="0.25">
      <c r="A90" s="48" t="s">
        <v>344</v>
      </c>
      <c r="B90" s="258" t="s">
        <v>343</v>
      </c>
      <c r="C90" s="255" t="s">
        <v>17</v>
      </c>
      <c r="D90" s="244">
        <v>6582</v>
      </c>
      <c r="E90" s="244">
        <v>0</v>
      </c>
      <c r="F90" s="251">
        <v>0</v>
      </c>
      <c r="G90" s="251">
        <v>0</v>
      </c>
      <c r="H90" s="244">
        <v>1</v>
      </c>
      <c r="I90" s="253">
        <v>40</v>
      </c>
      <c r="J90" s="253">
        <v>1</v>
      </c>
      <c r="K90" s="244">
        <v>1</v>
      </c>
      <c r="L90" s="251">
        <v>40</v>
      </c>
      <c r="M90" s="251">
        <v>1</v>
      </c>
      <c r="N90" s="244">
        <v>7</v>
      </c>
      <c r="O90" s="251">
        <v>122</v>
      </c>
      <c r="P90" s="251">
        <v>3.05</v>
      </c>
      <c r="Q90" s="244">
        <v>7</v>
      </c>
      <c r="R90" s="251">
        <v>162</v>
      </c>
      <c r="S90" s="251">
        <v>4.05</v>
      </c>
      <c r="T90" s="257" t="s">
        <v>1648</v>
      </c>
      <c r="U90" s="244">
        <v>7</v>
      </c>
      <c r="V90" s="87" t="s">
        <v>1649</v>
      </c>
    </row>
    <row r="91" spans="1:22" ht="13.5" thickBot="1" x14ac:dyDescent="0.25">
      <c r="A91" s="48" t="s">
        <v>354</v>
      </c>
      <c r="B91" s="258" t="s">
        <v>353</v>
      </c>
      <c r="C91" s="255" t="s">
        <v>17</v>
      </c>
      <c r="D91" s="244">
        <v>5933</v>
      </c>
      <c r="E91" s="244">
        <v>0</v>
      </c>
      <c r="F91" s="251">
        <v>0</v>
      </c>
      <c r="G91" s="251">
        <v>0</v>
      </c>
      <c r="H91" s="244">
        <v>1</v>
      </c>
      <c r="I91" s="253">
        <v>30</v>
      </c>
      <c r="J91" s="253">
        <v>0.75</v>
      </c>
      <c r="K91" s="244">
        <v>1</v>
      </c>
      <c r="L91" s="251">
        <v>30</v>
      </c>
      <c r="M91" s="251">
        <v>0.75</v>
      </c>
      <c r="N91" s="244">
        <v>9</v>
      </c>
      <c r="O91" s="251">
        <v>130</v>
      </c>
      <c r="P91" s="251">
        <v>3.25</v>
      </c>
      <c r="Q91" s="244">
        <v>8</v>
      </c>
      <c r="R91" s="251">
        <v>160</v>
      </c>
      <c r="S91" s="251">
        <v>4</v>
      </c>
      <c r="T91" s="87" t="s">
        <v>1649</v>
      </c>
      <c r="U91" s="244">
        <v>0</v>
      </c>
      <c r="V91" s="87" t="s">
        <v>1649</v>
      </c>
    </row>
    <row r="92" spans="1:22" ht="13.5" thickBot="1" x14ac:dyDescent="0.25">
      <c r="A92" s="48" t="s">
        <v>362</v>
      </c>
      <c r="B92" s="258" t="s">
        <v>361</v>
      </c>
      <c r="C92" s="255" t="s">
        <v>17</v>
      </c>
      <c r="D92" s="244">
        <v>4220</v>
      </c>
      <c r="E92" s="244">
        <v>0</v>
      </c>
      <c r="F92" s="251">
        <v>0</v>
      </c>
      <c r="G92" s="251">
        <v>0</v>
      </c>
      <c r="H92" s="244">
        <v>2</v>
      </c>
      <c r="I92" s="253">
        <v>40</v>
      </c>
      <c r="J92" s="253">
        <v>1</v>
      </c>
      <c r="K92" s="244">
        <v>2</v>
      </c>
      <c r="L92" s="251">
        <v>40</v>
      </c>
      <c r="M92" s="251">
        <v>1</v>
      </c>
      <c r="N92" s="244">
        <v>1</v>
      </c>
      <c r="O92" s="251">
        <v>3</v>
      </c>
      <c r="P92" s="251">
        <v>7.4999999999999997E-2</v>
      </c>
      <c r="Q92" s="244">
        <v>3</v>
      </c>
      <c r="R92" s="251">
        <v>43</v>
      </c>
      <c r="S92" s="251">
        <v>1.075</v>
      </c>
      <c r="T92" s="87" t="s">
        <v>1649</v>
      </c>
      <c r="U92" s="244">
        <v>0</v>
      </c>
      <c r="V92" s="87" t="s">
        <v>1649</v>
      </c>
    </row>
    <row r="93" spans="1:22" ht="13.5" thickBot="1" x14ac:dyDescent="0.25">
      <c r="A93" s="48" t="s">
        <v>366</v>
      </c>
      <c r="B93" s="258" t="s">
        <v>365</v>
      </c>
      <c r="C93" s="255" t="s">
        <v>17</v>
      </c>
      <c r="D93" s="244">
        <v>4610</v>
      </c>
      <c r="E93" s="244">
        <v>1</v>
      </c>
      <c r="F93" s="251">
        <v>25</v>
      </c>
      <c r="G93" s="251">
        <v>0.625</v>
      </c>
      <c r="H93" s="244">
        <v>0</v>
      </c>
      <c r="I93" s="253">
        <v>0</v>
      </c>
      <c r="J93" s="253">
        <v>0</v>
      </c>
      <c r="K93" s="244">
        <v>1</v>
      </c>
      <c r="L93" s="251">
        <v>25</v>
      </c>
      <c r="M93" s="251">
        <v>0.625</v>
      </c>
      <c r="N93" s="244">
        <v>2</v>
      </c>
      <c r="O93" s="251">
        <v>37</v>
      </c>
      <c r="P93" s="251">
        <v>0.92500000000000004</v>
      </c>
      <c r="Q93" s="244">
        <v>2</v>
      </c>
      <c r="R93" s="251">
        <v>62</v>
      </c>
      <c r="S93" s="251">
        <v>1.55</v>
      </c>
      <c r="T93" s="87" t="s">
        <v>1649</v>
      </c>
      <c r="U93" s="244">
        <v>0</v>
      </c>
      <c r="V93" s="87" t="s">
        <v>1649</v>
      </c>
    </row>
    <row r="94" spans="1:22" ht="13.5" thickBot="1" x14ac:dyDescent="0.25">
      <c r="A94" s="48" t="s">
        <v>372</v>
      </c>
      <c r="B94" s="258" t="s">
        <v>371</v>
      </c>
      <c r="C94" s="255" t="s">
        <v>17</v>
      </c>
      <c r="D94" s="244">
        <v>5531</v>
      </c>
      <c r="E94" s="244">
        <v>0</v>
      </c>
      <c r="F94" s="251">
        <v>0</v>
      </c>
      <c r="G94" s="251">
        <v>0</v>
      </c>
      <c r="H94" s="244">
        <v>3</v>
      </c>
      <c r="I94" s="253">
        <v>66</v>
      </c>
      <c r="J94" s="253">
        <v>1.65</v>
      </c>
      <c r="K94" s="244">
        <v>3</v>
      </c>
      <c r="L94" s="251">
        <v>66</v>
      </c>
      <c r="M94" s="251">
        <v>1.65</v>
      </c>
      <c r="N94" s="244">
        <v>1</v>
      </c>
      <c r="O94" s="251">
        <v>3</v>
      </c>
      <c r="P94" s="251">
        <v>7.4999999999999997E-2</v>
      </c>
      <c r="Q94" s="244">
        <v>4</v>
      </c>
      <c r="R94" s="251">
        <v>69</v>
      </c>
      <c r="S94" s="251">
        <v>1.7250000000000001</v>
      </c>
      <c r="T94" s="87" t="s">
        <v>1649</v>
      </c>
      <c r="U94" s="244">
        <v>0</v>
      </c>
      <c r="V94" s="87" t="s">
        <v>1649</v>
      </c>
    </row>
    <row r="95" spans="1:22" ht="13.5" thickBot="1" x14ac:dyDescent="0.25">
      <c r="A95" s="48" t="s">
        <v>376</v>
      </c>
      <c r="B95" s="258" t="s">
        <v>375</v>
      </c>
      <c r="C95" s="255" t="s">
        <v>17</v>
      </c>
      <c r="D95" s="244">
        <v>5107</v>
      </c>
      <c r="E95" s="244">
        <v>0</v>
      </c>
      <c r="F95" s="251">
        <v>0</v>
      </c>
      <c r="G95" s="251">
        <v>0</v>
      </c>
      <c r="H95" s="244">
        <v>1</v>
      </c>
      <c r="I95" s="253">
        <v>40</v>
      </c>
      <c r="J95" s="253">
        <v>1</v>
      </c>
      <c r="K95" s="244">
        <v>1</v>
      </c>
      <c r="L95" s="251">
        <v>40</v>
      </c>
      <c r="M95" s="251">
        <v>1</v>
      </c>
      <c r="N95" s="244">
        <v>3</v>
      </c>
      <c r="O95" s="251">
        <v>45</v>
      </c>
      <c r="P95" s="251">
        <v>1.125</v>
      </c>
      <c r="Q95" s="244">
        <v>4</v>
      </c>
      <c r="R95" s="251">
        <v>85</v>
      </c>
      <c r="S95" s="251">
        <v>2.125</v>
      </c>
      <c r="T95" s="87" t="s">
        <v>1648</v>
      </c>
      <c r="U95" s="244">
        <v>560</v>
      </c>
      <c r="V95" s="87" t="s">
        <v>1649</v>
      </c>
    </row>
    <row r="96" spans="1:22" ht="13.5" thickBot="1" x14ac:dyDescent="0.25">
      <c r="A96" s="48" t="s">
        <v>382</v>
      </c>
      <c r="B96" s="258" t="s">
        <v>381</v>
      </c>
      <c r="C96" s="255" t="s">
        <v>17</v>
      </c>
      <c r="D96" s="244">
        <v>5784</v>
      </c>
      <c r="E96" s="244">
        <v>0</v>
      </c>
      <c r="F96" s="251">
        <v>0</v>
      </c>
      <c r="G96" s="251">
        <v>0</v>
      </c>
      <c r="H96" s="244">
        <v>1</v>
      </c>
      <c r="I96" s="253">
        <v>40</v>
      </c>
      <c r="J96" s="253">
        <v>1</v>
      </c>
      <c r="K96" s="244">
        <v>1</v>
      </c>
      <c r="L96" s="251">
        <v>40</v>
      </c>
      <c r="M96" s="251">
        <v>1</v>
      </c>
      <c r="N96" s="244">
        <v>8</v>
      </c>
      <c r="O96" s="251">
        <v>86</v>
      </c>
      <c r="P96" s="251">
        <v>2.15</v>
      </c>
      <c r="Q96" s="244">
        <v>8</v>
      </c>
      <c r="R96" s="251">
        <v>126</v>
      </c>
      <c r="S96" s="251">
        <v>3.15</v>
      </c>
      <c r="T96" s="87" t="s">
        <v>1648</v>
      </c>
      <c r="U96" s="244">
        <v>192</v>
      </c>
      <c r="V96" s="87" t="s">
        <v>1649</v>
      </c>
    </row>
    <row r="97" spans="1:22" ht="13.5" thickBot="1" x14ac:dyDescent="0.25">
      <c r="A97" s="48" t="s">
        <v>388</v>
      </c>
      <c r="B97" s="258" t="s">
        <v>387</v>
      </c>
      <c r="C97" s="255" t="s">
        <v>17</v>
      </c>
      <c r="D97" s="244">
        <v>5713</v>
      </c>
      <c r="E97" s="244">
        <v>0</v>
      </c>
      <c r="F97" s="251">
        <v>0</v>
      </c>
      <c r="G97" s="251">
        <v>0</v>
      </c>
      <c r="H97" s="244">
        <v>1</v>
      </c>
      <c r="I97" s="253">
        <v>40</v>
      </c>
      <c r="J97" s="253">
        <v>1</v>
      </c>
      <c r="K97" s="244">
        <v>1</v>
      </c>
      <c r="L97" s="251">
        <v>40</v>
      </c>
      <c r="M97" s="251">
        <v>1</v>
      </c>
      <c r="N97" s="244">
        <v>5</v>
      </c>
      <c r="O97" s="251">
        <v>38</v>
      </c>
      <c r="P97" s="251">
        <v>0.95</v>
      </c>
      <c r="Q97" s="244">
        <v>6</v>
      </c>
      <c r="R97" s="251">
        <v>78</v>
      </c>
      <c r="S97" s="251">
        <v>1.95</v>
      </c>
      <c r="T97" s="87" t="s">
        <v>1649</v>
      </c>
      <c r="U97" s="244">
        <v>0</v>
      </c>
      <c r="V97" s="87" t="s">
        <v>1649</v>
      </c>
    </row>
    <row r="98" spans="1:22" ht="13.5" thickBot="1" x14ac:dyDescent="0.25">
      <c r="A98" s="48" t="s">
        <v>392</v>
      </c>
      <c r="B98" s="258" t="s">
        <v>391</v>
      </c>
      <c r="C98" s="255" t="s">
        <v>17</v>
      </c>
      <c r="D98" s="244">
        <v>6443</v>
      </c>
      <c r="E98" s="244">
        <v>0</v>
      </c>
      <c r="F98" s="251">
        <v>0</v>
      </c>
      <c r="G98" s="251">
        <v>0</v>
      </c>
      <c r="H98" s="244">
        <v>1</v>
      </c>
      <c r="I98" s="253">
        <v>32</v>
      </c>
      <c r="J98" s="253">
        <v>0.8</v>
      </c>
      <c r="K98" s="244">
        <v>1</v>
      </c>
      <c r="L98" s="251">
        <v>32</v>
      </c>
      <c r="M98" s="251">
        <v>0.8</v>
      </c>
      <c r="N98" s="244">
        <v>2</v>
      </c>
      <c r="O98" s="251">
        <v>35</v>
      </c>
      <c r="P98" s="251">
        <v>0.875</v>
      </c>
      <c r="Q98" s="244">
        <v>3</v>
      </c>
      <c r="R98" s="251">
        <v>67</v>
      </c>
      <c r="S98" s="251">
        <v>1.675</v>
      </c>
      <c r="T98" s="87" t="s">
        <v>1649</v>
      </c>
      <c r="U98" s="244">
        <v>0</v>
      </c>
      <c r="V98" s="87" t="s">
        <v>1649</v>
      </c>
    </row>
    <row r="99" spans="1:22" ht="13.5" thickBot="1" x14ac:dyDescent="0.25">
      <c r="A99" s="48" t="s">
        <v>396</v>
      </c>
      <c r="B99" s="258" t="s">
        <v>395</v>
      </c>
      <c r="C99" s="255" t="s">
        <v>17</v>
      </c>
      <c r="D99" s="244">
        <v>4080</v>
      </c>
      <c r="E99" s="244">
        <v>0</v>
      </c>
      <c r="F99" s="251">
        <v>0</v>
      </c>
      <c r="G99" s="251">
        <v>0</v>
      </c>
      <c r="H99" s="244">
        <v>1</v>
      </c>
      <c r="I99" s="253">
        <v>35</v>
      </c>
      <c r="J99" s="253">
        <v>0.875</v>
      </c>
      <c r="K99" s="244">
        <v>1</v>
      </c>
      <c r="L99" s="251">
        <v>35</v>
      </c>
      <c r="M99" s="251">
        <v>0.875</v>
      </c>
      <c r="N99" s="244">
        <v>1</v>
      </c>
      <c r="O99" s="251">
        <v>10</v>
      </c>
      <c r="P99" s="251">
        <v>0.25</v>
      </c>
      <c r="Q99" s="244">
        <v>2</v>
      </c>
      <c r="R99" s="251">
        <v>45</v>
      </c>
      <c r="S99" s="251">
        <v>1.125</v>
      </c>
      <c r="T99" s="87" t="s">
        <v>1649</v>
      </c>
      <c r="U99" s="244">
        <v>0</v>
      </c>
      <c r="V99" s="87" t="s">
        <v>1649</v>
      </c>
    </row>
    <row r="100" spans="1:22" ht="13.5" thickBot="1" x14ac:dyDescent="0.25">
      <c r="A100" s="48" t="s">
        <v>398</v>
      </c>
      <c r="B100" s="258" t="s">
        <v>397</v>
      </c>
      <c r="C100" s="255" t="s">
        <v>17</v>
      </c>
      <c r="D100" s="244">
        <v>5210</v>
      </c>
      <c r="E100" s="244">
        <v>0</v>
      </c>
      <c r="F100" s="251">
        <v>0</v>
      </c>
      <c r="G100" s="251">
        <v>0</v>
      </c>
      <c r="H100" s="244">
        <v>4</v>
      </c>
      <c r="I100" s="253">
        <v>135</v>
      </c>
      <c r="J100" s="253">
        <v>3.375</v>
      </c>
      <c r="K100" s="244">
        <v>4</v>
      </c>
      <c r="L100" s="251">
        <v>135</v>
      </c>
      <c r="M100" s="251">
        <v>3.375</v>
      </c>
      <c r="N100" s="244">
        <v>1</v>
      </c>
      <c r="O100" s="251">
        <v>6</v>
      </c>
      <c r="P100" s="251">
        <v>0.15</v>
      </c>
      <c r="Q100" s="244">
        <v>5</v>
      </c>
      <c r="R100" s="251">
        <v>141</v>
      </c>
      <c r="S100" s="251">
        <v>3.5249999999999999</v>
      </c>
      <c r="T100" s="87" t="s">
        <v>1649</v>
      </c>
      <c r="U100" s="244">
        <v>0</v>
      </c>
      <c r="V100" s="87" t="s">
        <v>1649</v>
      </c>
    </row>
    <row r="101" spans="1:22" ht="13.5" thickBot="1" x14ac:dyDescent="0.25">
      <c r="A101" s="48" t="s">
        <v>400</v>
      </c>
      <c r="B101" s="258" t="s">
        <v>399</v>
      </c>
      <c r="C101" s="255" t="s">
        <v>17</v>
      </c>
      <c r="D101" s="244">
        <v>6997</v>
      </c>
      <c r="E101" s="244">
        <v>1</v>
      </c>
      <c r="F101" s="251">
        <v>40</v>
      </c>
      <c r="G101" s="251">
        <v>1</v>
      </c>
      <c r="H101" s="244">
        <v>0</v>
      </c>
      <c r="I101" s="253">
        <v>0</v>
      </c>
      <c r="J101" s="253">
        <v>0</v>
      </c>
      <c r="K101" s="244">
        <v>1</v>
      </c>
      <c r="L101" s="251">
        <v>40</v>
      </c>
      <c r="M101" s="251">
        <v>1</v>
      </c>
      <c r="N101" s="244">
        <v>12</v>
      </c>
      <c r="O101" s="251">
        <v>138</v>
      </c>
      <c r="P101" s="251">
        <v>3.45</v>
      </c>
      <c r="Q101" s="244">
        <v>13</v>
      </c>
      <c r="R101" s="251">
        <v>178</v>
      </c>
      <c r="S101" s="251">
        <v>4.45</v>
      </c>
      <c r="T101" s="87" t="s">
        <v>1648</v>
      </c>
      <c r="U101" s="244">
        <v>180</v>
      </c>
      <c r="V101" s="87" t="s">
        <v>1649</v>
      </c>
    </row>
    <row r="102" spans="1:22" ht="13.5" thickBot="1" x14ac:dyDescent="0.25">
      <c r="A102" s="48" t="s">
        <v>414</v>
      </c>
      <c r="B102" s="258" t="s">
        <v>413</v>
      </c>
      <c r="C102" s="255" t="s">
        <v>17</v>
      </c>
      <c r="D102" s="244">
        <v>4168</v>
      </c>
      <c r="E102" s="244">
        <v>0</v>
      </c>
      <c r="F102" s="251">
        <v>0</v>
      </c>
      <c r="G102" s="251">
        <v>0</v>
      </c>
      <c r="H102" s="244">
        <v>1</v>
      </c>
      <c r="I102" s="253">
        <v>36</v>
      </c>
      <c r="J102" s="253">
        <v>0.9</v>
      </c>
      <c r="K102" s="244">
        <v>1</v>
      </c>
      <c r="L102" s="251">
        <v>36</v>
      </c>
      <c r="M102" s="251">
        <v>0.9</v>
      </c>
      <c r="N102" s="244">
        <v>5</v>
      </c>
      <c r="O102" s="251">
        <v>110</v>
      </c>
      <c r="P102" s="251">
        <v>2.75</v>
      </c>
      <c r="Q102" s="244">
        <v>7</v>
      </c>
      <c r="R102" s="251">
        <v>146</v>
      </c>
      <c r="S102" s="251">
        <v>3.65</v>
      </c>
      <c r="T102" s="87" t="s">
        <v>1648</v>
      </c>
      <c r="U102" s="244">
        <v>60</v>
      </c>
      <c r="V102" s="87" t="s">
        <v>1649</v>
      </c>
    </row>
    <row r="103" spans="1:22" ht="13.5" thickBot="1" x14ac:dyDescent="0.25">
      <c r="A103" s="48" t="s">
        <v>427</v>
      </c>
      <c r="B103" s="258" t="s">
        <v>426</v>
      </c>
      <c r="C103" s="255" t="s">
        <v>17</v>
      </c>
      <c r="D103" s="244">
        <v>4934</v>
      </c>
      <c r="E103" s="244">
        <v>0</v>
      </c>
      <c r="F103" s="251">
        <v>0</v>
      </c>
      <c r="G103" s="251">
        <v>0</v>
      </c>
      <c r="H103" s="244">
        <v>6</v>
      </c>
      <c r="I103" s="253">
        <v>133</v>
      </c>
      <c r="J103" s="253">
        <v>3.3250000000000002</v>
      </c>
      <c r="K103" s="244">
        <v>6</v>
      </c>
      <c r="L103" s="251">
        <v>133</v>
      </c>
      <c r="M103" s="251">
        <v>3.3250000000000002</v>
      </c>
      <c r="N103" s="244">
        <v>2</v>
      </c>
      <c r="O103" s="251">
        <v>18</v>
      </c>
      <c r="P103" s="251">
        <v>0.45</v>
      </c>
      <c r="Q103" s="244">
        <v>8</v>
      </c>
      <c r="R103" s="251">
        <v>151</v>
      </c>
      <c r="S103" s="251">
        <v>3.7749999999999999</v>
      </c>
      <c r="T103" s="87" t="s">
        <v>1648</v>
      </c>
      <c r="U103" s="244">
        <v>570</v>
      </c>
      <c r="V103" s="87" t="s">
        <v>1649</v>
      </c>
    </row>
    <row r="104" spans="1:22" ht="13.5" thickBot="1" x14ac:dyDescent="0.25">
      <c r="A104" s="48" t="s">
        <v>429</v>
      </c>
      <c r="B104" s="258" t="s">
        <v>428</v>
      </c>
      <c r="C104" s="255" t="s">
        <v>17</v>
      </c>
      <c r="D104" s="244">
        <v>5857</v>
      </c>
      <c r="E104" s="244">
        <v>0</v>
      </c>
      <c r="F104" s="251">
        <v>0</v>
      </c>
      <c r="G104" s="251">
        <v>0</v>
      </c>
      <c r="H104" s="244">
        <v>3</v>
      </c>
      <c r="I104" s="253">
        <v>96</v>
      </c>
      <c r="J104" s="253">
        <v>2.4</v>
      </c>
      <c r="K104" s="244">
        <v>3</v>
      </c>
      <c r="L104" s="251">
        <v>96</v>
      </c>
      <c r="M104" s="251">
        <v>2.4</v>
      </c>
      <c r="N104" s="244">
        <v>1</v>
      </c>
      <c r="O104" s="251">
        <v>7</v>
      </c>
      <c r="P104" s="251">
        <v>0.17499999999999999</v>
      </c>
      <c r="Q104" s="244">
        <v>4</v>
      </c>
      <c r="R104" s="251">
        <v>103</v>
      </c>
      <c r="S104" s="251">
        <v>2.5750000000000002</v>
      </c>
      <c r="T104" s="87" t="s">
        <v>1648</v>
      </c>
      <c r="U104" s="244">
        <v>290</v>
      </c>
      <c r="V104" s="87" t="s">
        <v>1649</v>
      </c>
    </row>
    <row r="105" spans="1:22" ht="13.5" thickBot="1" x14ac:dyDescent="0.25">
      <c r="A105" s="48" t="s">
        <v>450</v>
      </c>
      <c r="B105" s="258" t="s">
        <v>449</v>
      </c>
      <c r="C105" s="255" t="s">
        <v>17</v>
      </c>
      <c r="D105" s="244">
        <v>4141</v>
      </c>
      <c r="E105" s="244">
        <v>0</v>
      </c>
      <c r="F105" s="251">
        <v>0</v>
      </c>
      <c r="G105" s="251">
        <v>0</v>
      </c>
      <c r="H105" s="244">
        <v>2</v>
      </c>
      <c r="I105" s="253">
        <v>35</v>
      </c>
      <c r="J105" s="253">
        <v>0.875</v>
      </c>
      <c r="K105" s="244">
        <v>2</v>
      </c>
      <c r="L105" s="251">
        <v>35</v>
      </c>
      <c r="M105" s="251">
        <v>0.875</v>
      </c>
      <c r="N105" s="244">
        <v>1</v>
      </c>
      <c r="O105" s="251">
        <v>12</v>
      </c>
      <c r="P105" s="251">
        <v>0.3</v>
      </c>
      <c r="Q105" s="244">
        <v>3</v>
      </c>
      <c r="R105" s="251">
        <v>47</v>
      </c>
      <c r="S105" s="251">
        <v>1.175</v>
      </c>
      <c r="T105" s="87" t="s">
        <v>1649</v>
      </c>
      <c r="U105" s="244">
        <v>0</v>
      </c>
      <c r="V105" s="87" t="s">
        <v>1649</v>
      </c>
    </row>
    <row r="106" spans="1:22" ht="13.5" thickBot="1" x14ac:dyDescent="0.25">
      <c r="A106" s="48" t="s">
        <v>456</v>
      </c>
      <c r="B106" s="258" t="s">
        <v>455</v>
      </c>
      <c r="C106" s="255" t="s">
        <v>17</v>
      </c>
      <c r="D106" s="244">
        <v>4197</v>
      </c>
      <c r="E106" s="244">
        <v>0</v>
      </c>
      <c r="F106" s="251">
        <v>0</v>
      </c>
      <c r="G106" s="251">
        <v>0</v>
      </c>
      <c r="H106" s="244">
        <v>1</v>
      </c>
      <c r="I106" s="253">
        <v>33</v>
      </c>
      <c r="J106" s="253">
        <v>0.82499999999999996</v>
      </c>
      <c r="K106" s="244">
        <v>1</v>
      </c>
      <c r="L106" s="251">
        <v>33</v>
      </c>
      <c r="M106" s="251">
        <v>0.82499999999999996</v>
      </c>
      <c r="N106" s="244">
        <v>3</v>
      </c>
      <c r="O106" s="251">
        <v>22</v>
      </c>
      <c r="P106" s="251">
        <v>0.55000000000000004</v>
      </c>
      <c r="Q106" s="244">
        <v>4</v>
      </c>
      <c r="R106" s="251">
        <v>55</v>
      </c>
      <c r="S106" s="251">
        <v>1.375</v>
      </c>
      <c r="T106" s="87" t="s">
        <v>1648</v>
      </c>
      <c r="U106" s="244">
        <v>592</v>
      </c>
      <c r="V106" s="87" t="s">
        <v>1649</v>
      </c>
    </row>
    <row r="107" spans="1:22" ht="13.5" thickBot="1" x14ac:dyDescent="0.25">
      <c r="A107" s="48" t="s">
        <v>462</v>
      </c>
      <c r="B107" s="258" t="s">
        <v>461</v>
      </c>
      <c r="C107" s="255" t="s">
        <v>17</v>
      </c>
      <c r="D107" s="244">
        <v>5068</v>
      </c>
      <c r="E107" s="244">
        <v>1</v>
      </c>
      <c r="F107" s="251">
        <v>36</v>
      </c>
      <c r="G107" s="251">
        <v>0.9</v>
      </c>
      <c r="H107" s="244">
        <v>4</v>
      </c>
      <c r="I107" s="253">
        <v>98</v>
      </c>
      <c r="J107" s="253">
        <v>2.4500000000000002</v>
      </c>
      <c r="K107" s="244">
        <v>5</v>
      </c>
      <c r="L107" s="251">
        <v>134</v>
      </c>
      <c r="M107" s="251">
        <v>3.35</v>
      </c>
      <c r="N107" s="244">
        <v>2</v>
      </c>
      <c r="O107" s="251">
        <v>28</v>
      </c>
      <c r="P107" s="251">
        <v>0.7</v>
      </c>
      <c r="Q107" s="244">
        <v>7</v>
      </c>
      <c r="R107" s="251">
        <v>162</v>
      </c>
      <c r="S107" s="251">
        <v>4.05</v>
      </c>
      <c r="T107" s="87" t="s">
        <v>1648</v>
      </c>
      <c r="U107" s="244">
        <v>671</v>
      </c>
      <c r="V107" s="87" t="s">
        <v>1649</v>
      </c>
    </row>
    <row r="108" spans="1:22" ht="13.5" thickBot="1" x14ac:dyDescent="0.25">
      <c r="A108" s="48" t="s">
        <v>466</v>
      </c>
      <c r="B108" s="258" t="s">
        <v>465</v>
      </c>
      <c r="C108" s="255" t="s">
        <v>17</v>
      </c>
      <c r="D108" s="244">
        <v>4968</v>
      </c>
      <c r="E108" s="244">
        <v>0</v>
      </c>
      <c r="F108" s="251">
        <v>0</v>
      </c>
      <c r="G108" s="251">
        <v>0</v>
      </c>
      <c r="H108" s="244">
        <v>1</v>
      </c>
      <c r="I108" s="253">
        <v>35</v>
      </c>
      <c r="J108" s="253">
        <v>0.875</v>
      </c>
      <c r="K108" s="244">
        <v>1</v>
      </c>
      <c r="L108" s="251">
        <v>35</v>
      </c>
      <c r="M108" s="251">
        <v>0.875</v>
      </c>
      <c r="N108" s="244">
        <v>1</v>
      </c>
      <c r="O108" s="251">
        <v>20</v>
      </c>
      <c r="P108" s="251">
        <v>0.5</v>
      </c>
      <c r="Q108" s="244">
        <v>2</v>
      </c>
      <c r="R108" s="251">
        <v>55</v>
      </c>
      <c r="S108" s="251">
        <v>1.375</v>
      </c>
      <c r="T108" s="87" t="s">
        <v>1649</v>
      </c>
      <c r="U108" s="244">
        <v>0</v>
      </c>
      <c r="V108" s="87" t="s">
        <v>1649</v>
      </c>
    </row>
    <row r="109" spans="1:22" ht="13.5" thickBot="1" x14ac:dyDescent="0.25">
      <c r="A109" s="48" t="s">
        <v>478</v>
      </c>
      <c r="B109" s="258" t="s">
        <v>477</v>
      </c>
      <c r="C109" s="255" t="s">
        <v>17</v>
      </c>
      <c r="D109" s="244">
        <v>4101</v>
      </c>
      <c r="E109" s="244">
        <v>0</v>
      </c>
      <c r="F109" s="251">
        <v>0</v>
      </c>
      <c r="G109" s="251">
        <v>0</v>
      </c>
      <c r="H109" s="244">
        <v>1</v>
      </c>
      <c r="I109" s="253">
        <v>60</v>
      </c>
      <c r="J109" s="253">
        <v>1.5</v>
      </c>
      <c r="K109" s="244">
        <v>1</v>
      </c>
      <c r="L109" s="252">
        <v>60</v>
      </c>
      <c r="M109" s="252">
        <v>1.5</v>
      </c>
      <c r="N109" s="244">
        <v>4</v>
      </c>
      <c r="O109" s="251">
        <v>60</v>
      </c>
      <c r="P109" s="251">
        <v>1.5</v>
      </c>
      <c r="Q109" s="244">
        <v>6</v>
      </c>
      <c r="R109" s="251">
        <v>120</v>
      </c>
      <c r="S109" s="251">
        <v>3</v>
      </c>
      <c r="T109" s="257" t="s">
        <v>1648</v>
      </c>
      <c r="U109" s="244">
        <v>243</v>
      </c>
      <c r="V109" s="87" t="s">
        <v>1649</v>
      </c>
    </row>
    <row r="110" spans="1:22" ht="13.5" thickBot="1" x14ac:dyDescent="0.25">
      <c r="A110" s="48" t="s">
        <v>480</v>
      </c>
      <c r="B110" s="258" t="s">
        <v>479</v>
      </c>
      <c r="C110" s="255" t="s">
        <v>17</v>
      </c>
      <c r="D110" s="244">
        <v>5241</v>
      </c>
      <c r="E110" s="244">
        <v>0</v>
      </c>
      <c r="F110" s="251">
        <v>0</v>
      </c>
      <c r="G110" s="251">
        <v>0</v>
      </c>
      <c r="H110" s="244">
        <v>4</v>
      </c>
      <c r="I110" s="253">
        <v>84</v>
      </c>
      <c r="J110" s="253">
        <v>2.1</v>
      </c>
      <c r="K110" s="244">
        <v>4</v>
      </c>
      <c r="L110" s="251">
        <v>84</v>
      </c>
      <c r="M110" s="251">
        <v>2.1</v>
      </c>
      <c r="N110" s="244">
        <v>0</v>
      </c>
      <c r="O110" s="251">
        <v>0</v>
      </c>
      <c r="P110" s="251">
        <v>0</v>
      </c>
      <c r="Q110" s="244">
        <v>4</v>
      </c>
      <c r="R110" s="251">
        <v>84</v>
      </c>
      <c r="S110" s="251">
        <v>2.1</v>
      </c>
      <c r="T110" s="87" t="s">
        <v>1649</v>
      </c>
      <c r="U110" s="244">
        <v>0</v>
      </c>
      <c r="V110" s="87" t="s">
        <v>1649</v>
      </c>
    </row>
    <row r="111" spans="1:22" ht="13.5" thickBot="1" x14ac:dyDescent="0.25">
      <c r="A111" s="48" t="s">
        <v>488</v>
      </c>
      <c r="B111" s="258" t="s">
        <v>487</v>
      </c>
      <c r="C111" s="255" t="s">
        <v>17</v>
      </c>
      <c r="D111" s="244">
        <v>5160</v>
      </c>
      <c r="E111" s="244">
        <v>0</v>
      </c>
      <c r="F111" s="251">
        <v>0</v>
      </c>
      <c r="G111" s="251">
        <v>0</v>
      </c>
      <c r="H111" s="244">
        <v>1</v>
      </c>
      <c r="I111" s="253">
        <v>40</v>
      </c>
      <c r="J111" s="253">
        <v>1</v>
      </c>
      <c r="K111" s="244">
        <v>1</v>
      </c>
      <c r="L111" s="251">
        <v>40</v>
      </c>
      <c r="M111" s="251">
        <v>1</v>
      </c>
      <c r="N111" s="244">
        <v>4</v>
      </c>
      <c r="O111" s="251">
        <v>74</v>
      </c>
      <c r="P111" s="251">
        <v>1.85</v>
      </c>
      <c r="Q111" s="244">
        <v>5</v>
      </c>
      <c r="R111" s="251">
        <v>114</v>
      </c>
      <c r="S111" s="251">
        <v>2.85</v>
      </c>
      <c r="T111" s="87" t="s">
        <v>1649</v>
      </c>
      <c r="U111" s="244">
        <v>0</v>
      </c>
      <c r="V111" s="87" t="s">
        <v>1649</v>
      </c>
    </row>
    <row r="112" spans="1:22" ht="13.5" thickBot="1" x14ac:dyDescent="0.25">
      <c r="A112" s="48" t="s">
        <v>490</v>
      </c>
      <c r="B112" s="258" t="s">
        <v>489</v>
      </c>
      <c r="C112" s="255" t="s">
        <v>17</v>
      </c>
      <c r="D112" s="244">
        <v>5841</v>
      </c>
      <c r="E112" s="244">
        <v>0</v>
      </c>
      <c r="F112" s="252">
        <v>0</v>
      </c>
      <c r="G112" s="252">
        <v>0</v>
      </c>
      <c r="H112" s="87">
        <v>1</v>
      </c>
      <c r="I112" s="253">
        <v>37.5</v>
      </c>
      <c r="J112" s="253">
        <v>0.9375</v>
      </c>
      <c r="K112" s="244">
        <v>1</v>
      </c>
      <c r="L112" s="251">
        <v>37.5</v>
      </c>
      <c r="M112" s="251">
        <v>0.9375</v>
      </c>
      <c r="N112" s="244">
        <v>5</v>
      </c>
      <c r="O112" s="251">
        <v>52</v>
      </c>
      <c r="P112" s="251">
        <v>1.3</v>
      </c>
      <c r="Q112" s="244">
        <v>6</v>
      </c>
      <c r="R112" s="251">
        <v>89.5</v>
      </c>
      <c r="S112" s="251">
        <v>2.2374999999999998</v>
      </c>
      <c r="T112" s="87" t="s">
        <v>1648</v>
      </c>
      <c r="U112" s="244">
        <v>604</v>
      </c>
      <c r="V112" s="87" t="s">
        <v>1649</v>
      </c>
    </row>
    <row r="113" spans="1:22" ht="13.5" thickBot="1" x14ac:dyDescent="0.25">
      <c r="A113" s="48" t="s">
        <v>494</v>
      </c>
      <c r="B113" s="258" t="s">
        <v>493</v>
      </c>
      <c r="C113" s="255" t="s">
        <v>17</v>
      </c>
      <c r="D113" s="244">
        <v>4730</v>
      </c>
      <c r="E113" s="87">
        <v>0</v>
      </c>
      <c r="F113" s="252">
        <v>0</v>
      </c>
      <c r="G113" s="252">
        <v>0</v>
      </c>
      <c r="H113" s="244">
        <v>1</v>
      </c>
      <c r="I113" s="253">
        <v>32</v>
      </c>
      <c r="J113" s="253">
        <v>0.8</v>
      </c>
      <c r="K113" s="244">
        <v>1</v>
      </c>
      <c r="L113" s="251">
        <v>32</v>
      </c>
      <c r="M113" s="251">
        <v>0.8</v>
      </c>
      <c r="N113" s="244">
        <v>3</v>
      </c>
      <c r="O113" s="251">
        <v>30</v>
      </c>
      <c r="P113" s="251">
        <v>0.75</v>
      </c>
      <c r="Q113" s="244">
        <v>4</v>
      </c>
      <c r="R113" s="251">
        <v>62</v>
      </c>
      <c r="S113" s="251">
        <v>1.55</v>
      </c>
      <c r="T113" s="87" t="s">
        <v>1648</v>
      </c>
      <c r="U113" s="244">
        <v>22</v>
      </c>
      <c r="V113" s="87" t="s">
        <v>1649</v>
      </c>
    </row>
    <row r="114" spans="1:22" ht="13.5" thickBot="1" x14ac:dyDescent="0.25">
      <c r="A114" s="48" t="s">
        <v>512</v>
      </c>
      <c r="B114" s="258" t="s">
        <v>511</v>
      </c>
      <c r="C114" s="255" t="s">
        <v>17</v>
      </c>
      <c r="D114" s="244">
        <v>5072</v>
      </c>
      <c r="E114" s="244">
        <v>0</v>
      </c>
      <c r="F114" s="251">
        <v>0</v>
      </c>
      <c r="G114" s="251">
        <v>0</v>
      </c>
      <c r="H114" s="244">
        <v>1</v>
      </c>
      <c r="I114" s="253">
        <v>40</v>
      </c>
      <c r="J114" s="253">
        <v>1</v>
      </c>
      <c r="K114" s="244">
        <v>1</v>
      </c>
      <c r="L114" s="251">
        <v>40</v>
      </c>
      <c r="M114" s="251">
        <v>1</v>
      </c>
      <c r="N114" s="244">
        <v>1</v>
      </c>
      <c r="O114" s="251">
        <v>77</v>
      </c>
      <c r="P114" s="251">
        <v>1.925</v>
      </c>
      <c r="Q114" s="244">
        <v>5</v>
      </c>
      <c r="R114" s="251">
        <v>117</v>
      </c>
      <c r="S114" s="251">
        <v>2.9249999999999998</v>
      </c>
      <c r="T114" s="87" t="s">
        <v>1648</v>
      </c>
      <c r="U114" s="244">
        <v>52</v>
      </c>
      <c r="V114" s="87" t="s">
        <v>1649</v>
      </c>
    </row>
    <row r="115" spans="1:22" ht="13.5" thickBot="1" x14ac:dyDescent="0.25">
      <c r="A115" s="48" t="s">
        <v>514</v>
      </c>
      <c r="B115" s="258" t="s">
        <v>513</v>
      </c>
      <c r="C115" s="255" t="s">
        <v>17</v>
      </c>
      <c r="D115" s="244">
        <v>6634</v>
      </c>
      <c r="E115" s="244">
        <v>1</v>
      </c>
      <c r="F115" s="251">
        <v>40</v>
      </c>
      <c r="G115" s="251">
        <v>1</v>
      </c>
      <c r="H115" s="244">
        <v>3</v>
      </c>
      <c r="I115" s="253">
        <v>69.5</v>
      </c>
      <c r="J115" s="253">
        <v>1.7375</v>
      </c>
      <c r="K115" s="244">
        <v>4</v>
      </c>
      <c r="L115" s="251">
        <v>109.5</v>
      </c>
      <c r="M115" s="251">
        <v>2.7374999999999998</v>
      </c>
      <c r="N115" s="244">
        <v>1</v>
      </c>
      <c r="O115" s="251">
        <v>37.5</v>
      </c>
      <c r="P115" s="251">
        <v>0.9375</v>
      </c>
      <c r="Q115" s="244">
        <v>5</v>
      </c>
      <c r="R115" s="251">
        <v>147</v>
      </c>
      <c r="S115" s="251">
        <v>3.6749999999999998</v>
      </c>
      <c r="T115" s="257" t="s">
        <v>1648</v>
      </c>
      <c r="U115" s="244">
        <v>480</v>
      </c>
      <c r="V115" s="87" t="s">
        <v>1649</v>
      </c>
    </row>
    <row r="116" spans="1:22" ht="13.5" thickBot="1" x14ac:dyDescent="0.25">
      <c r="A116" s="48" t="s">
        <v>526</v>
      </c>
      <c r="B116" s="258" t="s">
        <v>525</v>
      </c>
      <c r="C116" s="255" t="s">
        <v>17</v>
      </c>
      <c r="D116" s="244">
        <v>5302</v>
      </c>
      <c r="E116" s="244">
        <v>0</v>
      </c>
      <c r="F116" s="251">
        <v>0</v>
      </c>
      <c r="G116" s="251">
        <v>0</v>
      </c>
      <c r="H116" s="244">
        <v>3</v>
      </c>
      <c r="I116" s="253">
        <v>116</v>
      </c>
      <c r="J116" s="253">
        <v>2.9</v>
      </c>
      <c r="K116" s="244">
        <v>3</v>
      </c>
      <c r="L116" s="251">
        <v>116</v>
      </c>
      <c r="M116" s="251">
        <v>2.9</v>
      </c>
      <c r="N116" s="244">
        <v>11</v>
      </c>
      <c r="O116" s="251">
        <v>128</v>
      </c>
      <c r="P116" s="251">
        <v>3.2</v>
      </c>
      <c r="Q116" s="244">
        <v>14</v>
      </c>
      <c r="R116" s="251">
        <v>244</v>
      </c>
      <c r="S116" s="251">
        <v>6.1</v>
      </c>
      <c r="T116" s="87" t="s">
        <v>1648</v>
      </c>
      <c r="U116" s="244">
        <v>25</v>
      </c>
      <c r="V116" s="87" t="s">
        <v>1649</v>
      </c>
    </row>
    <row r="117" spans="1:22" ht="13.5" thickBot="1" x14ac:dyDescent="0.25">
      <c r="A117" s="48" t="s">
        <v>528</v>
      </c>
      <c r="B117" s="258" t="s">
        <v>527</v>
      </c>
      <c r="C117" s="255" t="s">
        <v>17</v>
      </c>
      <c r="D117" s="244">
        <v>6834</v>
      </c>
      <c r="E117" s="244">
        <v>0</v>
      </c>
      <c r="F117" s="251">
        <v>0</v>
      </c>
      <c r="G117" s="251">
        <v>0</v>
      </c>
      <c r="H117" s="244">
        <v>1</v>
      </c>
      <c r="I117" s="253">
        <v>40</v>
      </c>
      <c r="J117" s="253">
        <v>1</v>
      </c>
      <c r="K117" s="244">
        <v>1</v>
      </c>
      <c r="L117" s="251">
        <v>40</v>
      </c>
      <c r="M117" s="251">
        <v>1</v>
      </c>
      <c r="N117" s="244">
        <v>10</v>
      </c>
      <c r="O117" s="251">
        <v>180</v>
      </c>
      <c r="P117" s="251">
        <v>4.5</v>
      </c>
      <c r="Q117" s="244">
        <v>11</v>
      </c>
      <c r="R117" s="251">
        <v>220</v>
      </c>
      <c r="S117" s="251">
        <v>5.5</v>
      </c>
      <c r="T117" s="87" t="s">
        <v>1649</v>
      </c>
      <c r="U117" s="244">
        <v>0</v>
      </c>
      <c r="V117" s="87" t="s">
        <v>1649</v>
      </c>
    </row>
    <row r="118" spans="1:22" ht="13.5" thickBot="1" x14ac:dyDescent="0.25">
      <c r="A118" s="48" t="s">
        <v>532</v>
      </c>
      <c r="B118" s="258" t="s">
        <v>531</v>
      </c>
      <c r="C118" s="255" t="s">
        <v>17</v>
      </c>
      <c r="D118" s="244">
        <v>4469</v>
      </c>
      <c r="E118" s="244">
        <v>0</v>
      </c>
      <c r="F118" s="251">
        <v>0</v>
      </c>
      <c r="G118" s="251">
        <v>0</v>
      </c>
      <c r="H118" s="244">
        <v>1</v>
      </c>
      <c r="I118" s="253">
        <v>30</v>
      </c>
      <c r="J118" s="253">
        <v>0.75</v>
      </c>
      <c r="K118" s="244">
        <v>1</v>
      </c>
      <c r="L118" s="251">
        <v>30</v>
      </c>
      <c r="M118" s="251">
        <v>0.75</v>
      </c>
      <c r="N118" s="244">
        <v>1</v>
      </c>
      <c r="O118" s="251">
        <v>18</v>
      </c>
      <c r="P118" s="251">
        <v>0.45</v>
      </c>
      <c r="Q118" s="244">
        <v>2</v>
      </c>
      <c r="R118" s="251">
        <v>48</v>
      </c>
      <c r="S118" s="251">
        <v>1.2</v>
      </c>
      <c r="T118" s="257" t="s">
        <v>1648</v>
      </c>
      <c r="U118" s="244">
        <v>3</v>
      </c>
      <c r="V118" s="87" t="s">
        <v>1649</v>
      </c>
    </row>
    <row r="119" spans="1:22" ht="13.5" thickBot="1" x14ac:dyDescent="0.25">
      <c r="A119" s="48" t="s">
        <v>540</v>
      </c>
      <c r="B119" s="258" t="s">
        <v>539</v>
      </c>
      <c r="C119" s="255" t="s">
        <v>17</v>
      </c>
      <c r="D119" s="244">
        <v>6174</v>
      </c>
      <c r="E119" s="244">
        <v>0</v>
      </c>
      <c r="F119" s="251">
        <v>0</v>
      </c>
      <c r="G119" s="251">
        <v>0</v>
      </c>
      <c r="H119" s="244">
        <v>1</v>
      </c>
      <c r="I119" s="253">
        <v>24</v>
      </c>
      <c r="J119" s="253">
        <v>0.6</v>
      </c>
      <c r="K119" s="244">
        <v>1</v>
      </c>
      <c r="L119" s="251">
        <v>24</v>
      </c>
      <c r="M119" s="251">
        <v>0.6</v>
      </c>
      <c r="N119" s="244">
        <v>6</v>
      </c>
      <c r="O119" s="251">
        <v>106</v>
      </c>
      <c r="P119" s="251">
        <v>2.65</v>
      </c>
      <c r="Q119" s="244">
        <v>7</v>
      </c>
      <c r="R119" s="251">
        <v>130</v>
      </c>
      <c r="S119" s="251">
        <v>3.25</v>
      </c>
      <c r="T119" s="87" t="s">
        <v>1649</v>
      </c>
      <c r="U119" s="244">
        <v>0</v>
      </c>
      <c r="V119" s="87" t="s">
        <v>1649</v>
      </c>
    </row>
    <row r="120" spans="1:22" ht="13.5" thickBot="1" x14ac:dyDescent="0.25">
      <c r="A120" s="48" t="s">
        <v>560</v>
      </c>
      <c r="B120" s="258" t="s">
        <v>559</v>
      </c>
      <c r="C120" s="255" t="s">
        <v>17</v>
      </c>
      <c r="D120" s="244">
        <v>5305</v>
      </c>
      <c r="E120" s="244">
        <v>0</v>
      </c>
      <c r="F120" s="251">
        <v>0</v>
      </c>
      <c r="G120" s="251">
        <v>0</v>
      </c>
      <c r="H120" s="244">
        <v>0</v>
      </c>
      <c r="I120" s="253">
        <v>60</v>
      </c>
      <c r="J120" s="253">
        <v>1.5</v>
      </c>
      <c r="K120" s="244">
        <v>2</v>
      </c>
      <c r="L120" s="251">
        <v>60</v>
      </c>
      <c r="M120" s="251">
        <v>1.5</v>
      </c>
      <c r="N120" s="244">
        <v>5</v>
      </c>
      <c r="O120" s="251">
        <v>58</v>
      </c>
      <c r="P120" s="251">
        <v>1.45</v>
      </c>
      <c r="Q120" s="244">
        <v>7</v>
      </c>
      <c r="R120" s="251">
        <v>118</v>
      </c>
      <c r="S120" s="251">
        <v>2.95</v>
      </c>
      <c r="T120" s="87" t="s">
        <v>1649</v>
      </c>
      <c r="U120" s="244">
        <v>0</v>
      </c>
      <c r="V120" s="87" t="s">
        <v>1649</v>
      </c>
    </row>
    <row r="121" spans="1:22" ht="13.5" thickBot="1" x14ac:dyDescent="0.25">
      <c r="A121" s="48" t="s">
        <v>566</v>
      </c>
      <c r="B121" s="258" t="s">
        <v>565</v>
      </c>
      <c r="C121" s="255" t="s">
        <v>17</v>
      </c>
      <c r="D121" s="244">
        <v>6341</v>
      </c>
      <c r="E121" s="244">
        <v>0</v>
      </c>
      <c r="F121" s="251">
        <v>0</v>
      </c>
      <c r="G121" s="251">
        <v>0</v>
      </c>
      <c r="H121" s="244">
        <v>1</v>
      </c>
      <c r="I121" s="253">
        <v>40</v>
      </c>
      <c r="J121" s="253">
        <v>1</v>
      </c>
      <c r="K121" s="244">
        <v>1</v>
      </c>
      <c r="L121" s="252">
        <v>40</v>
      </c>
      <c r="M121" s="252">
        <v>1</v>
      </c>
      <c r="N121" s="244">
        <v>6</v>
      </c>
      <c r="O121" s="251">
        <v>120</v>
      </c>
      <c r="P121" s="251">
        <v>3</v>
      </c>
      <c r="Q121" s="244">
        <v>7</v>
      </c>
      <c r="R121" s="251">
        <v>160</v>
      </c>
      <c r="S121" s="251">
        <v>4</v>
      </c>
      <c r="T121" s="87" t="s">
        <v>1649</v>
      </c>
      <c r="U121" s="244">
        <v>0</v>
      </c>
      <c r="V121" s="87" t="s">
        <v>1649</v>
      </c>
    </row>
    <row r="122" spans="1:22" ht="13.5" thickBot="1" x14ac:dyDescent="0.25">
      <c r="A122" s="48" t="s">
        <v>572</v>
      </c>
      <c r="B122" s="258" t="s">
        <v>571</v>
      </c>
      <c r="C122" s="255" t="s">
        <v>17</v>
      </c>
      <c r="D122" s="244">
        <v>5433</v>
      </c>
      <c r="E122" s="244">
        <v>0</v>
      </c>
      <c r="F122" s="251">
        <v>0</v>
      </c>
      <c r="G122" s="251">
        <v>0</v>
      </c>
      <c r="H122" s="244">
        <v>11</v>
      </c>
      <c r="I122" s="253">
        <v>105</v>
      </c>
      <c r="J122" s="253">
        <v>2.625</v>
      </c>
      <c r="K122" s="244">
        <v>11</v>
      </c>
      <c r="L122" s="251">
        <v>105</v>
      </c>
      <c r="M122" s="251">
        <v>2.625</v>
      </c>
      <c r="N122" s="244">
        <v>0</v>
      </c>
      <c r="O122" s="251">
        <v>0</v>
      </c>
      <c r="P122" s="251">
        <v>0</v>
      </c>
      <c r="Q122" s="244">
        <v>11</v>
      </c>
      <c r="R122" s="251">
        <v>105</v>
      </c>
      <c r="S122" s="251">
        <v>2.625</v>
      </c>
      <c r="T122" s="87" t="s">
        <v>1648</v>
      </c>
      <c r="U122" s="244">
        <v>1188</v>
      </c>
      <c r="V122" s="87" t="s">
        <v>1649</v>
      </c>
    </row>
    <row r="123" spans="1:22" ht="13.5" thickBot="1" x14ac:dyDescent="0.25">
      <c r="A123" s="48" t="s">
        <v>582</v>
      </c>
      <c r="B123" s="258" t="s">
        <v>581</v>
      </c>
      <c r="C123" s="255" t="s">
        <v>17</v>
      </c>
      <c r="D123" s="244">
        <v>6654</v>
      </c>
      <c r="E123" s="244">
        <v>0</v>
      </c>
      <c r="F123" s="251">
        <v>0</v>
      </c>
      <c r="G123" s="251">
        <v>0</v>
      </c>
      <c r="H123" s="244">
        <v>1</v>
      </c>
      <c r="I123" s="253">
        <v>40</v>
      </c>
      <c r="J123" s="253">
        <v>1</v>
      </c>
      <c r="K123" s="244">
        <v>1</v>
      </c>
      <c r="L123" s="251">
        <v>40</v>
      </c>
      <c r="M123" s="251">
        <v>1</v>
      </c>
      <c r="N123" s="244">
        <v>7</v>
      </c>
      <c r="O123" s="251">
        <v>159</v>
      </c>
      <c r="P123" s="251">
        <v>3.9750000000000001</v>
      </c>
      <c r="Q123" s="244">
        <v>8</v>
      </c>
      <c r="R123" s="251">
        <v>199</v>
      </c>
      <c r="S123" s="251">
        <v>4.9749999999999996</v>
      </c>
      <c r="T123" s="87" t="s">
        <v>1648</v>
      </c>
      <c r="U123" s="244">
        <v>425</v>
      </c>
      <c r="V123" s="87" t="s">
        <v>1649</v>
      </c>
    </row>
    <row r="124" spans="1:22" ht="13.5" thickBot="1" x14ac:dyDescent="0.25">
      <c r="A124" s="48" t="s">
        <v>586</v>
      </c>
      <c r="B124" s="258" t="s">
        <v>585</v>
      </c>
      <c r="C124" s="255" t="s">
        <v>17</v>
      </c>
      <c r="D124" s="244">
        <v>4105</v>
      </c>
      <c r="E124" s="244">
        <v>0</v>
      </c>
      <c r="F124" s="251">
        <v>0</v>
      </c>
      <c r="G124" s="251">
        <v>0</v>
      </c>
      <c r="H124" s="244">
        <v>1</v>
      </c>
      <c r="I124" s="253">
        <v>28</v>
      </c>
      <c r="J124" s="253">
        <v>0.7</v>
      </c>
      <c r="K124" s="244">
        <v>1</v>
      </c>
      <c r="L124" s="251">
        <v>28</v>
      </c>
      <c r="M124" s="251">
        <v>0.7</v>
      </c>
      <c r="N124" s="244">
        <v>3</v>
      </c>
      <c r="O124" s="251">
        <v>10</v>
      </c>
      <c r="P124" s="251">
        <v>0.25</v>
      </c>
      <c r="Q124" s="244">
        <v>4</v>
      </c>
      <c r="R124" s="251">
        <v>38</v>
      </c>
      <c r="S124" s="251">
        <v>0.95</v>
      </c>
      <c r="T124" s="87" t="s">
        <v>1648</v>
      </c>
      <c r="U124" s="244">
        <v>448</v>
      </c>
      <c r="V124" s="87" t="s">
        <v>1649</v>
      </c>
    </row>
    <row r="125" spans="1:22" ht="13.5" thickBot="1" x14ac:dyDescent="0.25">
      <c r="A125" s="48" t="s">
        <v>592</v>
      </c>
      <c r="B125" s="258" t="s">
        <v>591</v>
      </c>
      <c r="C125" s="255" t="s">
        <v>17</v>
      </c>
      <c r="D125" s="244">
        <v>5033</v>
      </c>
      <c r="E125" s="244">
        <v>0</v>
      </c>
      <c r="F125" s="251">
        <v>0</v>
      </c>
      <c r="G125" s="251">
        <v>0</v>
      </c>
      <c r="H125" s="244">
        <v>1</v>
      </c>
      <c r="I125" s="253">
        <v>10</v>
      </c>
      <c r="J125" s="253">
        <v>0.25</v>
      </c>
      <c r="K125" s="244">
        <v>1</v>
      </c>
      <c r="L125" s="251">
        <v>39</v>
      </c>
      <c r="M125" s="251">
        <v>0.97499999999999998</v>
      </c>
      <c r="N125" s="244">
        <v>3</v>
      </c>
      <c r="O125" s="251">
        <v>14</v>
      </c>
      <c r="P125" s="251">
        <v>0.35</v>
      </c>
      <c r="Q125" s="244">
        <v>4</v>
      </c>
      <c r="R125" s="251">
        <v>53</v>
      </c>
      <c r="S125" s="251">
        <v>1.325</v>
      </c>
      <c r="T125" s="87" t="s">
        <v>1648</v>
      </c>
      <c r="U125" s="244">
        <v>228</v>
      </c>
      <c r="V125" s="87" t="s">
        <v>1649</v>
      </c>
    </row>
    <row r="126" spans="1:22" ht="13.5" thickBot="1" x14ac:dyDescent="0.25">
      <c r="A126" s="48" t="s">
        <v>600</v>
      </c>
      <c r="B126" s="258" t="s">
        <v>599</v>
      </c>
      <c r="C126" s="255" t="s">
        <v>17</v>
      </c>
      <c r="D126" s="244">
        <v>5413</v>
      </c>
      <c r="E126" s="244">
        <v>0</v>
      </c>
      <c r="F126" s="251">
        <v>0</v>
      </c>
      <c r="G126" s="251">
        <v>0</v>
      </c>
      <c r="H126" s="244">
        <v>1</v>
      </c>
      <c r="I126" s="253">
        <v>27</v>
      </c>
      <c r="J126" s="253">
        <v>0.67500000000000004</v>
      </c>
      <c r="K126" s="244">
        <v>1</v>
      </c>
      <c r="L126" s="251">
        <v>27</v>
      </c>
      <c r="M126" s="251">
        <v>0.67500000000000004</v>
      </c>
      <c r="N126" s="244">
        <v>2</v>
      </c>
      <c r="O126" s="251">
        <v>46</v>
      </c>
      <c r="P126" s="251">
        <v>1.1499999999999999</v>
      </c>
      <c r="Q126" s="244">
        <v>3</v>
      </c>
      <c r="R126" s="251">
        <v>73</v>
      </c>
      <c r="S126" s="251">
        <v>1.825</v>
      </c>
      <c r="T126" s="87" t="s">
        <v>1648</v>
      </c>
      <c r="U126" s="244">
        <v>363</v>
      </c>
      <c r="V126" s="87" t="s">
        <v>1649</v>
      </c>
    </row>
    <row r="127" spans="1:22" ht="13.5" thickBot="1" x14ac:dyDescent="0.25">
      <c r="A127" s="48" t="s">
        <v>606</v>
      </c>
      <c r="B127" s="258" t="s">
        <v>605</v>
      </c>
      <c r="C127" s="255" t="s">
        <v>17</v>
      </c>
      <c r="D127" s="244">
        <v>6847</v>
      </c>
      <c r="E127" s="244">
        <v>0</v>
      </c>
      <c r="F127" s="251">
        <v>0</v>
      </c>
      <c r="G127" s="251">
        <v>0</v>
      </c>
      <c r="H127" s="244">
        <v>1</v>
      </c>
      <c r="I127" s="253">
        <v>31</v>
      </c>
      <c r="J127" s="253">
        <v>0.77500000000000002</v>
      </c>
      <c r="K127" s="244">
        <v>1</v>
      </c>
      <c r="L127" s="251">
        <v>31</v>
      </c>
      <c r="M127" s="251">
        <v>0.77500000000000002</v>
      </c>
      <c r="N127" s="244">
        <v>6</v>
      </c>
      <c r="O127" s="251">
        <v>62</v>
      </c>
      <c r="P127" s="251">
        <v>1.55</v>
      </c>
      <c r="Q127" s="244">
        <v>7</v>
      </c>
      <c r="R127" s="251">
        <v>93</v>
      </c>
      <c r="S127" s="251">
        <v>2.3250000000000002</v>
      </c>
      <c r="T127" s="87" t="s">
        <v>1649</v>
      </c>
      <c r="U127" s="244">
        <v>0</v>
      </c>
      <c r="V127" s="87" t="s">
        <v>1649</v>
      </c>
    </row>
    <row r="128" spans="1:22" ht="13.5" thickBot="1" x14ac:dyDescent="0.25">
      <c r="A128" s="48" t="s">
        <v>608</v>
      </c>
      <c r="B128" s="258" t="s">
        <v>607</v>
      </c>
      <c r="C128" s="255" t="s">
        <v>17</v>
      </c>
      <c r="D128" s="244">
        <v>6240</v>
      </c>
      <c r="E128" s="244">
        <v>0</v>
      </c>
      <c r="F128" s="251">
        <v>0</v>
      </c>
      <c r="G128" s="251">
        <v>0</v>
      </c>
      <c r="H128" s="244">
        <v>2</v>
      </c>
      <c r="I128" s="253">
        <v>85</v>
      </c>
      <c r="J128" s="253">
        <v>2.125</v>
      </c>
      <c r="K128" s="244">
        <v>2</v>
      </c>
      <c r="L128" s="251">
        <v>85</v>
      </c>
      <c r="M128" s="251">
        <v>2.125</v>
      </c>
      <c r="N128" s="244">
        <v>2</v>
      </c>
      <c r="O128" s="251">
        <v>30</v>
      </c>
      <c r="P128" s="251">
        <v>0.75</v>
      </c>
      <c r="Q128" s="244">
        <v>4</v>
      </c>
      <c r="R128" s="251">
        <v>115</v>
      </c>
      <c r="S128" s="251">
        <v>2.875</v>
      </c>
      <c r="T128" s="87" t="s">
        <v>1648</v>
      </c>
      <c r="U128" s="244">
        <v>380</v>
      </c>
      <c r="V128" s="87" t="s">
        <v>1649</v>
      </c>
    </row>
    <row r="129" spans="1:22" ht="13.5" thickBot="1" x14ac:dyDescent="0.25">
      <c r="A129" s="48" t="s">
        <v>614</v>
      </c>
      <c r="B129" s="258" t="s">
        <v>613</v>
      </c>
      <c r="C129" s="255" t="s">
        <v>17</v>
      </c>
      <c r="D129" s="244">
        <v>5376</v>
      </c>
      <c r="E129" s="87">
        <v>0</v>
      </c>
      <c r="F129" s="252">
        <v>0</v>
      </c>
      <c r="G129" s="252">
        <v>0</v>
      </c>
      <c r="H129" s="244">
        <v>1</v>
      </c>
      <c r="I129" s="253">
        <v>33</v>
      </c>
      <c r="J129" s="253">
        <v>0.82499999999999996</v>
      </c>
      <c r="K129" s="244">
        <v>1</v>
      </c>
      <c r="L129" s="251">
        <v>33</v>
      </c>
      <c r="M129" s="251">
        <v>0.82499999999999996</v>
      </c>
      <c r="N129" s="244">
        <v>3</v>
      </c>
      <c r="O129" s="251">
        <v>27</v>
      </c>
      <c r="P129" s="251">
        <v>0.67500000000000004</v>
      </c>
      <c r="Q129" s="244">
        <v>4</v>
      </c>
      <c r="R129" s="251">
        <v>60</v>
      </c>
      <c r="S129" s="251">
        <v>1.5</v>
      </c>
      <c r="T129" s="87" t="s">
        <v>1648</v>
      </c>
      <c r="U129" s="244">
        <v>324</v>
      </c>
      <c r="V129" s="87" t="s">
        <v>1649</v>
      </c>
    </row>
    <row r="130" spans="1:22" ht="13.5" thickBot="1" x14ac:dyDescent="0.25">
      <c r="A130" s="48" t="s">
        <v>620</v>
      </c>
      <c r="B130" s="258" t="s">
        <v>619</v>
      </c>
      <c r="C130" s="255" t="s">
        <v>17</v>
      </c>
      <c r="D130" s="244">
        <v>5523</v>
      </c>
      <c r="E130" s="244">
        <v>1</v>
      </c>
      <c r="F130" s="251">
        <v>35</v>
      </c>
      <c r="G130" s="251">
        <v>0.875</v>
      </c>
      <c r="H130" s="244">
        <v>4</v>
      </c>
      <c r="I130" s="253">
        <v>88</v>
      </c>
      <c r="J130" s="253">
        <v>2.2000000000000002</v>
      </c>
      <c r="K130" s="244">
        <v>5</v>
      </c>
      <c r="L130" s="251">
        <v>88</v>
      </c>
      <c r="M130" s="251">
        <v>2.2000000000000002</v>
      </c>
      <c r="N130" s="244">
        <v>0</v>
      </c>
      <c r="O130" s="251">
        <v>0</v>
      </c>
      <c r="P130" s="251">
        <v>0</v>
      </c>
      <c r="Q130" s="244">
        <v>5</v>
      </c>
      <c r="R130" s="251">
        <v>88</v>
      </c>
      <c r="S130" s="251">
        <v>2.2000000000000002</v>
      </c>
      <c r="T130" s="87" t="s">
        <v>1649</v>
      </c>
      <c r="U130" s="244">
        <v>0</v>
      </c>
      <c r="V130" s="87" t="s">
        <v>1649</v>
      </c>
    </row>
    <row r="131" spans="1:22" ht="13.5" thickBot="1" x14ac:dyDescent="0.25">
      <c r="A131" s="48" t="s">
        <v>632</v>
      </c>
      <c r="B131" s="258" t="s">
        <v>631</v>
      </c>
      <c r="C131" s="255" t="s">
        <v>17</v>
      </c>
      <c r="D131" s="244">
        <v>4659</v>
      </c>
      <c r="E131" s="244">
        <v>0</v>
      </c>
      <c r="F131" s="251">
        <v>0</v>
      </c>
      <c r="G131" s="251">
        <v>0</v>
      </c>
      <c r="H131" s="244">
        <v>1</v>
      </c>
      <c r="I131" s="253">
        <v>40</v>
      </c>
      <c r="J131" s="253">
        <v>1</v>
      </c>
      <c r="K131" s="244">
        <v>1</v>
      </c>
      <c r="L131" s="251">
        <v>40</v>
      </c>
      <c r="M131" s="251">
        <v>1</v>
      </c>
      <c r="N131" s="244">
        <v>4</v>
      </c>
      <c r="O131" s="251">
        <v>80</v>
      </c>
      <c r="P131" s="251">
        <v>2</v>
      </c>
      <c r="Q131" s="244">
        <v>5</v>
      </c>
      <c r="R131" s="251">
        <v>120</v>
      </c>
      <c r="S131" s="251">
        <v>3</v>
      </c>
      <c r="T131" s="87" t="s">
        <v>1649</v>
      </c>
      <c r="U131" s="244">
        <v>0</v>
      </c>
      <c r="V131" s="87" t="s">
        <v>1649</v>
      </c>
    </row>
    <row r="132" spans="1:22" ht="13.5" thickBot="1" x14ac:dyDescent="0.25">
      <c r="A132" s="48" t="s">
        <v>644</v>
      </c>
      <c r="B132" s="258" t="s">
        <v>643</v>
      </c>
      <c r="C132" s="255" t="s">
        <v>17</v>
      </c>
      <c r="D132" s="244">
        <v>6295</v>
      </c>
      <c r="E132" s="244">
        <v>1</v>
      </c>
      <c r="F132" s="251">
        <v>40</v>
      </c>
      <c r="G132" s="251">
        <v>1</v>
      </c>
      <c r="H132" s="244">
        <v>0</v>
      </c>
      <c r="I132" s="253">
        <v>0</v>
      </c>
      <c r="J132" s="253">
        <v>0</v>
      </c>
      <c r="K132" s="244">
        <v>1</v>
      </c>
      <c r="L132" s="251">
        <v>40</v>
      </c>
      <c r="M132" s="251">
        <v>1</v>
      </c>
      <c r="N132" s="244">
        <v>6</v>
      </c>
      <c r="O132" s="251">
        <v>172</v>
      </c>
      <c r="P132" s="251">
        <v>4.3</v>
      </c>
      <c r="Q132" s="244">
        <v>7</v>
      </c>
      <c r="R132" s="251">
        <v>212</v>
      </c>
      <c r="S132" s="251">
        <v>5.3</v>
      </c>
      <c r="T132" s="257" t="s">
        <v>1648</v>
      </c>
      <c r="U132" s="244">
        <v>14</v>
      </c>
      <c r="V132" s="87" t="s">
        <v>1649</v>
      </c>
    </row>
    <row r="133" spans="1:22" ht="13.5" thickBot="1" x14ac:dyDescent="0.25">
      <c r="A133" s="48" t="s">
        <v>658</v>
      </c>
      <c r="B133" s="258" t="s">
        <v>657</v>
      </c>
      <c r="C133" s="255" t="s">
        <v>17</v>
      </c>
      <c r="D133" s="244">
        <v>4434</v>
      </c>
      <c r="E133" s="244">
        <v>0</v>
      </c>
      <c r="F133" s="251">
        <v>0</v>
      </c>
      <c r="G133" s="251">
        <v>0</v>
      </c>
      <c r="H133" s="87">
        <v>1</v>
      </c>
      <c r="I133" s="253">
        <v>45</v>
      </c>
      <c r="J133" s="253">
        <v>1.125</v>
      </c>
      <c r="K133" s="244">
        <v>1</v>
      </c>
      <c r="L133" s="251">
        <v>45</v>
      </c>
      <c r="M133" s="251">
        <v>1.125</v>
      </c>
      <c r="N133" s="244">
        <v>3</v>
      </c>
      <c r="O133" s="251">
        <v>44</v>
      </c>
      <c r="P133" s="251">
        <v>1.1000000000000001</v>
      </c>
      <c r="Q133" s="244">
        <v>4</v>
      </c>
      <c r="R133" s="251">
        <v>89</v>
      </c>
      <c r="S133" s="251">
        <v>2.2250000000000001</v>
      </c>
      <c r="T133" s="87" t="s">
        <v>1648</v>
      </c>
      <c r="U133" s="244">
        <v>105</v>
      </c>
      <c r="V133" s="87" t="s">
        <v>1649</v>
      </c>
    </row>
    <row r="134" spans="1:22" ht="13.5" thickBot="1" x14ac:dyDescent="0.25">
      <c r="A134" s="48" t="s">
        <v>668</v>
      </c>
      <c r="B134" s="258" t="s">
        <v>667</v>
      </c>
      <c r="C134" s="255" t="s">
        <v>17</v>
      </c>
      <c r="D134" s="244">
        <v>4375</v>
      </c>
      <c r="E134" s="244">
        <v>1</v>
      </c>
      <c r="F134" s="251">
        <v>34</v>
      </c>
      <c r="G134" s="251">
        <v>0.85</v>
      </c>
      <c r="H134" s="244">
        <v>1</v>
      </c>
      <c r="I134" s="253">
        <v>40</v>
      </c>
      <c r="J134" s="253">
        <v>1</v>
      </c>
      <c r="K134" s="244">
        <v>2</v>
      </c>
      <c r="L134" s="251">
        <v>74</v>
      </c>
      <c r="M134" s="251">
        <v>1.85</v>
      </c>
      <c r="N134" s="244">
        <v>4</v>
      </c>
      <c r="O134" s="251">
        <v>59.5</v>
      </c>
      <c r="P134" s="251">
        <v>1.4875</v>
      </c>
      <c r="Q134" s="244">
        <v>6</v>
      </c>
      <c r="R134" s="251">
        <v>133.5</v>
      </c>
      <c r="S134" s="251">
        <v>3.3374999999999999</v>
      </c>
      <c r="T134" s="257" t="s">
        <v>1648</v>
      </c>
      <c r="U134" s="244">
        <v>210</v>
      </c>
      <c r="V134" s="87" t="s">
        <v>1649</v>
      </c>
    </row>
    <row r="135" spans="1:22" ht="13.5" thickBot="1" x14ac:dyDescent="0.25">
      <c r="A135" s="48" t="s">
        <v>672</v>
      </c>
      <c r="B135" s="258" t="s">
        <v>671</v>
      </c>
      <c r="C135" s="255" t="s">
        <v>17</v>
      </c>
      <c r="D135" s="244">
        <v>5101</v>
      </c>
      <c r="E135" s="244">
        <v>1</v>
      </c>
      <c r="F135" s="251">
        <v>35</v>
      </c>
      <c r="G135" s="251">
        <v>0.875</v>
      </c>
      <c r="H135" s="244">
        <v>0</v>
      </c>
      <c r="I135" s="253">
        <v>0</v>
      </c>
      <c r="J135" s="253">
        <v>0</v>
      </c>
      <c r="K135" s="244">
        <v>1</v>
      </c>
      <c r="L135" s="251">
        <v>35</v>
      </c>
      <c r="M135" s="251">
        <v>0.875</v>
      </c>
      <c r="N135" s="244">
        <v>8</v>
      </c>
      <c r="O135" s="251">
        <v>112</v>
      </c>
      <c r="P135" s="251">
        <v>2.8</v>
      </c>
      <c r="Q135" s="244">
        <v>9</v>
      </c>
      <c r="R135" s="251">
        <v>147</v>
      </c>
      <c r="S135" s="251">
        <v>3.6749999999999998</v>
      </c>
      <c r="T135" s="87" t="s">
        <v>1648</v>
      </c>
      <c r="U135" s="244">
        <v>2100</v>
      </c>
      <c r="V135" s="87" t="s">
        <v>1649</v>
      </c>
    </row>
    <row r="136" spans="1:22" ht="13.5" thickBot="1" x14ac:dyDescent="0.25">
      <c r="A136" s="48" t="s">
        <v>678</v>
      </c>
      <c r="B136" s="258" t="s">
        <v>677</v>
      </c>
      <c r="C136" s="255" t="s">
        <v>17</v>
      </c>
      <c r="D136" s="244">
        <v>4038</v>
      </c>
      <c r="E136" s="244">
        <v>0</v>
      </c>
      <c r="F136" s="251">
        <v>0</v>
      </c>
      <c r="G136" s="251">
        <v>0</v>
      </c>
      <c r="H136" s="244">
        <v>1</v>
      </c>
      <c r="I136" s="253">
        <v>35</v>
      </c>
      <c r="J136" s="253">
        <v>0.875</v>
      </c>
      <c r="K136" s="244">
        <v>1</v>
      </c>
      <c r="L136" s="251">
        <v>35</v>
      </c>
      <c r="M136" s="251">
        <v>0.875</v>
      </c>
      <c r="N136" s="244">
        <v>4</v>
      </c>
      <c r="O136" s="251">
        <v>39</v>
      </c>
      <c r="P136" s="251">
        <v>0.97499999999999998</v>
      </c>
      <c r="Q136" s="244">
        <v>5</v>
      </c>
      <c r="R136" s="251">
        <v>74</v>
      </c>
      <c r="S136" s="251">
        <v>1.85</v>
      </c>
      <c r="T136" s="87" t="s">
        <v>1649</v>
      </c>
      <c r="U136" s="244">
        <v>0</v>
      </c>
      <c r="V136" s="87" t="s">
        <v>1649</v>
      </c>
    </row>
    <row r="137" spans="1:22" ht="13.5" thickBot="1" x14ac:dyDescent="0.25">
      <c r="A137" s="48" t="s">
        <v>686</v>
      </c>
      <c r="B137" s="258" t="s">
        <v>685</v>
      </c>
      <c r="C137" s="255" t="s">
        <v>17</v>
      </c>
      <c r="D137" s="244">
        <v>5635</v>
      </c>
      <c r="E137" s="244">
        <v>0</v>
      </c>
      <c r="F137" s="252">
        <v>0</v>
      </c>
      <c r="G137" s="252">
        <v>0</v>
      </c>
      <c r="H137" s="244">
        <v>1</v>
      </c>
      <c r="I137" s="253">
        <v>40</v>
      </c>
      <c r="J137" s="253">
        <v>1</v>
      </c>
      <c r="K137" s="244">
        <v>1</v>
      </c>
      <c r="L137" s="251">
        <v>40</v>
      </c>
      <c r="M137" s="251">
        <v>1</v>
      </c>
      <c r="N137" s="244">
        <v>3</v>
      </c>
      <c r="O137" s="251">
        <v>38</v>
      </c>
      <c r="P137" s="251">
        <v>0.95</v>
      </c>
      <c r="Q137" s="244">
        <v>4</v>
      </c>
      <c r="R137" s="251">
        <v>78</v>
      </c>
      <c r="S137" s="251">
        <v>1.95</v>
      </c>
      <c r="T137" s="87" t="s">
        <v>1648</v>
      </c>
      <c r="U137" s="244">
        <v>76</v>
      </c>
      <c r="V137" s="87" t="s">
        <v>1649</v>
      </c>
    </row>
    <row r="138" spans="1:22" ht="13.5" thickBot="1" x14ac:dyDescent="0.25">
      <c r="A138" s="48" t="s">
        <v>708</v>
      </c>
      <c r="B138" s="258" t="s">
        <v>707</v>
      </c>
      <c r="C138" s="255" t="s">
        <v>17</v>
      </c>
      <c r="D138" s="244">
        <v>4046</v>
      </c>
      <c r="E138" s="244">
        <v>1</v>
      </c>
      <c r="F138" s="251">
        <v>9.9</v>
      </c>
      <c r="G138" s="251">
        <v>0.2475</v>
      </c>
      <c r="H138" s="244">
        <v>3</v>
      </c>
      <c r="I138" s="253">
        <v>69.31</v>
      </c>
      <c r="J138" s="253">
        <v>1.73275</v>
      </c>
      <c r="K138" s="244">
        <v>3</v>
      </c>
      <c r="L138" s="251">
        <v>69.31</v>
      </c>
      <c r="M138" s="251">
        <v>1.73275</v>
      </c>
      <c r="N138" s="244">
        <v>2</v>
      </c>
      <c r="O138" s="251">
        <v>21.33</v>
      </c>
      <c r="P138" s="251">
        <v>0.53325</v>
      </c>
      <c r="Q138" s="244">
        <v>5</v>
      </c>
      <c r="R138" s="251">
        <v>90.64</v>
      </c>
      <c r="S138" s="251">
        <v>2.266</v>
      </c>
      <c r="T138" s="87" t="s">
        <v>1649</v>
      </c>
      <c r="U138" s="244">
        <v>0</v>
      </c>
      <c r="V138" s="87" t="s">
        <v>1649</v>
      </c>
    </row>
    <row r="139" spans="1:22" ht="13.5" thickBot="1" x14ac:dyDescent="0.25">
      <c r="A139" s="48" t="s">
        <v>720</v>
      </c>
      <c r="B139" s="258" t="s">
        <v>719</v>
      </c>
      <c r="C139" s="255" t="s">
        <v>17</v>
      </c>
      <c r="D139" s="244">
        <v>5479</v>
      </c>
      <c r="E139" s="244">
        <v>1</v>
      </c>
      <c r="F139" s="251">
        <v>40</v>
      </c>
      <c r="G139" s="251">
        <v>1</v>
      </c>
      <c r="H139" s="244">
        <v>0</v>
      </c>
      <c r="I139" s="253">
        <v>0</v>
      </c>
      <c r="J139" s="253">
        <v>0</v>
      </c>
      <c r="K139" s="244">
        <v>1</v>
      </c>
      <c r="L139" s="251">
        <v>40</v>
      </c>
      <c r="M139" s="251">
        <v>1</v>
      </c>
      <c r="N139" s="244">
        <v>5</v>
      </c>
      <c r="O139" s="251">
        <v>61</v>
      </c>
      <c r="P139" s="251">
        <v>1.5249999999999999</v>
      </c>
      <c r="Q139" s="244">
        <v>6</v>
      </c>
      <c r="R139" s="251">
        <v>101</v>
      </c>
      <c r="S139" s="251">
        <v>2.5249999999999999</v>
      </c>
      <c r="T139" s="87" t="s">
        <v>1648</v>
      </c>
      <c r="U139" s="244">
        <v>408</v>
      </c>
      <c r="V139" s="87" t="s">
        <v>1649</v>
      </c>
    </row>
    <row r="140" spans="1:22" ht="13.5" thickBot="1" x14ac:dyDescent="0.25">
      <c r="A140" s="48" t="s">
        <v>728</v>
      </c>
      <c r="B140" s="258" t="s">
        <v>727</v>
      </c>
      <c r="C140" s="255" t="s">
        <v>17</v>
      </c>
      <c r="D140" s="244">
        <v>6680</v>
      </c>
      <c r="E140" s="244">
        <v>0</v>
      </c>
      <c r="F140" s="251">
        <v>0</v>
      </c>
      <c r="G140" s="251">
        <v>0</v>
      </c>
      <c r="H140" s="244">
        <v>1</v>
      </c>
      <c r="I140" s="253">
        <v>35</v>
      </c>
      <c r="J140" s="253">
        <v>0.875</v>
      </c>
      <c r="K140" s="244">
        <v>1</v>
      </c>
      <c r="L140" s="251">
        <v>35</v>
      </c>
      <c r="M140" s="251">
        <v>0.875</v>
      </c>
      <c r="N140" s="244">
        <v>1</v>
      </c>
      <c r="O140" s="251">
        <v>22</v>
      </c>
      <c r="P140" s="251">
        <v>0.55000000000000004</v>
      </c>
      <c r="Q140" s="244">
        <v>2</v>
      </c>
      <c r="R140" s="251">
        <v>57</v>
      </c>
      <c r="S140" s="251">
        <v>1.425</v>
      </c>
      <c r="T140" s="87" t="s">
        <v>1648</v>
      </c>
      <c r="U140" s="244">
        <v>22</v>
      </c>
      <c r="V140" s="87" t="s">
        <v>1649</v>
      </c>
    </row>
    <row r="141" spans="1:22" ht="13.5" thickBot="1" x14ac:dyDescent="0.25">
      <c r="A141" s="48" t="s">
        <v>736</v>
      </c>
      <c r="B141" s="258" t="s">
        <v>735</v>
      </c>
      <c r="C141" s="255" t="s">
        <v>17</v>
      </c>
      <c r="D141" s="244">
        <v>6033</v>
      </c>
      <c r="E141" s="244">
        <v>0</v>
      </c>
      <c r="F141" s="251">
        <v>0</v>
      </c>
      <c r="G141" s="251">
        <v>0</v>
      </c>
      <c r="H141" s="244">
        <v>1</v>
      </c>
      <c r="I141" s="253">
        <v>40</v>
      </c>
      <c r="J141" s="253">
        <v>1</v>
      </c>
      <c r="K141" s="244">
        <v>1</v>
      </c>
      <c r="L141" s="251">
        <v>40</v>
      </c>
      <c r="M141" s="251">
        <v>1</v>
      </c>
      <c r="N141" s="244">
        <v>1</v>
      </c>
      <c r="O141" s="251">
        <v>21</v>
      </c>
      <c r="P141" s="251">
        <v>0.52500000000000002</v>
      </c>
      <c r="Q141" s="244">
        <v>3</v>
      </c>
      <c r="R141" s="251">
        <v>61</v>
      </c>
      <c r="S141" s="251">
        <v>1.5249999999999999</v>
      </c>
      <c r="T141" s="87" t="s">
        <v>1648</v>
      </c>
      <c r="U141" s="244">
        <v>260</v>
      </c>
      <c r="V141" s="87" t="s">
        <v>1649</v>
      </c>
    </row>
    <row r="142" spans="1:22" ht="13.5" thickBot="1" x14ac:dyDescent="0.25">
      <c r="A142" s="48" t="s">
        <v>744</v>
      </c>
      <c r="B142" s="258" t="s">
        <v>743</v>
      </c>
      <c r="C142" s="255" t="s">
        <v>17</v>
      </c>
      <c r="D142" s="244">
        <v>4576</v>
      </c>
      <c r="E142" s="244">
        <v>0</v>
      </c>
      <c r="F142" s="251">
        <v>0</v>
      </c>
      <c r="G142" s="251">
        <v>0</v>
      </c>
      <c r="H142" s="244">
        <v>1</v>
      </c>
      <c r="I142" s="253">
        <v>32</v>
      </c>
      <c r="J142" s="253">
        <v>0.8</v>
      </c>
      <c r="K142" s="244">
        <v>1</v>
      </c>
      <c r="L142" s="251">
        <v>32</v>
      </c>
      <c r="M142" s="251">
        <v>0.8</v>
      </c>
      <c r="N142" s="244">
        <v>4</v>
      </c>
      <c r="O142" s="251">
        <v>32</v>
      </c>
      <c r="P142" s="251">
        <v>0.8</v>
      </c>
      <c r="Q142" s="244">
        <v>5</v>
      </c>
      <c r="R142" s="251">
        <v>64</v>
      </c>
      <c r="S142" s="251">
        <v>1.6</v>
      </c>
      <c r="T142" s="87" t="s">
        <v>1648</v>
      </c>
      <c r="U142" s="244">
        <v>1981</v>
      </c>
      <c r="V142" s="87" t="s">
        <v>1649</v>
      </c>
    </row>
    <row r="143" spans="1:22" ht="13.5" thickBot="1" x14ac:dyDescent="0.25">
      <c r="A143" s="48" t="s">
        <v>758</v>
      </c>
      <c r="B143" s="258" t="s">
        <v>757</v>
      </c>
      <c r="C143" s="255" t="s">
        <v>17</v>
      </c>
      <c r="D143" s="244">
        <v>4757</v>
      </c>
      <c r="E143" s="244">
        <v>0</v>
      </c>
      <c r="F143" s="251">
        <v>0</v>
      </c>
      <c r="G143" s="251">
        <v>0</v>
      </c>
      <c r="H143" s="244">
        <v>3</v>
      </c>
      <c r="I143" s="253">
        <v>80</v>
      </c>
      <c r="J143" s="253">
        <v>2</v>
      </c>
      <c r="K143" s="244">
        <v>3</v>
      </c>
      <c r="L143" s="251">
        <v>80</v>
      </c>
      <c r="M143" s="251">
        <v>2</v>
      </c>
      <c r="N143" s="244">
        <v>4</v>
      </c>
      <c r="O143" s="251">
        <v>55</v>
      </c>
      <c r="P143" s="251">
        <v>1.375</v>
      </c>
      <c r="Q143" s="244">
        <v>7</v>
      </c>
      <c r="R143" s="251">
        <v>135</v>
      </c>
      <c r="S143" s="251">
        <v>3.375</v>
      </c>
      <c r="T143" s="87" t="s">
        <v>1649</v>
      </c>
      <c r="U143" s="244">
        <v>0</v>
      </c>
      <c r="V143" s="87" t="s">
        <v>1649</v>
      </c>
    </row>
    <row r="144" spans="1:22" ht="13.5" thickBot="1" x14ac:dyDescent="0.25">
      <c r="A144" s="48" t="s">
        <v>764</v>
      </c>
      <c r="B144" s="258" t="s">
        <v>763</v>
      </c>
      <c r="C144" s="255" t="s">
        <v>17</v>
      </c>
      <c r="D144" s="244">
        <v>4614</v>
      </c>
      <c r="E144" s="244">
        <v>0</v>
      </c>
      <c r="F144" s="251">
        <v>0</v>
      </c>
      <c r="G144" s="251">
        <v>0</v>
      </c>
      <c r="H144" s="244">
        <v>1</v>
      </c>
      <c r="I144" s="253">
        <v>32</v>
      </c>
      <c r="J144" s="253">
        <v>0.8</v>
      </c>
      <c r="K144" s="244">
        <v>1</v>
      </c>
      <c r="L144" s="251">
        <v>32</v>
      </c>
      <c r="M144" s="251">
        <v>0.8</v>
      </c>
      <c r="N144" s="244">
        <v>3</v>
      </c>
      <c r="O144" s="251">
        <v>33</v>
      </c>
      <c r="P144" s="251">
        <v>0.82499999999999996</v>
      </c>
      <c r="Q144" s="244">
        <v>4</v>
      </c>
      <c r="R144" s="251">
        <v>65</v>
      </c>
      <c r="S144" s="251">
        <v>1.625</v>
      </c>
      <c r="T144" s="87" t="s">
        <v>1648</v>
      </c>
      <c r="U144" s="244">
        <v>8</v>
      </c>
      <c r="V144" s="87" t="s">
        <v>1649</v>
      </c>
    </row>
    <row r="145" spans="1:22" ht="13.5" thickBot="1" x14ac:dyDescent="0.25">
      <c r="A145" s="48" t="s">
        <v>774</v>
      </c>
      <c r="B145" s="258" t="s">
        <v>773</v>
      </c>
      <c r="C145" s="255" t="s">
        <v>17</v>
      </c>
      <c r="D145" s="244">
        <v>6999</v>
      </c>
      <c r="E145" s="244">
        <v>5</v>
      </c>
      <c r="F145" s="251">
        <v>99</v>
      </c>
      <c r="G145" s="251">
        <v>2.4750000000000001</v>
      </c>
      <c r="H145" s="244">
        <v>0</v>
      </c>
      <c r="I145" s="253">
        <v>0</v>
      </c>
      <c r="J145" s="253">
        <v>0</v>
      </c>
      <c r="K145" s="244">
        <v>5</v>
      </c>
      <c r="L145" s="251">
        <v>99</v>
      </c>
      <c r="M145" s="251">
        <v>2.4750000000000001</v>
      </c>
      <c r="N145" s="244">
        <v>3</v>
      </c>
      <c r="O145" s="251">
        <v>56.5</v>
      </c>
      <c r="P145" s="251">
        <v>1.4125000000000001</v>
      </c>
      <c r="Q145" s="244">
        <v>8</v>
      </c>
      <c r="R145" s="251">
        <v>155.5</v>
      </c>
      <c r="S145" s="251">
        <v>3.8875000000000002</v>
      </c>
      <c r="T145" s="87" t="s">
        <v>1649</v>
      </c>
      <c r="U145" s="244">
        <v>0</v>
      </c>
      <c r="V145" s="87" t="s">
        <v>1649</v>
      </c>
    </row>
    <row r="146" spans="1:22" ht="13.5" thickBot="1" x14ac:dyDescent="0.25">
      <c r="A146" s="48" t="s">
        <v>784</v>
      </c>
      <c r="B146" s="258" t="s">
        <v>783</v>
      </c>
      <c r="C146" s="255" t="s">
        <v>17</v>
      </c>
      <c r="D146" s="244">
        <v>4837</v>
      </c>
      <c r="E146" s="244">
        <v>1</v>
      </c>
      <c r="F146" s="251">
        <v>40</v>
      </c>
      <c r="G146" s="251">
        <v>1</v>
      </c>
      <c r="H146" s="244">
        <v>0</v>
      </c>
      <c r="I146" s="253">
        <v>0</v>
      </c>
      <c r="J146" s="253">
        <v>0</v>
      </c>
      <c r="K146" s="244">
        <v>1</v>
      </c>
      <c r="L146" s="251">
        <v>40</v>
      </c>
      <c r="M146" s="251">
        <v>1</v>
      </c>
      <c r="N146" s="244">
        <v>4</v>
      </c>
      <c r="O146" s="251">
        <v>107</v>
      </c>
      <c r="P146" s="251">
        <v>2.6749999999999998</v>
      </c>
      <c r="Q146" s="244">
        <v>5</v>
      </c>
      <c r="R146" s="251">
        <v>147</v>
      </c>
      <c r="S146" s="251">
        <v>3.6749999999999998</v>
      </c>
      <c r="T146" s="257" t="s">
        <v>1648</v>
      </c>
      <c r="U146" s="244">
        <v>910</v>
      </c>
      <c r="V146" s="87" t="s">
        <v>1649</v>
      </c>
    </row>
    <row r="147" spans="1:22" ht="13.5" thickBot="1" x14ac:dyDescent="0.25">
      <c r="A147" s="48" t="s">
        <v>802</v>
      </c>
      <c r="B147" s="258" t="s">
        <v>801</v>
      </c>
      <c r="C147" s="255" t="s">
        <v>17</v>
      </c>
      <c r="D147" s="244">
        <v>5240</v>
      </c>
      <c r="E147" s="244">
        <v>0</v>
      </c>
      <c r="F147" s="251">
        <v>0</v>
      </c>
      <c r="G147" s="251">
        <v>0</v>
      </c>
      <c r="H147" s="244">
        <v>8</v>
      </c>
      <c r="I147" s="253">
        <v>114.5</v>
      </c>
      <c r="J147" s="253">
        <v>2.8624999999999998</v>
      </c>
      <c r="K147" s="244">
        <v>8</v>
      </c>
      <c r="L147" s="251">
        <v>114.5</v>
      </c>
      <c r="M147" s="251">
        <v>2.8624999999999998</v>
      </c>
      <c r="N147" s="244">
        <v>0</v>
      </c>
      <c r="O147" s="251">
        <v>0</v>
      </c>
      <c r="P147" s="251">
        <v>0</v>
      </c>
      <c r="Q147" s="244">
        <v>8</v>
      </c>
      <c r="R147" s="251">
        <v>114.5</v>
      </c>
      <c r="S147" s="251">
        <v>2.8624999999999998</v>
      </c>
      <c r="T147" s="87" t="s">
        <v>1649</v>
      </c>
      <c r="U147" s="244">
        <v>0</v>
      </c>
      <c r="V147" s="87" t="s">
        <v>1649</v>
      </c>
    </row>
    <row r="148" spans="1:22" ht="13.5" thickBot="1" x14ac:dyDescent="0.25">
      <c r="A148" s="48" t="s">
        <v>24</v>
      </c>
      <c r="B148" s="258" t="s">
        <v>23</v>
      </c>
      <c r="C148" s="255" t="s">
        <v>25</v>
      </c>
      <c r="D148" s="244">
        <v>7410</v>
      </c>
      <c r="E148" s="244">
        <v>1</v>
      </c>
      <c r="F148" s="251">
        <v>40</v>
      </c>
      <c r="G148" s="251">
        <v>1</v>
      </c>
      <c r="H148" s="244">
        <v>1</v>
      </c>
      <c r="I148" s="253">
        <v>29</v>
      </c>
      <c r="J148" s="253">
        <v>0.72499999999999998</v>
      </c>
      <c r="K148" s="244">
        <v>2</v>
      </c>
      <c r="L148" s="251">
        <v>69</v>
      </c>
      <c r="M148" s="251">
        <v>1.7250000000000001</v>
      </c>
      <c r="N148" s="244">
        <v>4</v>
      </c>
      <c r="O148" s="251">
        <v>51</v>
      </c>
      <c r="P148" s="251">
        <v>1.2749999999999999</v>
      </c>
      <c r="Q148" s="244">
        <v>6</v>
      </c>
      <c r="R148" s="251">
        <v>120</v>
      </c>
      <c r="S148" s="251">
        <v>3</v>
      </c>
      <c r="T148" s="87" t="s">
        <v>1648</v>
      </c>
      <c r="U148" s="244">
        <v>1820</v>
      </c>
      <c r="V148" s="87" t="s">
        <v>1649</v>
      </c>
    </row>
    <row r="149" spans="1:22" ht="13.5" thickBot="1" x14ac:dyDescent="0.25">
      <c r="A149" s="48" t="s">
        <v>27</v>
      </c>
      <c r="B149" s="258" t="s">
        <v>26</v>
      </c>
      <c r="C149" s="255" t="s">
        <v>25</v>
      </c>
      <c r="D149" s="244">
        <v>11600</v>
      </c>
      <c r="E149" s="244">
        <v>1</v>
      </c>
      <c r="F149" s="251">
        <v>40</v>
      </c>
      <c r="G149" s="251">
        <v>1</v>
      </c>
      <c r="H149" s="244">
        <v>0</v>
      </c>
      <c r="I149" s="253">
        <v>0</v>
      </c>
      <c r="J149" s="253">
        <v>0</v>
      </c>
      <c r="K149" s="244">
        <v>1</v>
      </c>
      <c r="L149" s="251">
        <v>40</v>
      </c>
      <c r="M149" s="251">
        <v>1</v>
      </c>
      <c r="N149" s="244">
        <v>3</v>
      </c>
      <c r="O149" s="251">
        <v>58</v>
      </c>
      <c r="P149" s="251">
        <v>1.45</v>
      </c>
      <c r="Q149" s="244">
        <v>4</v>
      </c>
      <c r="R149" s="251">
        <v>98</v>
      </c>
      <c r="S149" s="251">
        <v>2.4500000000000002</v>
      </c>
      <c r="T149" s="87" t="s">
        <v>1649</v>
      </c>
      <c r="U149" s="244">
        <v>0</v>
      </c>
      <c r="V149" s="87" t="s">
        <v>1649</v>
      </c>
    </row>
    <row r="150" spans="1:22" ht="13.5" thickBot="1" x14ac:dyDescent="0.25">
      <c r="A150" s="48" t="s">
        <v>29</v>
      </c>
      <c r="B150" s="258" t="s">
        <v>28</v>
      </c>
      <c r="C150" s="255" t="s">
        <v>25</v>
      </c>
      <c r="D150" s="244">
        <v>11569</v>
      </c>
      <c r="E150" s="244">
        <v>2</v>
      </c>
      <c r="F150" s="251">
        <v>70</v>
      </c>
      <c r="G150" s="251">
        <v>1.75</v>
      </c>
      <c r="H150" s="244">
        <v>0</v>
      </c>
      <c r="I150" s="252">
        <v>0</v>
      </c>
      <c r="J150" s="252">
        <v>0</v>
      </c>
      <c r="K150" s="244">
        <v>2</v>
      </c>
      <c r="L150" s="251">
        <v>70</v>
      </c>
      <c r="M150" s="251">
        <v>1.75</v>
      </c>
      <c r="N150" s="244">
        <v>15</v>
      </c>
      <c r="O150" s="251">
        <v>295</v>
      </c>
      <c r="P150" s="251">
        <v>7.375</v>
      </c>
      <c r="Q150" s="244">
        <v>17</v>
      </c>
      <c r="R150" s="251">
        <v>365</v>
      </c>
      <c r="S150" s="251">
        <v>9.125</v>
      </c>
      <c r="T150" s="87" t="s">
        <v>1648</v>
      </c>
      <c r="U150" s="244">
        <v>876</v>
      </c>
      <c r="V150" s="87" t="s">
        <v>1649</v>
      </c>
    </row>
    <row r="151" spans="1:22" ht="13.5" thickBot="1" x14ac:dyDescent="0.25">
      <c r="A151" s="48" t="s">
        <v>31</v>
      </c>
      <c r="B151" s="258" t="s">
        <v>30</v>
      </c>
      <c r="C151" s="255" t="s">
        <v>25</v>
      </c>
      <c r="D151" s="244">
        <v>9706</v>
      </c>
      <c r="E151" s="244">
        <v>1</v>
      </c>
      <c r="F151" s="251">
        <v>40</v>
      </c>
      <c r="G151" s="251">
        <v>1</v>
      </c>
      <c r="H151" s="244">
        <v>2</v>
      </c>
      <c r="I151" s="253">
        <v>70</v>
      </c>
      <c r="J151" s="253">
        <v>1.75</v>
      </c>
      <c r="K151" s="244">
        <v>3</v>
      </c>
      <c r="L151" s="251">
        <v>110</v>
      </c>
      <c r="M151" s="251">
        <v>2.75</v>
      </c>
      <c r="N151" s="244">
        <v>12</v>
      </c>
      <c r="O151" s="251">
        <v>215</v>
      </c>
      <c r="P151" s="251">
        <v>5.375</v>
      </c>
      <c r="Q151" s="244">
        <v>15</v>
      </c>
      <c r="R151" s="251">
        <v>325</v>
      </c>
      <c r="S151" s="251">
        <v>8.125</v>
      </c>
      <c r="T151" s="257" t="s">
        <v>1648</v>
      </c>
      <c r="U151" s="244">
        <v>2650</v>
      </c>
      <c r="V151" s="87" t="s">
        <v>1649</v>
      </c>
    </row>
    <row r="152" spans="1:22" ht="13.5" thickBot="1" x14ac:dyDescent="0.25">
      <c r="A152" s="48" t="s">
        <v>43</v>
      </c>
      <c r="B152" s="258" t="s">
        <v>42</v>
      </c>
      <c r="C152" s="255" t="s">
        <v>25</v>
      </c>
      <c r="D152" s="244">
        <v>11902</v>
      </c>
      <c r="E152" s="244">
        <v>3</v>
      </c>
      <c r="F152" s="251">
        <v>120</v>
      </c>
      <c r="G152" s="251">
        <v>3</v>
      </c>
      <c r="H152" s="244">
        <v>1</v>
      </c>
      <c r="I152" s="253">
        <v>40</v>
      </c>
      <c r="J152" s="253">
        <v>1</v>
      </c>
      <c r="K152" s="244">
        <v>4</v>
      </c>
      <c r="L152" s="251">
        <v>160</v>
      </c>
      <c r="M152" s="251">
        <v>4</v>
      </c>
      <c r="N152" s="244">
        <v>4</v>
      </c>
      <c r="O152" s="251">
        <v>84</v>
      </c>
      <c r="P152" s="251">
        <v>2.1</v>
      </c>
      <c r="Q152" s="244">
        <v>8</v>
      </c>
      <c r="R152" s="251">
        <v>244</v>
      </c>
      <c r="S152" s="251">
        <v>6.1</v>
      </c>
      <c r="T152" s="87" t="s">
        <v>1648</v>
      </c>
      <c r="U152" s="244">
        <v>560</v>
      </c>
      <c r="V152" s="87" t="s">
        <v>1649</v>
      </c>
    </row>
    <row r="153" spans="1:22" ht="13.5" thickBot="1" x14ac:dyDescent="0.25">
      <c r="A153" s="48" t="s">
        <v>51</v>
      </c>
      <c r="B153" s="258" t="s">
        <v>50</v>
      </c>
      <c r="C153" s="255" t="s">
        <v>25</v>
      </c>
      <c r="D153" s="244">
        <v>11000</v>
      </c>
      <c r="E153" s="244">
        <v>0</v>
      </c>
      <c r="F153" s="251">
        <v>0</v>
      </c>
      <c r="G153" s="251">
        <v>0</v>
      </c>
      <c r="H153" s="244">
        <v>3</v>
      </c>
      <c r="I153" s="253">
        <v>116</v>
      </c>
      <c r="J153" s="253">
        <v>2.9</v>
      </c>
      <c r="K153" s="244">
        <v>3</v>
      </c>
      <c r="L153" s="251">
        <v>116</v>
      </c>
      <c r="M153" s="251">
        <v>2.9</v>
      </c>
      <c r="N153" s="244">
        <v>3</v>
      </c>
      <c r="O153" s="251">
        <v>83</v>
      </c>
      <c r="P153" s="251">
        <v>2.0750000000000002</v>
      </c>
      <c r="Q153" s="244">
        <v>6</v>
      </c>
      <c r="R153" s="251">
        <v>199</v>
      </c>
      <c r="S153" s="251">
        <v>4.9749999999999996</v>
      </c>
      <c r="T153" s="87" t="s">
        <v>1649</v>
      </c>
      <c r="U153" s="244">
        <v>0</v>
      </c>
      <c r="V153" s="87" t="s">
        <v>1649</v>
      </c>
    </row>
    <row r="154" spans="1:22" ht="13.5" thickBot="1" x14ac:dyDescent="0.25">
      <c r="A154" s="48" t="s">
        <v>66</v>
      </c>
      <c r="B154" s="258" t="s">
        <v>65</v>
      </c>
      <c r="C154" s="255" t="s">
        <v>25</v>
      </c>
      <c r="D154" s="244">
        <v>7172</v>
      </c>
      <c r="E154" s="244">
        <v>0</v>
      </c>
      <c r="F154" s="251">
        <v>0</v>
      </c>
      <c r="G154" s="251">
        <v>0</v>
      </c>
      <c r="H154" s="244">
        <v>2</v>
      </c>
      <c r="I154" s="253">
        <v>88</v>
      </c>
      <c r="J154" s="253">
        <v>2.2000000000000002</v>
      </c>
      <c r="K154" s="244">
        <v>2</v>
      </c>
      <c r="L154" s="251">
        <v>88</v>
      </c>
      <c r="M154" s="251">
        <v>2.2000000000000002</v>
      </c>
      <c r="N154" s="244">
        <v>3</v>
      </c>
      <c r="O154" s="251">
        <v>9</v>
      </c>
      <c r="P154" s="251">
        <v>0.22500000000000001</v>
      </c>
      <c r="Q154" s="244">
        <v>5</v>
      </c>
      <c r="R154" s="251">
        <v>97</v>
      </c>
      <c r="S154" s="251">
        <v>2.4249999999999998</v>
      </c>
      <c r="T154" s="87" t="s">
        <v>1649</v>
      </c>
      <c r="U154" s="244">
        <v>0</v>
      </c>
      <c r="V154" s="87" t="s">
        <v>1649</v>
      </c>
    </row>
    <row r="155" spans="1:22" ht="13.5" thickBot="1" x14ac:dyDescent="0.25">
      <c r="A155" s="48" t="s">
        <v>76</v>
      </c>
      <c r="B155" s="258" t="s">
        <v>75</v>
      </c>
      <c r="C155" s="255" t="s">
        <v>25</v>
      </c>
      <c r="D155" s="244">
        <v>11598</v>
      </c>
      <c r="E155" s="244">
        <v>2</v>
      </c>
      <c r="F155" s="251">
        <v>70</v>
      </c>
      <c r="G155" s="251">
        <v>1.75</v>
      </c>
      <c r="H155" s="244">
        <v>1</v>
      </c>
      <c r="I155" s="253">
        <v>35</v>
      </c>
      <c r="J155" s="253">
        <v>0.875</v>
      </c>
      <c r="K155" s="244">
        <v>2</v>
      </c>
      <c r="L155" s="251">
        <v>105</v>
      </c>
      <c r="M155" s="251">
        <v>2.625</v>
      </c>
      <c r="N155" s="244">
        <v>3</v>
      </c>
      <c r="O155" s="251">
        <v>44</v>
      </c>
      <c r="P155" s="251">
        <v>1.1000000000000001</v>
      </c>
      <c r="Q155" s="244">
        <v>6</v>
      </c>
      <c r="R155" s="251">
        <v>149</v>
      </c>
      <c r="S155" s="251">
        <v>3.7250000000000001</v>
      </c>
      <c r="T155" s="87" t="s">
        <v>1648</v>
      </c>
      <c r="U155" s="244">
        <v>1404</v>
      </c>
      <c r="V155" s="87" t="s">
        <v>1649</v>
      </c>
    </row>
    <row r="156" spans="1:22" ht="13.5" thickBot="1" x14ac:dyDescent="0.25">
      <c r="A156" s="48" t="s">
        <v>96</v>
      </c>
      <c r="B156" s="258" t="s">
        <v>95</v>
      </c>
      <c r="C156" s="255" t="s">
        <v>25</v>
      </c>
      <c r="D156" s="244">
        <v>9197</v>
      </c>
      <c r="E156" s="244">
        <v>0</v>
      </c>
      <c r="F156" s="251">
        <v>0</v>
      </c>
      <c r="G156" s="251">
        <v>0</v>
      </c>
      <c r="H156" s="244">
        <v>1</v>
      </c>
      <c r="I156" s="253">
        <v>40</v>
      </c>
      <c r="J156" s="253">
        <v>1</v>
      </c>
      <c r="K156" s="244">
        <v>1</v>
      </c>
      <c r="L156" s="251">
        <v>40</v>
      </c>
      <c r="M156" s="251">
        <v>1</v>
      </c>
      <c r="N156" s="244">
        <v>10</v>
      </c>
      <c r="O156" s="251">
        <v>192.25</v>
      </c>
      <c r="P156" s="251">
        <v>4.8062500000000004</v>
      </c>
      <c r="Q156" s="244">
        <v>11</v>
      </c>
      <c r="R156" s="251">
        <v>232.25</v>
      </c>
      <c r="S156" s="251">
        <v>5.8062500000000004</v>
      </c>
      <c r="T156" s="87" t="s">
        <v>1649</v>
      </c>
      <c r="U156" s="244">
        <v>0</v>
      </c>
      <c r="V156" s="87" t="s">
        <v>1649</v>
      </c>
    </row>
    <row r="157" spans="1:22" ht="13.5" thickBot="1" x14ac:dyDescent="0.25">
      <c r="A157" s="48" t="s">
        <v>106</v>
      </c>
      <c r="B157" s="258" t="s">
        <v>105</v>
      </c>
      <c r="C157" s="255" t="s">
        <v>25</v>
      </c>
      <c r="D157" s="244">
        <v>11825</v>
      </c>
      <c r="E157" s="244">
        <v>2</v>
      </c>
      <c r="F157" s="251">
        <v>72</v>
      </c>
      <c r="G157" s="251">
        <v>1.8</v>
      </c>
      <c r="H157" s="244">
        <v>0</v>
      </c>
      <c r="I157" s="253">
        <v>0</v>
      </c>
      <c r="J157" s="253">
        <v>0</v>
      </c>
      <c r="K157" s="244">
        <v>2</v>
      </c>
      <c r="L157" s="251">
        <v>72</v>
      </c>
      <c r="M157" s="251">
        <v>1.8</v>
      </c>
      <c r="N157" s="244">
        <v>10</v>
      </c>
      <c r="O157" s="251">
        <v>154</v>
      </c>
      <c r="P157" s="251">
        <v>3.85</v>
      </c>
      <c r="Q157" s="244">
        <v>12</v>
      </c>
      <c r="R157" s="251">
        <v>226</v>
      </c>
      <c r="S157" s="251">
        <v>5.65</v>
      </c>
      <c r="T157" s="87" t="s">
        <v>1648</v>
      </c>
      <c r="U157" s="244">
        <v>1683</v>
      </c>
      <c r="V157" s="87" t="s">
        <v>1649</v>
      </c>
    </row>
    <row r="158" spans="1:22" ht="13.5" thickBot="1" x14ac:dyDescent="0.25">
      <c r="A158" s="48" t="s">
        <v>110</v>
      </c>
      <c r="B158" s="258" t="s">
        <v>109</v>
      </c>
      <c r="C158" s="255" t="s">
        <v>25</v>
      </c>
      <c r="D158" s="244">
        <v>7226</v>
      </c>
      <c r="E158" s="244">
        <v>1</v>
      </c>
      <c r="F158" s="251">
        <v>40</v>
      </c>
      <c r="G158" s="251">
        <v>1</v>
      </c>
      <c r="H158" s="244">
        <v>0</v>
      </c>
      <c r="I158" s="253">
        <v>0</v>
      </c>
      <c r="J158" s="253">
        <v>0</v>
      </c>
      <c r="K158" s="244">
        <v>1</v>
      </c>
      <c r="L158" s="251">
        <v>40</v>
      </c>
      <c r="M158" s="251">
        <v>1</v>
      </c>
      <c r="N158" s="244">
        <v>10</v>
      </c>
      <c r="O158" s="251">
        <v>267.5</v>
      </c>
      <c r="P158" s="251">
        <v>6.6875</v>
      </c>
      <c r="Q158" s="244">
        <v>11</v>
      </c>
      <c r="R158" s="251">
        <v>307.5</v>
      </c>
      <c r="S158" s="251">
        <v>7.6875</v>
      </c>
      <c r="T158" s="87" t="s">
        <v>1648</v>
      </c>
      <c r="U158" s="244">
        <v>20</v>
      </c>
      <c r="V158" s="87" t="s">
        <v>1649</v>
      </c>
    </row>
    <row r="159" spans="1:22" ht="13.5" thickBot="1" x14ac:dyDescent="0.25">
      <c r="A159" s="48" t="s">
        <v>128</v>
      </c>
      <c r="B159" s="258" t="s">
        <v>127</v>
      </c>
      <c r="C159" s="255" t="s">
        <v>25</v>
      </c>
      <c r="D159" s="244">
        <v>10090</v>
      </c>
      <c r="E159" s="244">
        <v>0</v>
      </c>
      <c r="F159" s="251">
        <v>0</v>
      </c>
      <c r="G159" s="251">
        <v>0</v>
      </c>
      <c r="H159" s="244">
        <v>5</v>
      </c>
      <c r="I159" s="253">
        <v>200</v>
      </c>
      <c r="J159" s="253">
        <v>5</v>
      </c>
      <c r="K159" s="244">
        <v>5</v>
      </c>
      <c r="L159" s="251">
        <v>200</v>
      </c>
      <c r="M159" s="251">
        <v>5</v>
      </c>
      <c r="N159" s="244">
        <v>10</v>
      </c>
      <c r="O159" s="251">
        <v>95</v>
      </c>
      <c r="P159" s="251">
        <v>2.375</v>
      </c>
      <c r="Q159" s="244">
        <v>15</v>
      </c>
      <c r="R159" s="251">
        <v>295</v>
      </c>
      <c r="S159" s="251">
        <v>7.375</v>
      </c>
      <c r="T159" s="87" t="s">
        <v>1649</v>
      </c>
      <c r="U159" s="244">
        <v>0</v>
      </c>
      <c r="V159" s="87" t="s">
        <v>1649</v>
      </c>
    </row>
    <row r="160" spans="1:22" ht="13.5" thickBot="1" x14ac:dyDescent="0.25">
      <c r="A160" s="48" t="s">
        <v>130</v>
      </c>
      <c r="B160" s="258" t="s">
        <v>129</v>
      </c>
      <c r="C160" s="255" t="s">
        <v>25</v>
      </c>
      <c r="D160" s="244">
        <v>9705</v>
      </c>
      <c r="E160" s="244">
        <v>1</v>
      </c>
      <c r="F160" s="251">
        <v>40</v>
      </c>
      <c r="G160" s="251">
        <v>1</v>
      </c>
      <c r="H160" s="244">
        <v>0</v>
      </c>
      <c r="I160" s="253">
        <v>0</v>
      </c>
      <c r="J160" s="253">
        <v>0</v>
      </c>
      <c r="K160" s="244">
        <v>1</v>
      </c>
      <c r="L160" s="251">
        <v>40</v>
      </c>
      <c r="M160" s="251">
        <v>1</v>
      </c>
      <c r="N160" s="244">
        <v>8</v>
      </c>
      <c r="O160" s="251">
        <v>189</v>
      </c>
      <c r="P160" s="251">
        <v>4.7249999999999996</v>
      </c>
      <c r="Q160" s="244">
        <v>9</v>
      </c>
      <c r="R160" s="251">
        <v>229</v>
      </c>
      <c r="S160" s="251">
        <v>5.7249999999999996</v>
      </c>
      <c r="T160" s="257" t="s">
        <v>1648</v>
      </c>
      <c r="U160" s="244">
        <v>26</v>
      </c>
      <c r="V160" s="87" t="s">
        <v>1649</v>
      </c>
    </row>
    <row r="161" spans="1:22" ht="13.5" thickBot="1" x14ac:dyDescent="0.25">
      <c r="A161" s="48" t="s">
        <v>136</v>
      </c>
      <c r="B161" s="258" t="s">
        <v>135</v>
      </c>
      <c r="C161" s="255" t="s">
        <v>25</v>
      </c>
      <c r="D161" s="244">
        <v>8692</v>
      </c>
      <c r="E161" s="244">
        <v>0</v>
      </c>
      <c r="F161" s="251">
        <v>0</v>
      </c>
      <c r="G161" s="251">
        <v>0</v>
      </c>
      <c r="H161" s="244">
        <v>2</v>
      </c>
      <c r="I161" s="253">
        <v>85.5</v>
      </c>
      <c r="J161" s="253">
        <v>2.1375000000000002</v>
      </c>
      <c r="K161" s="244">
        <v>2</v>
      </c>
      <c r="L161" s="251">
        <v>85.5</v>
      </c>
      <c r="M161" s="251">
        <v>2.1375000000000002</v>
      </c>
      <c r="N161" s="244">
        <v>2</v>
      </c>
      <c r="O161" s="251">
        <v>95</v>
      </c>
      <c r="P161" s="251">
        <v>2.375</v>
      </c>
      <c r="Q161" s="244">
        <v>4</v>
      </c>
      <c r="R161" s="251">
        <v>180.5</v>
      </c>
      <c r="S161" s="251">
        <v>4.5125000000000002</v>
      </c>
      <c r="T161" s="87" t="s">
        <v>1649</v>
      </c>
      <c r="U161" s="244">
        <v>0</v>
      </c>
      <c r="V161" s="87" t="s">
        <v>1649</v>
      </c>
    </row>
    <row r="162" spans="1:22" ht="13.5" thickBot="1" x14ac:dyDescent="0.25">
      <c r="A162" s="48" t="s">
        <v>144</v>
      </c>
      <c r="B162" s="258" t="s">
        <v>143</v>
      </c>
      <c r="C162" s="255" t="s">
        <v>25</v>
      </c>
      <c r="D162" s="244">
        <v>11833</v>
      </c>
      <c r="E162" s="244">
        <v>2</v>
      </c>
      <c r="F162" s="251">
        <v>80</v>
      </c>
      <c r="G162" s="251">
        <v>2</v>
      </c>
      <c r="H162" s="244">
        <v>0</v>
      </c>
      <c r="I162" s="253">
        <v>0</v>
      </c>
      <c r="J162" s="253">
        <v>0</v>
      </c>
      <c r="K162" s="244">
        <v>2</v>
      </c>
      <c r="L162" s="251">
        <v>80</v>
      </c>
      <c r="M162" s="251">
        <v>2</v>
      </c>
      <c r="N162" s="244">
        <v>12</v>
      </c>
      <c r="O162" s="251">
        <v>266</v>
      </c>
      <c r="P162" s="251">
        <v>6.65</v>
      </c>
      <c r="Q162" s="244">
        <v>14</v>
      </c>
      <c r="R162" s="251">
        <v>346</v>
      </c>
      <c r="S162" s="251">
        <v>8.65</v>
      </c>
      <c r="T162" s="87" t="s">
        <v>1649</v>
      </c>
      <c r="U162" s="244">
        <v>0</v>
      </c>
      <c r="V162" s="87" t="s">
        <v>1649</v>
      </c>
    </row>
    <row r="163" spans="1:22" ht="13.5" thickBot="1" x14ac:dyDescent="0.25">
      <c r="A163" s="48" t="s">
        <v>148</v>
      </c>
      <c r="B163" s="258" t="s">
        <v>147</v>
      </c>
      <c r="C163" s="255" t="s">
        <v>25</v>
      </c>
      <c r="D163" s="244">
        <v>10857</v>
      </c>
      <c r="E163" s="244">
        <v>0</v>
      </c>
      <c r="F163" s="251">
        <v>0</v>
      </c>
      <c r="G163" s="251">
        <v>0</v>
      </c>
      <c r="H163" s="244">
        <v>4</v>
      </c>
      <c r="I163" s="253">
        <v>133</v>
      </c>
      <c r="J163" s="253">
        <v>3.3250000000000002</v>
      </c>
      <c r="K163" s="244">
        <v>4</v>
      </c>
      <c r="L163" s="251">
        <v>133</v>
      </c>
      <c r="M163" s="251">
        <v>3.3250000000000002</v>
      </c>
      <c r="N163" s="244">
        <v>3</v>
      </c>
      <c r="O163" s="251">
        <v>38</v>
      </c>
      <c r="P163" s="251">
        <v>0.95</v>
      </c>
      <c r="Q163" s="244">
        <v>7</v>
      </c>
      <c r="R163" s="251">
        <v>171</v>
      </c>
      <c r="S163" s="251">
        <v>4.2750000000000004</v>
      </c>
      <c r="T163" s="87" t="s">
        <v>1648</v>
      </c>
      <c r="U163" s="244">
        <v>1547</v>
      </c>
      <c r="V163" s="87" t="s">
        <v>1649</v>
      </c>
    </row>
    <row r="164" spans="1:22" ht="13.5" thickBot="1" x14ac:dyDescent="0.25">
      <c r="A164" s="48" t="s">
        <v>152</v>
      </c>
      <c r="B164" s="258" t="s">
        <v>151</v>
      </c>
      <c r="C164" s="255" t="s">
        <v>25</v>
      </c>
      <c r="D164" s="244">
        <v>9483</v>
      </c>
      <c r="E164" s="244">
        <v>0</v>
      </c>
      <c r="F164" s="251">
        <v>0</v>
      </c>
      <c r="G164" s="251">
        <v>0</v>
      </c>
      <c r="H164" s="244">
        <v>1</v>
      </c>
      <c r="I164" s="253">
        <v>40</v>
      </c>
      <c r="J164" s="253">
        <v>1</v>
      </c>
      <c r="K164" s="244">
        <v>1</v>
      </c>
      <c r="L164" s="251">
        <v>40</v>
      </c>
      <c r="M164" s="251">
        <v>1</v>
      </c>
      <c r="N164" s="244">
        <v>9</v>
      </c>
      <c r="O164" s="251">
        <v>90</v>
      </c>
      <c r="P164" s="251">
        <v>2.25</v>
      </c>
      <c r="Q164" s="244">
        <v>10</v>
      </c>
      <c r="R164" s="251">
        <v>130</v>
      </c>
      <c r="S164" s="251">
        <v>3.25</v>
      </c>
      <c r="T164" s="87" t="s">
        <v>1648</v>
      </c>
      <c r="U164" s="244">
        <v>1040</v>
      </c>
      <c r="V164" s="87" t="s">
        <v>1648</v>
      </c>
    </row>
    <row r="165" spans="1:22" ht="13.5" thickBot="1" x14ac:dyDescent="0.25">
      <c r="A165" s="48" t="s">
        <v>154</v>
      </c>
      <c r="B165" s="258" t="s">
        <v>153</v>
      </c>
      <c r="C165" s="255" t="s">
        <v>25</v>
      </c>
      <c r="D165" s="244">
        <v>8257</v>
      </c>
      <c r="E165" s="244">
        <v>1</v>
      </c>
      <c r="F165" s="251">
        <v>40</v>
      </c>
      <c r="G165" s="251">
        <v>1</v>
      </c>
      <c r="H165" s="244">
        <v>0</v>
      </c>
      <c r="I165" s="253">
        <v>0</v>
      </c>
      <c r="J165" s="253">
        <v>0</v>
      </c>
      <c r="K165" s="244">
        <v>1</v>
      </c>
      <c r="L165" s="251">
        <v>40</v>
      </c>
      <c r="M165" s="251">
        <v>1</v>
      </c>
      <c r="N165" s="244">
        <v>7</v>
      </c>
      <c r="O165" s="251">
        <v>134</v>
      </c>
      <c r="P165" s="251">
        <v>3.35</v>
      </c>
      <c r="Q165" s="244">
        <v>8</v>
      </c>
      <c r="R165" s="251">
        <v>174</v>
      </c>
      <c r="S165" s="251">
        <v>4.3499999999999996</v>
      </c>
      <c r="T165" s="87" t="s">
        <v>1649</v>
      </c>
      <c r="U165" s="244">
        <v>0</v>
      </c>
      <c r="V165" s="87" t="s">
        <v>1649</v>
      </c>
    </row>
    <row r="166" spans="1:22" ht="13.5" thickBot="1" x14ac:dyDescent="0.25">
      <c r="A166" s="48" t="s">
        <v>160</v>
      </c>
      <c r="B166" s="258" t="s">
        <v>159</v>
      </c>
      <c r="C166" s="255" t="s">
        <v>25</v>
      </c>
      <c r="D166" s="244">
        <v>9810</v>
      </c>
      <c r="E166" s="244">
        <v>6</v>
      </c>
      <c r="F166" s="251">
        <v>151.5</v>
      </c>
      <c r="G166" s="251">
        <v>3.7875000000000001</v>
      </c>
      <c r="H166" s="244">
        <v>2</v>
      </c>
      <c r="I166" s="253">
        <v>75</v>
      </c>
      <c r="J166" s="253">
        <v>1.875</v>
      </c>
      <c r="K166" s="244">
        <v>8</v>
      </c>
      <c r="L166" s="251">
        <v>226.5</v>
      </c>
      <c r="M166" s="251">
        <v>5.6624999999999996</v>
      </c>
      <c r="N166" s="244">
        <v>11</v>
      </c>
      <c r="O166" s="251">
        <v>185</v>
      </c>
      <c r="P166" s="251">
        <v>4.625</v>
      </c>
      <c r="Q166" s="244">
        <v>19</v>
      </c>
      <c r="R166" s="251">
        <v>411.5</v>
      </c>
      <c r="S166" s="251">
        <v>10.2875</v>
      </c>
      <c r="T166" s="87" t="s">
        <v>1648</v>
      </c>
      <c r="U166" s="244">
        <v>500</v>
      </c>
      <c r="V166" s="87" t="s">
        <v>1649</v>
      </c>
    </row>
    <row r="167" spans="1:22" ht="13.5" thickBot="1" x14ac:dyDescent="0.25">
      <c r="A167" s="48" t="s">
        <v>196</v>
      </c>
      <c r="B167" s="258" t="s">
        <v>195</v>
      </c>
      <c r="C167" s="255" t="s">
        <v>25</v>
      </c>
      <c r="D167" s="244">
        <v>11862</v>
      </c>
      <c r="E167" s="244">
        <v>1</v>
      </c>
      <c r="F167" s="251">
        <v>36</v>
      </c>
      <c r="G167" s="251">
        <v>0.9</v>
      </c>
      <c r="H167" s="244">
        <v>4</v>
      </c>
      <c r="I167" s="253">
        <v>128</v>
      </c>
      <c r="J167" s="253">
        <v>3.2</v>
      </c>
      <c r="K167" s="244">
        <v>5</v>
      </c>
      <c r="L167" s="251">
        <v>188</v>
      </c>
      <c r="M167" s="251">
        <v>4.7</v>
      </c>
      <c r="N167" s="244">
        <v>2</v>
      </c>
      <c r="O167" s="251">
        <v>34</v>
      </c>
      <c r="P167" s="251">
        <v>0.85</v>
      </c>
      <c r="Q167" s="244">
        <v>7</v>
      </c>
      <c r="R167" s="251">
        <v>222</v>
      </c>
      <c r="S167" s="251">
        <v>5.55</v>
      </c>
      <c r="T167" s="87" t="s">
        <v>1648</v>
      </c>
      <c r="U167" s="244">
        <v>240</v>
      </c>
      <c r="V167" s="87" t="s">
        <v>1649</v>
      </c>
    </row>
    <row r="168" spans="1:22" ht="13.5" thickBot="1" x14ac:dyDescent="0.25">
      <c r="A168" s="48" t="s">
        <v>220</v>
      </c>
      <c r="B168" s="258" t="s">
        <v>219</v>
      </c>
      <c r="C168" s="255" t="s">
        <v>25</v>
      </c>
      <c r="D168" s="244">
        <v>10021</v>
      </c>
      <c r="E168" s="244">
        <v>0</v>
      </c>
      <c r="F168" s="251">
        <v>0</v>
      </c>
      <c r="G168" s="251">
        <v>0</v>
      </c>
      <c r="H168" s="244">
        <v>3</v>
      </c>
      <c r="I168" s="253">
        <v>96</v>
      </c>
      <c r="J168" s="253">
        <v>2.4</v>
      </c>
      <c r="K168" s="244">
        <v>3</v>
      </c>
      <c r="L168" s="251">
        <v>91</v>
      </c>
      <c r="M168" s="251">
        <v>2.2749999999999999</v>
      </c>
      <c r="N168" s="244">
        <v>3</v>
      </c>
      <c r="O168" s="251">
        <v>18</v>
      </c>
      <c r="P168" s="251">
        <v>0.45</v>
      </c>
      <c r="Q168" s="244">
        <v>6</v>
      </c>
      <c r="R168" s="251">
        <v>109</v>
      </c>
      <c r="S168" s="251">
        <v>2.7250000000000001</v>
      </c>
      <c r="T168" s="87" t="s">
        <v>1648</v>
      </c>
      <c r="U168" s="244">
        <v>216</v>
      </c>
      <c r="V168" s="87" t="s">
        <v>1649</v>
      </c>
    </row>
    <row r="169" spans="1:22" ht="13.5" thickBot="1" x14ac:dyDescent="0.25">
      <c r="A169" s="48" t="s">
        <v>232</v>
      </c>
      <c r="B169" s="258" t="s">
        <v>231</v>
      </c>
      <c r="C169" s="255" t="s">
        <v>25</v>
      </c>
      <c r="D169" s="244">
        <v>7439</v>
      </c>
      <c r="E169" s="244">
        <v>2</v>
      </c>
      <c r="F169" s="251">
        <v>40</v>
      </c>
      <c r="G169" s="251">
        <v>1</v>
      </c>
      <c r="H169" s="244">
        <v>3</v>
      </c>
      <c r="I169" s="253">
        <v>64</v>
      </c>
      <c r="J169" s="253">
        <v>1.6</v>
      </c>
      <c r="K169" s="244">
        <v>3</v>
      </c>
      <c r="L169" s="251">
        <v>72</v>
      </c>
      <c r="M169" s="251">
        <v>1.8</v>
      </c>
      <c r="N169" s="244">
        <v>3</v>
      </c>
      <c r="O169" s="251">
        <v>70</v>
      </c>
      <c r="P169" s="251">
        <v>1.75</v>
      </c>
      <c r="Q169" s="244">
        <v>8</v>
      </c>
      <c r="R169" s="251">
        <v>142</v>
      </c>
      <c r="S169" s="251">
        <v>3.55</v>
      </c>
      <c r="T169" s="87" t="s">
        <v>1649</v>
      </c>
      <c r="U169" s="244">
        <v>0</v>
      </c>
      <c r="V169" s="87" t="s">
        <v>1649</v>
      </c>
    </row>
    <row r="170" spans="1:22" ht="13.5" thickBot="1" x14ac:dyDescent="0.25">
      <c r="A170" s="48" t="s">
        <v>246</v>
      </c>
      <c r="B170" s="258" t="s">
        <v>245</v>
      </c>
      <c r="C170" s="255" t="s">
        <v>25</v>
      </c>
      <c r="D170" s="244">
        <v>7392</v>
      </c>
      <c r="E170" s="244">
        <v>1</v>
      </c>
      <c r="F170" s="251">
        <v>40</v>
      </c>
      <c r="G170" s="251">
        <v>1</v>
      </c>
      <c r="H170" s="244">
        <v>0</v>
      </c>
      <c r="I170" s="253">
        <v>0</v>
      </c>
      <c r="J170" s="253">
        <v>0</v>
      </c>
      <c r="K170" s="244">
        <v>1</v>
      </c>
      <c r="L170" s="251">
        <v>40</v>
      </c>
      <c r="M170" s="251">
        <v>1</v>
      </c>
      <c r="N170" s="87">
        <v>8</v>
      </c>
      <c r="O170" s="251">
        <v>108</v>
      </c>
      <c r="P170" s="251">
        <v>2.7</v>
      </c>
      <c r="Q170" s="244">
        <v>9</v>
      </c>
      <c r="R170" s="251">
        <v>148</v>
      </c>
      <c r="S170" s="251">
        <v>3.7</v>
      </c>
      <c r="T170" s="87" t="s">
        <v>1649</v>
      </c>
      <c r="U170" s="244">
        <v>0</v>
      </c>
      <c r="V170" s="87" t="s">
        <v>1649</v>
      </c>
    </row>
    <row r="171" spans="1:22" ht="13.5" thickBot="1" x14ac:dyDescent="0.25">
      <c r="A171" s="48" t="s">
        <v>250</v>
      </c>
      <c r="B171" s="258" t="s">
        <v>249</v>
      </c>
      <c r="C171" s="255" t="s">
        <v>25</v>
      </c>
      <c r="D171" s="244">
        <v>9512</v>
      </c>
      <c r="E171" s="244">
        <v>1</v>
      </c>
      <c r="F171" s="251">
        <v>29</v>
      </c>
      <c r="G171" s="251">
        <v>0.72499999999999998</v>
      </c>
      <c r="H171" s="244">
        <v>0</v>
      </c>
      <c r="I171" s="253">
        <v>0</v>
      </c>
      <c r="J171" s="253">
        <v>0</v>
      </c>
      <c r="K171" s="244">
        <v>1</v>
      </c>
      <c r="L171" s="251">
        <v>29</v>
      </c>
      <c r="M171" s="251">
        <v>0.72499999999999998</v>
      </c>
      <c r="N171" s="244">
        <v>1</v>
      </c>
      <c r="O171" s="251">
        <v>32</v>
      </c>
      <c r="P171" s="251">
        <v>0.8</v>
      </c>
      <c r="Q171" s="244">
        <v>2</v>
      </c>
      <c r="R171" s="251">
        <v>61</v>
      </c>
      <c r="S171" s="251">
        <v>1.5249999999999999</v>
      </c>
      <c r="T171" s="257" t="s">
        <v>1648</v>
      </c>
      <c r="U171" s="244">
        <v>61</v>
      </c>
      <c r="V171" s="87" t="s">
        <v>1649</v>
      </c>
    </row>
    <row r="172" spans="1:22" ht="13.5" thickBot="1" x14ac:dyDescent="0.25">
      <c r="A172" s="48" t="s">
        <v>262</v>
      </c>
      <c r="B172" s="258" t="s">
        <v>261</v>
      </c>
      <c r="C172" s="255" t="s">
        <v>25</v>
      </c>
      <c r="D172" s="244">
        <v>7717</v>
      </c>
      <c r="E172" s="244">
        <v>1</v>
      </c>
      <c r="F172" s="251">
        <v>7.5</v>
      </c>
      <c r="G172" s="251">
        <v>0.1875</v>
      </c>
      <c r="H172" s="244">
        <v>4</v>
      </c>
      <c r="I172" s="253">
        <v>70</v>
      </c>
      <c r="J172" s="253">
        <v>1.75</v>
      </c>
      <c r="K172" s="244">
        <v>4</v>
      </c>
      <c r="L172" s="251">
        <v>77.5</v>
      </c>
      <c r="M172" s="251">
        <v>1.9375</v>
      </c>
      <c r="N172" s="244">
        <v>1</v>
      </c>
      <c r="O172" s="251">
        <v>7</v>
      </c>
      <c r="P172" s="251">
        <v>0.17499999999999999</v>
      </c>
      <c r="Q172" s="244">
        <v>6</v>
      </c>
      <c r="R172" s="251">
        <v>84.5</v>
      </c>
      <c r="S172" s="251">
        <v>2.1124999999999998</v>
      </c>
      <c r="T172" s="87" t="s">
        <v>1648</v>
      </c>
      <c r="U172" s="244">
        <v>429</v>
      </c>
      <c r="V172" s="87" t="s">
        <v>1649</v>
      </c>
    </row>
    <row r="173" spans="1:22" ht="13.5" thickBot="1" x14ac:dyDescent="0.25">
      <c r="A173" s="48" t="s">
        <v>284</v>
      </c>
      <c r="B173" s="258" t="s">
        <v>283</v>
      </c>
      <c r="C173" s="255" t="s">
        <v>25</v>
      </c>
      <c r="D173" s="244">
        <v>7824</v>
      </c>
      <c r="E173" s="244">
        <v>0</v>
      </c>
      <c r="F173" s="251">
        <v>0</v>
      </c>
      <c r="G173" s="251">
        <v>0</v>
      </c>
      <c r="H173" s="244">
        <v>7</v>
      </c>
      <c r="I173" s="253">
        <v>196</v>
      </c>
      <c r="J173" s="253">
        <v>4.9000000000000004</v>
      </c>
      <c r="K173" s="244">
        <v>7</v>
      </c>
      <c r="L173" s="251">
        <v>193</v>
      </c>
      <c r="M173" s="251">
        <v>4.8250000000000002</v>
      </c>
      <c r="N173" s="244">
        <v>5</v>
      </c>
      <c r="O173" s="251">
        <v>32</v>
      </c>
      <c r="P173" s="251">
        <v>0.8</v>
      </c>
      <c r="Q173" s="244">
        <v>12</v>
      </c>
      <c r="R173" s="251">
        <v>225</v>
      </c>
      <c r="S173" s="251">
        <v>5.625</v>
      </c>
      <c r="T173" s="257" t="s">
        <v>1648</v>
      </c>
      <c r="U173" s="244">
        <v>112</v>
      </c>
      <c r="V173" s="87" t="s">
        <v>1649</v>
      </c>
    </row>
    <row r="174" spans="1:22" ht="13.5" thickBot="1" x14ac:dyDescent="0.25">
      <c r="A174" s="48" t="s">
        <v>296</v>
      </c>
      <c r="B174" s="258" t="s">
        <v>295</v>
      </c>
      <c r="C174" s="255" t="s">
        <v>25</v>
      </c>
      <c r="D174" s="244">
        <v>9476</v>
      </c>
      <c r="E174" s="244">
        <v>1</v>
      </c>
      <c r="F174" s="251">
        <v>32</v>
      </c>
      <c r="G174" s="251">
        <v>0.8</v>
      </c>
      <c r="H174" s="244">
        <v>0</v>
      </c>
      <c r="I174" s="253">
        <v>0</v>
      </c>
      <c r="J174" s="253">
        <v>0</v>
      </c>
      <c r="K174" s="244">
        <v>1</v>
      </c>
      <c r="L174" s="251">
        <v>32</v>
      </c>
      <c r="M174" s="251">
        <v>0.8</v>
      </c>
      <c r="N174" s="244">
        <v>3</v>
      </c>
      <c r="O174" s="251">
        <v>54</v>
      </c>
      <c r="P174" s="251">
        <v>1.35</v>
      </c>
      <c r="Q174" s="244">
        <v>4</v>
      </c>
      <c r="R174" s="251">
        <v>86</v>
      </c>
      <c r="S174" s="251">
        <v>2.15</v>
      </c>
      <c r="T174" s="87" t="s">
        <v>1649</v>
      </c>
      <c r="U174" s="244">
        <v>0</v>
      </c>
      <c r="V174" s="87" t="s">
        <v>1649</v>
      </c>
    </row>
    <row r="175" spans="1:22" ht="13.5" thickBot="1" x14ac:dyDescent="0.25">
      <c r="A175" s="48" t="s">
        <v>302</v>
      </c>
      <c r="B175" s="258" t="s">
        <v>301</v>
      </c>
      <c r="C175" s="255" t="s">
        <v>25</v>
      </c>
      <c r="D175" s="244">
        <v>10983</v>
      </c>
      <c r="E175" s="244">
        <v>2</v>
      </c>
      <c r="F175" s="251">
        <v>63</v>
      </c>
      <c r="G175" s="251">
        <v>1.575</v>
      </c>
      <c r="H175" s="244">
        <v>1</v>
      </c>
      <c r="I175" s="253">
        <v>28</v>
      </c>
      <c r="J175" s="253">
        <v>0.7</v>
      </c>
      <c r="K175" s="244">
        <v>3</v>
      </c>
      <c r="L175" s="251">
        <v>91</v>
      </c>
      <c r="M175" s="251">
        <v>2.2749999999999999</v>
      </c>
      <c r="N175" s="244">
        <v>9</v>
      </c>
      <c r="O175" s="251">
        <v>130</v>
      </c>
      <c r="P175" s="251">
        <v>3.25</v>
      </c>
      <c r="Q175" s="244">
        <v>12</v>
      </c>
      <c r="R175" s="251">
        <v>221</v>
      </c>
      <c r="S175" s="251">
        <v>5.5250000000000004</v>
      </c>
      <c r="T175" s="257" t="s">
        <v>1648</v>
      </c>
      <c r="U175" s="244">
        <v>130</v>
      </c>
      <c r="V175" s="87" t="s">
        <v>1649</v>
      </c>
    </row>
    <row r="176" spans="1:22" ht="13.5" thickBot="1" x14ac:dyDescent="0.25">
      <c r="A176" s="48" t="s">
        <v>310</v>
      </c>
      <c r="B176" s="258" t="s">
        <v>309</v>
      </c>
      <c r="C176" s="255" t="s">
        <v>25</v>
      </c>
      <c r="D176" s="244">
        <v>11239</v>
      </c>
      <c r="E176" s="244">
        <v>0</v>
      </c>
      <c r="F176" s="251">
        <v>0</v>
      </c>
      <c r="G176" s="251">
        <v>0</v>
      </c>
      <c r="H176" s="244">
        <v>1</v>
      </c>
      <c r="I176" s="253">
        <v>40</v>
      </c>
      <c r="J176" s="253">
        <v>1</v>
      </c>
      <c r="K176" s="244">
        <v>1</v>
      </c>
      <c r="L176" s="251">
        <v>40</v>
      </c>
      <c r="M176" s="251">
        <v>1</v>
      </c>
      <c r="N176" s="244">
        <v>4</v>
      </c>
      <c r="O176" s="251">
        <v>104</v>
      </c>
      <c r="P176" s="251">
        <v>2.6</v>
      </c>
      <c r="Q176" s="244">
        <v>5</v>
      </c>
      <c r="R176" s="251">
        <v>144</v>
      </c>
      <c r="S176" s="251">
        <v>3.6</v>
      </c>
      <c r="T176" s="87" t="s">
        <v>1648</v>
      </c>
      <c r="U176" s="244">
        <v>192</v>
      </c>
      <c r="V176" s="87" t="s">
        <v>1649</v>
      </c>
    </row>
    <row r="177" spans="1:22" ht="13.5" thickBot="1" x14ac:dyDescent="0.25">
      <c r="A177" s="48" t="s">
        <v>324</v>
      </c>
      <c r="B177" s="258" t="s">
        <v>323</v>
      </c>
      <c r="C177" s="255" t="s">
        <v>25</v>
      </c>
      <c r="D177" s="244">
        <v>8875</v>
      </c>
      <c r="E177" s="244">
        <v>1</v>
      </c>
      <c r="F177" s="251">
        <v>42</v>
      </c>
      <c r="G177" s="251">
        <v>1.05</v>
      </c>
      <c r="H177" s="244">
        <v>3</v>
      </c>
      <c r="I177" s="253">
        <v>102</v>
      </c>
      <c r="J177" s="253">
        <v>2.5499999999999998</v>
      </c>
      <c r="K177" s="244">
        <v>4</v>
      </c>
      <c r="L177" s="251">
        <v>144</v>
      </c>
      <c r="M177" s="251">
        <v>3.6</v>
      </c>
      <c r="N177" s="244">
        <v>3</v>
      </c>
      <c r="O177" s="251">
        <v>96</v>
      </c>
      <c r="P177" s="251">
        <v>2.4</v>
      </c>
      <c r="Q177" s="244">
        <v>7</v>
      </c>
      <c r="R177" s="251">
        <v>240</v>
      </c>
      <c r="S177" s="251">
        <v>6</v>
      </c>
      <c r="T177" s="87" t="s">
        <v>1649</v>
      </c>
      <c r="U177" s="244">
        <v>0</v>
      </c>
      <c r="V177" s="87" t="s">
        <v>1649</v>
      </c>
    </row>
    <row r="178" spans="1:22" ht="13.5" thickBot="1" x14ac:dyDescent="0.25">
      <c r="A178" s="48" t="s">
        <v>342</v>
      </c>
      <c r="B178" s="258" t="s">
        <v>341</v>
      </c>
      <c r="C178" s="255" t="s">
        <v>25</v>
      </c>
      <c r="D178" s="244">
        <v>8133</v>
      </c>
      <c r="E178" s="244">
        <v>0</v>
      </c>
      <c r="F178" s="251">
        <v>0</v>
      </c>
      <c r="G178" s="251">
        <v>0</v>
      </c>
      <c r="H178" s="244">
        <v>6</v>
      </c>
      <c r="I178" s="253">
        <v>123.63</v>
      </c>
      <c r="J178" s="253">
        <v>3.0907499999999999</v>
      </c>
      <c r="K178" s="244">
        <v>6</v>
      </c>
      <c r="L178" s="251">
        <v>123.63</v>
      </c>
      <c r="M178" s="251">
        <v>3.0907499999999999</v>
      </c>
      <c r="N178" s="244">
        <v>2</v>
      </c>
      <c r="O178" s="251">
        <v>53.25</v>
      </c>
      <c r="P178" s="251">
        <v>1.33125</v>
      </c>
      <c r="Q178" s="244">
        <v>8</v>
      </c>
      <c r="R178" s="251">
        <v>176.88</v>
      </c>
      <c r="S178" s="251">
        <v>4.4219999999999997</v>
      </c>
      <c r="T178" s="87" t="s">
        <v>1649</v>
      </c>
      <c r="U178" s="244">
        <v>0</v>
      </c>
      <c r="V178" s="87" t="s">
        <v>1649</v>
      </c>
    </row>
    <row r="179" spans="1:22" ht="13.5" thickBot="1" x14ac:dyDescent="0.25">
      <c r="A179" s="48" t="s">
        <v>350</v>
      </c>
      <c r="B179" s="258" t="s">
        <v>349</v>
      </c>
      <c r="C179" s="255" t="s">
        <v>25</v>
      </c>
      <c r="D179" s="244">
        <v>7135</v>
      </c>
      <c r="E179" s="244">
        <v>2</v>
      </c>
      <c r="F179" s="251">
        <v>80</v>
      </c>
      <c r="G179" s="251">
        <v>2</v>
      </c>
      <c r="H179" s="244">
        <v>1</v>
      </c>
      <c r="I179" s="253">
        <v>40</v>
      </c>
      <c r="J179" s="253">
        <v>1</v>
      </c>
      <c r="K179" s="244">
        <v>3</v>
      </c>
      <c r="L179" s="251">
        <v>120</v>
      </c>
      <c r="M179" s="251">
        <v>3</v>
      </c>
      <c r="N179" s="244">
        <v>3</v>
      </c>
      <c r="O179" s="251">
        <v>69</v>
      </c>
      <c r="P179" s="251">
        <v>1.7250000000000001</v>
      </c>
      <c r="Q179" s="244">
        <v>6</v>
      </c>
      <c r="R179" s="251">
        <v>189</v>
      </c>
      <c r="S179" s="251">
        <v>4.7249999999999996</v>
      </c>
      <c r="T179" s="257" t="s">
        <v>1648</v>
      </c>
      <c r="U179" s="244">
        <v>15</v>
      </c>
      <c r="V179" s="87" t="s">
        <v>1649</v>
      </c>
    </row>
    <row r="180" spans="1:22" ht="13.5" thickBot="1" x14ac:dyDescent="0.25">
      <c r="A180" s="48" t="s">
        <v>358</v>
      </c>
      <c r="B180" s="258" t="s">
        <v>357</v>
      </c>
      <c r="C180" s="255" t="s">
        <v>25</v>
      </c>
      <c r="D180" s="244">
        <v>11870</v>
      </c>
      <c r="E180" s="244">
        <v>1</v>
      </c>
      <c r="F180" s="251">
        <v>40</v>
      </c>
      <c r="G180" s="251">
        <v>1</v>
      </c>
      <c r="H180" s="244">
        <v>0</v>
      </c>
      <c r="I180" s="253">
        <v>0</v>
      </c>
      <c r="J180" s="253">
        <v>0</v>
      </c>
      <c r="K180" s="244">
        <v>1</v>
      </c>
      <c r="L180" s="251">
        <v>40</v>
      </c>
      <c r="M180" s="251">
        <v>1</v>
      </c>
      <c r="N180" s="244">
        <v>4</v>
      </c>
      <c r="O180" s="251">
        <v>100</v>
      </c>
      <c r="P180" s="251">
        <v>2.5</v>
      </c>
      <c r="Q180" s="244">
        <v>5</v>
      </c>
      <c r="R180" s="251">
        <v>140</v>
      </c>
      <c r="S180" s="251">
        <v>3.5</v>
      </c>
      <c r="T180" s="87" t="s">
        <v>1648</v>
      </c>
      <c r="U180" s="244">
        <v>56</v>
      </c>
      <c r="V180" s="87" t="s">
        <v>1649</v>
      </c>
    </row>
    <row r="181" spans="1:22" ht="13.5" thickBot="1" x14ac:dyDescent="0.25">
      <c r="A181" s="48" t="s">
        <v>378</v>
      </c>
      <c r="B181" s="258" t="s">
        <v>377</v>
      </c>
      <c r="C181" s="255" t="s">
        <v>25</v>
      </c>
      <c r="D181" s="244">
        <v>8764</v>
      </c>
      <c r="E181" s="244">
        <v>5</v>
      </c>
      <c r="F181" s="251">
        <v>50</v>
      </c>
      <c r="G181" s="251">
        <v>1.25</v>
      </c>
      <c r="H181" s="244">
        <v>0</v>
      </c>
      <c r="I181" s="253">
        <v>0</v>
      </c>
      <c r="J181" s="253">
        <v>0</v>
      </c>
      <c r="K181" s="244">
        <v>5</v>
      </c>
      <c r="L181" s="251">
        <v>50</v>
      </c>
      <c r="M181" s="251">
        <v>1.25</v>
      </c>
      <c r="N181" s="244">
        <v>5</v>
      </c>
      <c r="O181" s="251">
        <v>40</v>
      </c>
      <c r="P181" s="251">
        <v>1</v>
      </c>
      <c r="Q181" s="244">
        <v>6</v>
      </c>
      <c r="R181" s="251">
        <v>90</v>
      </c>
      <c r="S181" s="251">
        <v>2.25</v>
      </c>
      <c r="T181" s="87" t="s">
        <v>1648</v>
      </c>
      <c r="U181" s="244">
        <v>31</v>
      </c>
      <c r="V181" s="87" t="s">
        <v>1649</v>
      </c>
    </row>
    <row r="182" spans="1:22" ht="13.5" thickBot="1" x14ac:dyDescent="0.25">
      <c r="A182" s="48" t="s">
        <v>410</v>
      </c>
      <c r="B182" s="259" t="s">
        <v>409</v>
      </c>
      <c r="C182" s="255" t="s">
        <v>25</v>
      </c>
      <c r="D182" s="244">
        <v>9555</v>
      </c>
      <c r="E182" s="87">
        <v>0</v>
      </c>
      <c r="F182" s="252">
        <v>0</v>
      </c>
      <c r="G182" s="252">
        <v>0</v>
      </c>
      <c r="H182" s="87">
        <v>1</v>
      </c>
      <c r="I182" s="252">
        <v>40</v>
      </c>
      <c r="J182" s="252">
        <v>1</v>
      </c>
      <c r="K182" s="244">
        <v>1</v>
      </c>
      <c r="L182" s="251">
        <v>40</v>
      </c>
      <c r="M182" s="251">
        <v>1</v>
      </c>
      <c r="N182" s="244">
        <v>2</v>
      </c>
      <c r="O182" s="251">
        <v>25</v>
      </c>
      <c r="P182" s="251">
        <v>0.625</v>
      </c>
      <c r="Q182" s="244">
        <v>3</v>
      </c>
      <c r="R182" s="251">
        <v>65</v>
      </c>
      <c r="S182" s="251">
        <v>1.625</v>
      </c>
      <c r="T182" s="87" t="s">
        <v>1648</v>
      </c>
      <c r="U182" s="244">
        <v>480</v>
      </c>
      <c r="V182" s="87" t="s">
        <v>1649</v>
      </c>
    </row>
    <row r="183" spans="1:22" ht="13.5" thickBot="1" x14ac:dyDescent="0.25">
      <c r="A183" s="48" t="s">
        <v>408</v>
      </c>
      <c r="B183" s="258" t="s">
        <v>407</v>
      </c>
      <c r="C183" s="255" t="s">
        <v>25</v>
      </c>
      <c r="D183" s="244">
        <v>9533</v>
      </c>
      <c r="E183" s="244">
        <v>0</v>
      </c>
      <c r="F183" s="251">
        <v>0</v>
      </c>
      <c r="G183" s="251">
        <v>0</v>
      </c>
      <c r="H183" s="244">
        <v>1</v>
      </c>
      <c r="I183" s="253">
        <v>18</v>
      </c>
      <c r="J183" s="253">
        <v>0.45</v>
      </c>
      <c r="K183" s="244">
        <v>1</v>
      </c>
      <c r="L183" s="251">
        <v>18</v>
      </c>
      <c r="M183" s="251">
        <v>0.45</v>
      </c>
      <c r="N183" s="244">
        <v>1</v>
      </c>
      <c r="O183" s="251">
        <v>10</v>
      </c>
      <c r="P183" s="251">
        <v>0.25</v>
      </c>
      <c r="Q183" s="244">
        <v>2</v>
      </c>
      <c r="R183" s="251">
        <v>28</v>
      </c>
      <c r="S183" s="251">
        <v>0.7</v>
      </c>
      <c r="T183" s="87" t="s">
        <v>1648</v>
      </c>
      <c r="U183" s="244">
        <v>448</v>
      </c>
      <c r="V183" s="87" t="s">
        <v>1649</v>
      </c>
    </row>
    <row r="184" spans="1:22" ht="13.5" thickBot="1" x14ac:dyDescent="0.25">
      <c r="A184" s="48" t="s">
        <v>433</v>
      </c>
      <c r="B184" s="258" t="s">
        <v>432</v>
      </c>
      <c r="C184" s="255" t="s">
        <v>25</v>
      </c>
      <c r="D184" s="244">
        <v>10470</v>
      </c>
      <c r="E184" s="244">
        <v>4</v>
      </c>
      <c r="F184" s="251">
        <v>115</v>
      </c>
      <c r="G184" s="251">
        <v>2.875</v>
      </c>
      <c r="H184" s="244">
        <v>0</v>
      </c>
      <c r="I184" s="253">
        <v>0</v>
      </c>
      <c r="J184" s="253">
        <v>0</v>
      </c>
      <c r="K184" s="244">
        <v>4</v>
      </c>
      <c r="L184" s="251">
        <v>115</v>
      </c>
      <c r="M184" s="251">
        <v>2.875</v>
      </c>
      <c r="N184" s="244">
        <v>6</v>
      </c>
      <c r="O184" s="251">
        <v>107</v>
      </c>
      <c r="P184" s="251">
        <v>2.6749999999999998</v>
      </c>
      <c r="Q184" s="244">
        <v>8</v>
      </c>
      <c r="R184" s="251">
        <v>222</v>
      </c>
      <c r="S184" s="251">
        <v>5.55</v>
      </c>
      <c r="T184" s="87" t="s">
        <v>1649</v>
      </c>
      <c r="U184" s="244">
        <v>0</v>
      </c>
      <c r="V184" s="87" t="s">
        <v>1649</v>
      </c>
    </row>
    <row r="185" spans="1:22" ht="13.5" thickBot="1" x14ac:dyDescent="0.25">
      <c r="A185" s="48" t="s">
        <v>446</v>
      </c>
      <c r="B185" s="258" t="s">
        <v>445</v>
      </c>
      <c r="C185" s="255" t="s">
        <v>25</v>
      </c>
      <c r="D185" s="244">
        <v>11581</v>
      </c>
      <c r="E185" s="244">
        <v>1</v>
      </c>
      <c r="F185" s="251">
        <v>40</v>
      </c>
      <c r="G185" s="251">
        <v>1</v>
      </c>
      <c r="H185" s="244">
        <v>3</v>
      </c>
      <c r="I185" s="253">
        <v>110</v>
      </c>
      <c r="J185" s="253">
        <v>2.75</v>
      </c>
      <c r="K185" s="244">
        <v>4</v>
      </c>
      <c r="L185" s="251">
        <v>110</v>
      </c>
      <c r="M185" s="251">
        <v>2.75</v>
      </c>
      <c r="N185" s="244">
        <v>3</v>
      </c>
      <c r="O185" s="251">
        <v>45</v>
      </c>
      <c r="P185" s="251">
        <v>1.125</v>
      </c>
      <c r="Q185" s="244">
        <v>6</v>
      </c>
      <c r="R185" s="251">
        <v>155</v>
      </c>
      <c r="S185" s="251">
        <v>3.875</v>
      </c>
      <c r="T185" s="87" t="s">
        <v>1649</v>
      </c>
      <c r="U185" s="244">
        <v>0</v>
      </c>
      <c r="V185" s="87" t="s">
        <v>1649</v>
      </c>
    </row>
    <row r="186" spans="1:22" ht="13.5" thickBot="1" x14ac:dyDescent="0.25">
      <c r="A186" s="48" t="s">
        <v>468</v>
      </c>
      <c r="B186" s="258" t="s">
        <v>467</v>
      </c>
      <c r="C186" s="255" t="s">
        <v>25</v>
      </c>
      <c r="D186" s="244">
        <v>7312</v>
      </c>
      <c r="E186" s="244">
        <v>1</v>
      </c>
      <c r="F186" s="251">
        <v>20</v>
      </c>
      <c r="G186" s="251">
        <v>0.5</v>
      </c>
      <c r="H186" s="244">
        <v>3</v>
      </c>
      <c r="I186" s="253">
        <v>40</v>
      </c>
      <c r="J186" s="253">
        <v>1</v>
      </c>
      <c r="K186" s="244">
        <v>1</v>
      </c>
      <c r="L186" s="251">
        <v>60</v>
      </c>
      <c r="M186" s="251">
        <v>1.5</v>
      </c>
      <c r="N186" s="244">
        <v>8</v>
      </c>
      <c r="O186" s="251">
        <v>100</v>
      </c>
      <c r="P186" s="251">
        <v>2.5</v>
      </c>
      <c r="Q186" s="244">
        <v>8</v>
      </c>
      <c r="R186" s="251">
        <v>160</v>
      </c>
      <c r="S186" s="251">
        <v>4</v>
      </c>
      <c r="T186" s="87" t="s">
        <v>1648</v>
      </c>
      <c r="U186" s="244">
        <v>550</v>
      </c>
      <c r="V186" s="87" t="s">
        <v>1649</v>
      </c>
    </row>
    <row r="187" spans="1:22" ht="13.5" thickBot="1" x14ac:dyDescent="0.25">
      <c r="A187" s="48" t="s">
        <v>474</v>
      </c>
      <c r="B187" s="258" t="s">
        <v>473</v>
      </c>
      <c r="C187" s="255" t="s">
        <v>25</v>
      </c>
      <c r="D187" s="244">
        <v>8344</v>
      </c>
      <c r="E187" s="244">
        <v>0</v>
      </c>
      <c r="F187" s="251">
        <v>0</v>
      </c>
      <c r="G187" s="251">
        <v>0</v>
      </c>
      <c r="H187" s="244">
        <v>2</v>
      </c>
      <c r="I187" s="253">
        <v>79</v>
      </c>
      <c r="J187" s="253">
        <v>1.9750000000000001</v>
      </c>
      <c r="K187" s="244">
        <v>1</v>
      </c>
      <c r="L187" s="251">
        <v>79</v>
      </c>
      <c r="M187" s="251">
        <v>1.9750000000000001</v>
      </c>
      <c r="N187" s="244">
        <v>0</v>
      </c>
      <c r="O187" s="251">
        <v>0</v>
      </c>
      <c r="P187" s="251">
        <v>0</v>
      </c>
      <c r="Q187" s="244">
        <v>3</v>
      </c>
      <c r="R187" s="251">
        <v>79</v>
      </c>
      <c r="S187" s="251">
        <v>1.9750000000000001</v>
      </c>
      <c r="T187" s="87" t="s">
        <v>1649</v>
      </c>
      <c r="U187" s="244">
        <v>0</v>
      </c>
      <c r="V187" s="87" t="s">
        <v>1649</v>
      </c>
    </row>
    <row r="188" spans="1:22" ht="13.5" thickBot="1" x14ac:dyDescent="0.25">
      <c r="A188" s="48" t="s">
        <v>492</v>
      </c>
      <c r="B188" s="258" t="s">
        <v>491</v>
      </c>
      <c r="C188" s="255" t="s">
        <v>25</v>
      </c>
      <c r="D188" s="244">
        <v>10715</v>
      </c>
      <c r="E188" s="244">
        <v>2</v>
      </c>
      <c r="F188" s="251">
        <v>51.5</v>
      </c>
      <c r="G188" s="251">
        <v>1.2875000000000001</v>
      </c>
      <c r="H188" s="244">
        <v>0</v>
      </c>
      <c r="I188" s="253">
        <v>0</v>
      </c>
      <c r="J188" s="253">
        <v>0</v>
      </c>
      <c r="K188" s="244">
        <v>2</v>
      </c>
      <c r="L188" s="251">
        <v>51.5</v>
      </c>
      <c r="M188" s="251">
        <v>1.2875000000000001</v>
      </c>
      <c r="N188" s="244">
        <v>1</v>
      </c>
      <c r="O188" s="251">
        <v>21.5</v>
      </c>
      <c r="P188" s="251">
        <v>0.53749999999999998</v>
      </c>
      <c r="Q188" s="244">
        <v>3</v>
      </c>
      <c r="R188" s="251">
        <v>73</v>
      </c>
      <c r="S188" s="251">
        <v>1.825</v>
      </c>
      <c r="T188" s="87" t="s">
        <v>1648</v>
      </c>
      <c r="U188" s="244">
        <v>848</v>
      </c>
      <c r="V188" s="87" t="s">
        <v>1649</v>
      </c>
    </row>
    <row r="189" spans="1:22" ht="13.5" thickBot="1" x14ac:dyDescent="0.25">
      <c r="A189" s="48" t="s">
        <v>504</v>
      </c>
      <c r="B189" s="258" t="s">
        <v>503</v>
      </c>
      <c r="C189" s="255" t="s">
        <v>25</v>
      </c>
      <c r="D189" s="244">
        <v>7424</v>
      </c>
      <c r="E189" s="244">
        <v>0</v>
      </c>
      <c r="F189" s="251">
        <v>0</v>
      </c>
      <c r="G189" s="251">
        <v>0</v>
      </c>
      <c r="H189" s="244">
        <v>3</v>
      </c>
      <c r="I189" s="253">
        <v>75</v>
      </c>
      <c r="J189" s="253">
        <v>1.875</v>
      </c>
      <c r="K189" s="244">
        <v>3</v>
      </c>
      <c r="L189" s="251">
        <v>75</v>
      </c>
      <c r="M189" s="251">
        <v>1.875</v>
      </c>
      <c r="N189" s="244">
        <v>13</v>
      </c>
      <c r="O189" s="251">
        <v>68</v>
      </c>
      <c r="P189" s="251">
        <v>1.7</v>
      </c>
      <c r="Q189" s="244">
        <v>17</v>
      </c>
      <c r="R189" s="251">
        <v>143</v>
      </c>
      <c r="S189" s="251">
        <v>3.5750000000000002</v>
      </c>
      <c r="T189" s="87" t="s">
        <v>1648</v>
      </c>
      <c r="U189" s="244">
        <v>1189</v>
      </c>
      <c r="V189" s="87" t="s">
        <v>1649</v>
      </c>
    </row>
    <row r="190" spans="1:22" ht="13.5" thickBot="1" x14ac:dyDescent="0.25">
      <c r="A190" s="48" t="s">
        <v>510</v>
      </c>
      <c r="B190" s="258" t="s">
        <v>509</v>
      </c>
      <c r="C190" s="255" t="s">
        <v>25</v>
      </c>
      <c r="D190" s="244">
        <v>9765</v>
      </c>
      <c r="E190" s="244">
        <v>0</v>
      </c>
      <c r="F190" s="251">
        <v>0</v>
      </c>
      <c r="G190" s="251">
        <v>0</v>
      </c>
      <c r="H190" s="244">
        <v>4</v>
      </c>
      <c r="I190" s="253">
        <v>136</v>
      </c>
      <c r="J190" s="253">
        <v>3.4</v>
      </c>
      <c r="K190" s="244">
        <v>5</v>
      </c>
      <c r="L190" s="251">
        <v>136</v>
      </c>
      <c r="M190" s="251">
        <v>3.4</v>
      </c>
      <c r="N190" s="244">
        <v>5</v>
      </c>
      <c r="O190" s="251">
        <v>90</v>
      </c>
      <c r="P190" s="251">
        <v>2.25</v>
      </c>
      <c r="Q190" s="244">
        <v>9</v>
      </c>
      <c r="R190" s="251">
        <v>226</v>
      </c>
      <c r="S190" s="251">
        <v>5.65</v>
      </c>
      <c r="T190" s="87" t="s">
        <v>1649</v>
      </c>
      <c r="U190" s="244">
        <v>0</v>
      </c>
      <c r="V190" s="87" t="s">
        <v>1649</v>
      </c>
    </row>
    <row r="191" spans="1:22" ht="13.5" thickBot="1" x14ac:dyDescent="0.25">
      <c r="A191" s="48" t="s">
        <v>520</v>
      </c>
      <c r="B191" s="258" t="s">
        <v>519</v>
      </c>
      <c r="C191" s="255" t="s">
        <v>25</v>
      </c>
      <c r="D191" s="244">
        <v>9623</v>
      </c>
      <c r="E191" s="244">
        <v>0</v>
      </c>
      <c r="F191" s="251">
        <v>0</v>
      </c>
      <c r="G191" s="251">
        <v>0</v>
      </c>
      <c r="H191" s="244">
        <v>2</v>
      </c>
      <c r="I191" s="253">
        <v>60</v>
      </c>
      <c r="J191" s="253">
        <v>1.5</v>
      </c>
      <c r="K191" s="244">
        <v>2</v>
      </c>
      <c r="L191" s="251">
        <v>60</v>
      </c>
      <c r="M191" s="251">
        <v>1.5</v>
      </c>
      <c r="N191" s="244">
        <v>2</v>
      </c>
      <c r="O191" s="251">
        <v>53</v>
      </c>
      <c r="P191" s="251">
        <v>1.325</v>
      </c>
      <c r="Q191" s="244">
        <v>4</v>
      </c>
      <c r="R191" s="251">
        <v>113</v>
      </c>
      <c r="S191" s="251">
        <v>2.8250000000000002</v>
      </c>
      <c r="T191" s="87" t="s">
        <v>1649</v>
      </c>
      <c r="U191" s="244">
        <v>0</v>
      </c>
      <c r="V191" s="87" t="s">
        <v>1649</v>
      </c>
    </row>
    <row r="192" spans="1:22" ht="13.5" thickBot="1" x14ac:dyDescent="0.25">
      <c r="A192" s="48" t="s">
        <v>524</v>
      </c>
      <c r="B192" s="258" t="s">
        <v>523</v>
      </c>
      <c r="C192" s="255" t="s">
        <v>25</v>
      </c>
      <c r="D192" s="244">
        <v>7656</v>
      </c>
      <c r="E192" s="244">
        <v>1</v>
      </c>
      <c r="F192" s="251">
        <v>40</v>
      </c>
      <c r="G192" s="251">
        <v>1</v>
      </c>
      <c r="H192" s="244">
        <v>1</v>
      </c>
      <c r="I192" s="253">
        <v>21</v>
      </c>
      <c r="J192" s="253">
        <v>0.52500000000000002</v>
      </c>
      <c r="K192" s="244">
        <v>2</v>
      </c>
      <c r="L192" s="251">
        <v>61</v>
      </c>
      <c r="M192" s="251">
        <v>1.5249999999999999</v>
      </c>
      <c r="N192" s="244">
        <v>2</v>
      </c>
      <c r="O192" s="251">
        <v>20</v>
      </c>
      <c r="P192" s="251">
        <v>0.5</v>
      </c>
      <c r="Q192" s="244">
        <v>4</v>
      </c>
      <c r="R192" s="251">
        <v>81</v>
      </c>
      <c r="S192" s="251">
        <v>2.0249999999999999</v>
      </c>
      <c r="T192" s="87" t="s">
        <v>1648</v>
      </c>
      <c r="U192" s="244">
        <v>0</v>
      </c>
      <c r="V192" s="87" t="s">
        <v>1649</v>
      </c>
    </row>
    <row r="193" spans="1:22" ht="13.5" thickBot="1" x14ac:dyDescent="0.25">
      <c r="A193" s="48" t="s">
        <v>536</v>
      </c>
      <c r="B193" s="258" t="s">
        <v>535</v>
      </c>
      <c r="C193" s="255" t="s">
        <v>25</v>
      </c>
      <c r="D193" s="244">
        <v>8354</v>
      </c>
      <c r="E193" s="244">
        <v>0</v>
      </c>
      <c r="F193" s="251">
        <v>0</v>
      </c>
      <c r="G193" s="251">
        <v>0</v>
      </c>
      <c r="H193" s="244">
        <v>0</v>
      </c>
      <c r="I193" s="253">
        <v>0</v>
      </c>
      <c r="J193" s="253">
        <v>0</v>
      </c>
      <c r="K193" s="244">
        <v>4</v>
      </c>
      <c r="L193" s="251">
        <v>160</v>
      </c>
      <c r="M193" s="251">
        <v>4</v>
      </c>
      <c r="N193" s="244">
        <v>4</v>
      </c>
      <c r="O193" s="251">
        <v>127</v>
      </c>
      <c r="P193" s="251">
        <v>3.1749999999999998</v>
      </c>
      <c r="Q193" s="244">
        <v>9</v>
      </c>
      <c r="R193" s="251">
        <v>287</v>
      </c>
      <c r="S193" s="251">
        <v>7.1749999999999998</v>
      </c>
      <c r="T193" s="87" t="s">
        <v>1649</v>
      </c>
      <c r="U193" s="244">
        <v>0</v>
      </c>
      <c r="V193" s="87" t="s">
        <v>1649</v>
      </c>
    </row>
    <row r="194" spans="1:22" ht="13.5" thickBot="1" x14ac:dyDescent="0.25">
      <c r="A194" s="48" t="s">
        <v>554</v>
      </c>
      <c r="B194" s="258" t="s">
        <v>553</v>
      </c>
      <c r="C194" s="255" t="s">
        <v>25</v>
      </c>
      <c r="D194" s="244">
        <v>8640</v>
      </c>
      <c r="E194" s="244">
        <v>1</v>
      </c>
      <c r="F194" s="251">
        <v>40</v>
      </c>
      <c r="G194" s="251">
        <v>1</v>
      </c>
      <c r="H194" s="244">
        <v>0</v>
      </c>
      <c r="I194" s="252">
        <v>0</v>
      </c>
      <c r="J194" s="252">
        <v>0</v>
      </c>
      <c r="K194" s="244">
        <v>1</v>
      </c>
      <c r="L194" s="251">
        <v>40</v>
      </c>
      <c r="M194" s="251">
        <v>1</v>
      </c>
      <c r="N194" s="244">
        <v>7</v>
      </c>
      <c r="O194" s="251">
        <v>139.5</v>
      </c>
      <c r="P194" s="251">
        <v>3.4874999999999998</v>
      </c>
      <c r="Q194" s="244">
        <v>8</v>
      </c>
      <c r="R194" s="251">
        <v>179.5</v>
      </c>
      <c r="S194" s="251">
        <v>4.4874999999999998</v>
      </c>
      <c r="T194" s="87" t="s">
        <v>1648</v>
      </c>
      <c r="U194" s="244">
        <v>2272</v>
      </c>
      <c r="V194" s="87" t="s">
        <v>1649</v>
      </c>
    </row>
    <row r="195" spans="1:22" ht="13.5" thickBot="1" x14ac:dyDescent="0.25">
      <c r="A195" s="48" t="s">
        <v>564</v>
      </c>
      <c r="B195" s="258" t="s">
        <v>563</v>
      </c>
      <c r="C195" s="255" t="s">
        <v>25</v>
      </c>
      <c r="D195" s="244">
        <v>9969</v>
      </c>
      <c r="E195" s="244">
        <v>3</v>
      </c>
      <c r="F195" s="251">
        <v>80</v>
      </c>
      <c r="G195" s="251">
        <v>2</v>
      </c>
      <c r="H195" s="244">
        <v>1</v>
      </c>
      <c r="I195" s="253">
        <v>35</v>
      </c>
      <c r="J195" s="253">
        <v>0.875</v>
      </c>
      <c r="K195" s="244">
        <v>4</v>
      </c>
      <c r="L195" s="251">
        <v>103</v>
      </c>
      <c r="M195" s="251">
        <v>2.5750000000000002</v>
      </c>
      <c r="N195" s="244">
        <v>12</v>
      </c>
      <c r="O195" s="251">
        <v>409</v>
      </c>
      <c r="P195" s="251">
        <v>10.225</v>
      </c>
      <c r="Q195" s="244">
        <v>16</v>
      </c>
      <c r="R195" s="251">
        <v>512</v>
      </c>
      <c r="S195" s="251">
        <v>12.8</v>
      </c>
      <c r="T195" s="87" t="s">
        <v>1649</v>
      </c>
      <c r="U195" s="244">
        <v>0</v>
      </c>
      <c r="V195" s="87" t="s">
        <v>1649</v>
      </c>
    </row>
    <row r="196" spans="1:22" ht="13.5" thickBot="1" x14ac:dyDescent="0.25">
      <c r="A196" s="48" t="s">
        <v>568</v>
      </c>
      <c r="B196" s="258" t="s">
        <v>567</v>
      </c>
      <c r="C196" s="255" t="s">
        <v>25</v>
      </c>
      <c r="D196" s="244">
        <v>7034</v>
      </c>
      <c r="E196" s="244">
        <v>1</v>
      </c>
      <c r="F196" s="251">
        <v>30</v>
      </c>
      <c r="G196" s="251">
        <v>0.75</v>
      </c>
      <c r="H196" s="244">
        <v>6</v>
      </c>
      <c r="I196" s="253">
        <v>114</v>
      </c>
      <c r="J196" s="253">
        <v>2.85</v>
      </c>
      <c r="K196" s="244">
        <v>5</v>
      </c>
      <c r="L196" s="251">
        <v>114</v>
      </c>
      <c r="M196" s="251">
        <v>2.85</v>
      </c>
      <c r="N196" s="244">
        <v>2</v>
      </c>
      <c r="O196" s="251">
        <v>32</v>
      </c>
      <c r="P196" s="251">
        <v>0.8</v>
      </c>
      <c r="Q196" s="244">
        <v>7</v>
      </c>
      <c r="R196" s="251">
        <v>146</v>
      </c>
      <c r="S196" s="251">
        <v>3.65</v>
      </c>
      <c r="T196" s="87" t="s">
        <v>1649</v>
      </c>
      <c r="U196" s="244">
        <v>0</v>
      </c>
      <c r="V196" s="87" t="s">
        <v>1649</v>
      </c>
    </row>
    <row r="197" spans="1:22" ht="13.5" thickBot="1" x14ac:dyDescent="0.25">
      <c r="A197" s="48" t="s">
        <v>576</v>
      </c>
      <c r="B197" s="258" t="s">
        <v>575</v>
      </c>
      <c r="C197" s="255" t="s">
        <v>25</v>
      </c>
      <c r="D197" s="244">
        <v>8833</v>
      </c>
      <c r="E197" s="244">
        <v>2</v>
      </c>
      <c r="F197" s="251">
        <v>52</v>
      </c>
      <c r="G197" s="251">
        <v>1.3</v>
      </c>
      <c r="H197" s="244">
        <v>1</v>
      </c>
      <c r="I197" s="253">
        <v>18</v>
      </c>
      <c r="J197" s="253">
        <v>0.45</v>
      </c>
      <c r="K197" s="244">
        <v>3</v>
      </c>
      <c r="L197" s="251">
        <v>62</v>
      </c>
      <c r="M197" s="251">
        <v>1.55</v>
      </c>
      <c r="N197" s="244">
        <v>4</v>
      </c>
      <c r="O197" s="251">
        <v>112</v>
      </c>
      <c r="P197" s="251">
        <v>2.8</v>
      </c>
      <c r="Q197" s="244">
        <v>6</v>
      </c>
      <c r="R197" s="251">
        <v>174</v>
      </c>
      <c r="S197" s="251">
        <v>4.3499999999999996</v>
      </c>
      <c r="T197" s="87" t="s">
        <v>1648</v>
      </c>
      <c r="U197" s="244">
        <v>120</v>
      </c>
      <c r="V197" s="87" t="s">
        <v>1649</v>
      </c>
    </row>
    <row r="198" spans="1:22" ht="13.5" thickBot="1" x14ac:dyDescent="0.25">
      <c r="A198" s="48" t="s">
        <v>584</v>
      </c>
      <c r="B198" s="258" t="s">
        <v>583</v>
      </c>
      <c r="C198" s="255" t="s">
        <v>25</v>
      </c>
      <c r="D198" s="244">
        <v>11503</v>
      </c>
      <c r="E198" s="244">
        <v>2</v>
      </c>
      <c r="F198" s="251">
        <v>70</v>
      </c>
      <c r="G198" s="251">
        <v>1.75</v>
      </c>
      <c r="H198" s="244">
        <v>0</v>
      </c>
      <c r="I198" s="253">
        <v>0</v>
      </c>
      <c r="J198" s="253">
        <v>0</v>
      </c>
      <c r="K198" s="244">
        <v>2</v>
      </c>
      <c r="L198" s="251">
        <v>70</v>
      </c>
      <c r="M198" s="251">
        <v>1.75</v>
      </c>
      <c r="N198" s="244">
        <v>11</v>
      </c>
      <c r="O198" s="251">
        <v>231</v>
      </c>
      <c r="P198" s="251">
        <v>5.7750000000000004</v>
      </c>
      <c r="Q198" s="244">
        <v>13</v>
      </c>
      <c r="R198" s="251">
        <v>301</v>
      </c>
      <c r="S198" s="251">
        <v>7.5250000000000004</v>
      </c>
      <c r="T198" s="87" t="s">
        <v>1648</v>
      </c>
      <c r="U198" s="244">
        <v>115</v>
      </c>
      <c r="V198" s="87" t="s">
        <v>1649</v>
      </c>
    </row>
    <row r="199" spans="1:22" ht="13.5" thickBot="1" x14ac:dyDescent="0.25">
      <c r="A199" s="48" t="s">
        <v>610</v>
      </c>
      <c r="B199" s="258" t="s">
        <v>609</v>
      </c>
      <c r="C199" s="255" t="s">
        <v>25</v>
      </c>
      <c r="D199" s="244">
        <v>8891</v>
      </c>
      <c r="E199" s="244">
        <v>2</v>
      </c>
      <c r="F199" s="251">
        <v>75</v>
      </c>
      <c r="G199" s="251">
        <v>1.875</v>
      </c>
      <c r="H199" s="244">
        <v>3</v>
      </c>
      <c r="I199" s="253">
        <v>86</v>
      </c>
      <c r="J199" s="253">
        <v>2.15</v>
      </c>
      <c r="K199" s="244">
        <v>5</v>
      </c>
      <c r="L199" s="251">
        <v>161</v>
      </c>
      <c r="M199" s="251">
        <v>4.0250000000000004</v>
      </c>
      <c r="N199" s="244">
        <v>4</v>
      </c>
      <c r="O199" s="251">
        <v>40</v>
      </c>
      <c r="P199" s="251">
        <v>1</v>
      </c>
      <c r="Q199" s="244">
        <v>9</v>
      </c>
      <c r="R199" s="251">
        <v>201</v>
      </c>
      <c r="S199" s="251">
        <v>5.0250000000000004</v>
      </c>
      <c r="T199" s="87" t="s">
        <v>1648</v>
      </c>
      <c r="U199" s="244">
        <v>2400</v>
      </c>
      <c r="V199" s="87" t="s">
        <v>1649</v>
      </c>
    </row>
    <row r="200" spans="1:22" ht="13.5" thickBot="1" x14ac:dyDescent="0.25">
      <c r="A200" s="48" t="s">
        <v>618</v>
      </c>
      <c r="B200" s="258" t="s">
        <v>617</v>
      </c>
      <c r="C200" s="255" t="s">
        <v>25</v>
      </c>
      <c r="D200" s="244">
        <v>8543</v>
      </c>
      <c r="E200" s="244">
        <v>0</v>
      </c>
      <c r="F200" s="251">
        <v>0</v>
      </c>
      <c r="G200" s="251">
        <v>0</v>
      </c>
      <c r="H200" s="244">
        <v>2</v>
      </c>
      <c r="I200" s="253">
        <v>65</v>
      </c>
      <c r="J200" s="253">
        <v>1.625</v>
      </c>
      <c r="K200" s="244">
        <v>2</v>
      </c>
      <c r="L200" s="251">
        <v>65</v>
      </c>
      <c r="M200" s="251">
        <v>1.625</v>
      </c>
      <c r="N200" s="244">
        <v>4</v>
      </c>
      <c r="O200" s="251">
        <v>40</v>
      </c>
      <c r="P200" s="251">
        <v>1</v>
      </c>
      <c r="Q200" s="244">
        <v>6</v>
      </c>
      <c r="R200" s="251">
        <v>105</v>
      </c>
      <c r="S200" s="251">
        <v>2.625</v>
      </c>
      <c r="T200" s="87" t="s">
        <v>1648</v>
      </c>
      <c r="U200" s="244">
        <v>112</v>
      </c>
      <c r="V200" s="87" t="s">
        <v>1649</v>
      </c>
    </row>
    <row r="201" spans="1:22" ht="13.5" thickBot="1" x14ac:dyDescent="0.25">
      <c r="A201" s="48" t="s">
        <v>626</v>
      </c>
      <c r="B201" s="258" t="s">
        <v>625</v>
      </c>
      <c r="C201" s="255" t="s">
        <v>25</v>
      </c>
      <c r="D201" s="244">
        <v>7580</v>
      </c>
      <c r="E201" s="244">
        <v>2</v>
      </c>
      <c r="F201" s="251">
        <v>52</v>
      </c>
      <c r="G201" s="251">
        <v>1.3</v>
      </c>
      <c r="H201" s="244">
        <v>2</v>
      </c>
      <c r="I201" s="253">
        <v>64</v>
      </c>
      <c r="J201" s="253">
        <v>1.6</v>
      </c>
      <c r="K201" s="244">
        <v>4</v>
      </c>
      <c r="L201" s="251">
        <v>116</v>
      </c>
      <c r="M201" s="251">
        <v>2.9</v>
      </c>
      <c r="N201" s="244">
        <v>6</v>
      </c>
      <c r="O201" s="251">
        <v>57</v>
      </c>
      <c r="P201" s="251">
        <v>1.425</v>
      </c>
      <c r="Q201" s="244">
        <v>10</v>
      </c>
      <c r="R201" s="251">
        <v>173</v>
      </c>
      <c r="S201" s="251">
        <v>4.3250000000000002</v>
      </c>
      <c r="T201" s="87" t="s">
        <v>1649</v>
      </c>
      <c r="U201" s="244">
        <v>0</v>
      </c>
      <c r="V201" s="87" t="s">
        <v>1649</v>
      </c>
    </row>
    <row r="202" spans="1:22" ht="13.5" thickBot="1" x14ac:dyDescent="0.25">
      <c r="A202" s="48" t="s">
        <v>634</v>
      </c>
      <c r="B202" s="258" t="s">
        <v>633</v>
      </c>
      <c r="C202" s="255" t="s">
        <v>25</v>
      </c>
      <c r="D202" s="244">
        <v>7903</v>
      </c>
      <c r="E202" s="87">
        <v>2</v>
      </c>
      <c r="F202" s="251">
        <v>51</v>
      </c>
      <c r="G202" s="251">
        <v>1.2749999999999999</v>
      </c>
      <c r="H202" s="87">
        <v>0</v>
      </c>
      <c r="I202" s="252">
        <v>0</v>
      </c>
      <c r="J202" s="252">
        <v>0</v>
      </c>
      <c r="K202" s="244">
        <v>2</v>
      </c>
      <c r="L202" s="251">
        <v>51</v>
      </c>
      <c r="M202" s="251">
        <v>1.2749999999999999</v>
      </c>
      <c r="N202" s="244">
        <v>2</v>
      </c>
      <c r="O202" s="251">
        <v>36</v>
      </c>
      <c r="P202" s="251">
        <v>0.9</v>
      </c>
      <c r="Q202" s="244">
        <v>4</v>
      </c>
      <c r="R202" s="251">
        <v>87</v>
      </c>
      <c r="S202" s="251">
        <v>2.1749999999999998</v>
      </c>
      <c r="T202" s="87" t="s">
        <v>1648</v>
      </c>
      <c r="U202" s="244">
        <v>957</v>
      </c>
      <c r="V202" s="87" t="s">
        <v>1649</v>
      </c>
    </row>
    <row r="203" spans="1:22" ht="13.5" thickBot="1" x14ac:dyDescent="0.25">
      <c r="A203" s="48" t="s">
        <v>650</v>
      </c>
      <c r="B203" s="258" t="s">
        <v>649</v>
      </c>
      <c r="C203" s="255" t="s">
        <v>25</v>
      </c>
      <c r="D203" s="244">
        <v>11480</v>
      </c>
      <c r="E203" s="244">
        <v>1</v>
      </c>
      <c r="F203" s="251">
        <v>40</v>
      </c>
      <c r="G203" s="251">
        <v>1</v>
      </c>
      <c r="H203" s="244">
        <v>3</v>
      </c>
      <c r="I203" s="253">
        <v>120</v>
      </c>
      <c r="J203" s="253">
        <v>3</v>
      </c>
      <c r="K203" s="244">
        <v>4</v>
      </c>
      <c r="L203" s="251">
        <v>160</v>
      </c>
      <c r="M203" s="251">
        <v>4</v>
      </c>
      <c r="N203" s="244">
        <v>10</v>
      </c>
      <c r="O203" s="251">
        <v>100</v>
      </c>
      <c r="P203" s="251">
        <v>2.5</v>
      </c>
      <c r="Q203" s="244">
        <v>14</v>
      </c>
      <c r="R203" s="251">
        <v>260</v>
      </c>
      <c r="S203" s="251">
        <v>6.5</v>
      </c>
      <c r="T203" s="87" t="s">
        <v>1648</v>
      </c>
      <c r="U203" s="244">
        <v>304</v>
      </c>
      <c r="V203" s="87" t="s">
        <v>1649</v>
      </c>
    </row>
    <row r="204" spans="1:22" ht="13.5" thickBot="1" x14ac:dyDescent="0.25">
      <c r="A204" s="48" t="s">
        <v>652</v>
      </c>
      <c r="B204" s="258" t="s">
        <v>651</v>
      </c>
      <c r="C204" s="255" t="s">
        <v>25</v>
      </c>
      <c r="D204" s="244">
        <v>7798</v>
      </c>
      <c r="E204" s="87">
        <v>0</v>
      </c>
      <c r="F204" s="252">
        <v>0</v>
      </c>
      <c r="G204" s="252">
        <v>0</v>
      </c>
      <c r="H204" s="244">
        <v>2</v>
      </c>
      <c r="I204" s="253">
        <v>60</v>
      </c>
      <c r="J204" s="253">
        <v>1.5</v>
      </c>
      <c r="K204" s="244">
        <v>2</v>
      </c>
      <c r="L204" s="251">
        <v>60</v>
      </c>
      <c r="M204" s="251">
        <v>1.5</v>
      </c>
      <c r="N204" s="244">
        <v>9</v>
      </c>
      <c r="O204" s="251">
        <v>104.5</v>
      </c>
      <c r="P204" s="251">
        <v>2.6124999999999998</v>
      </c>
      <c r="Q204" s="244">
        <v>11</v>
      </c>
      <c r="R204" s="251">
        <v>164.5</v>
      </c>
      <c r="S204" s="251">
        <v>4.1124999999999998</v>
      </c>
      <c r="T204" s="87" t="s">
        <v>1648</v>
      </c>
      <c r="U204" s="244">
        <v>750</v>
      </c>
      <c r="V204" s="87" t="s">
        <v>1649</v>
      </c>
    </row>
    <row r="205" spans="1:22" ht="13.5" thickBot="1" x14ac:dyDescent="0.25">
      <c r="A205" s="48" t="s">
        <v>660</v>
      </c>
      <c r="B205" s="258" t="s">
        <v>659</v>
      </c>
      <c r="C205" s="255" t="s">
        <v>25</v>
      </c>
      <c r="D205" s="244">
        <v>7357</v>
      </c>
      <c r="E205" s="244">
        <v>0</v>
      </c>
      <c r="F205" s="251">
        <v>0</v>
      </c>
      <c r="G205" s="251">
        <v>0</v>
      </c>
      <c r="H205" s="244">
        <v>6</v>
      </c>
      <c r="I205" s="253">
        <v>139</v>
      </c>
      <c r="J205" s="253">
        <v>3.4750000000000001</v>
      </c>
      <c r="K205" s="244">
        <v>6</v>
      </c>
      <c r="L205" s="251">
        <v>139</v>
      </c>
      <c r="M205" s="251">
        <v>3.4750000000000001</v>
      </c>
      <c r="N205" s="244">
        <v>1</v>
      </c>
      <c r="O205" s="251">
        <v>14</v>
      </c>
      <c r="P205" s="251">
        <v>0.35</v>
      </c>
      <c r="Q205" s="244">
        <v>7</v>
      </c>
      <c r="R205" s="251">
        <v>153</v>
      </c>
      <c r="S205" s="251">
        <v>3.8250000000000002</v>
      </c>
      <c r="T205" s="257" t="s">
        <v>1648</v>
      </c>
      <c r="U205" s="244">
        <v>117</v>
      </c>
      <c r="V205" s="87" t="s">
        <v>1649</v>
      </c>
    </row>
    <row r="206" spans="1:22" ht="13.5" thickBot="1" x14ac:dyDescent="0.25">
      <c r="A206" s="48" t="s">
        <v>666</v>
      </c>
      <c r="B206" s="258" t="s">
        <v>665</v>
      </c>
      <c r="C206" s="255" t="s">
        <v>25</v>
      </c>
      <c r="D206" s="244">
        <v>7103</v>
      </c>
      <c r="E206" s="244">
        <v>0</v>
      </c>
      <c r="F206" s="251">
        <v>0</v>
      </c>
      <c r="G206" s="251">
        <v>0</v>
      </c>
      <c r="H206" s="244">
        <v>1</v>
      </c>
      <c r="I206" s="253">
        <v>40</v>
      </c>
      <c r="J206" s="253">
        <v>1</v>
      </c>
      <c r="K206" s="244">
        <v>1</v>
      </c>
      <c r="L206" s="251">
        <v>40</v>
      </c>
      <c r="M206" s="251">
        <v>1</v>
      </c>
      <c r="N206" s="244">
        <v>14</v>
      </c>
      <c r="O206" s="251">
        <v>167</v>
      </c>
      <c r="P206" s="251">
        <v>4.1749999999999998</v>
      </c>
      <c r="Q206" s="244">
        <v>15</v>
      </c>
      <c r="R206" s="251">
        <v>207</v>
      </c>
      <c r="S206" s="251">
        <v>5.1749999999999998</v>
      </c>
      <c r="T206" s="87" t="s">
        <v>1649</v>
      </c>
      <c r="U206" s="244">
        <v>0</v>
      </c>
      <c r="V206" s="87" t="s">
        <v>1649</v>
      </c>
    </row>
    <row r="207" spans="1:22" ht="13.5" thickBot="1" x14ac:dyDescent="0.25">
      <c r="A207" s="48" t="s">
        <v>670</v>
      </c>
      <c r="B207" s="258" t="s">
        <v>669</v>
      </c>
      <c r="C207" s="255" t="s">
        <v>25</v>
      </c>
      <c r="D207" s="244">
        <v>10188</v>
      </c>
      <c r="E207" s="244">
        <v>1</v>
      </c>
      <c r="F207" s="251">
        <v>40</v>
      </c>
      <c r="G207" s="251">
        <v>1</v>
      </c>
      <c r="H207" s="244">
        <v>0</v>
      </c>
      <c r="I207" s="253">
        <v>0</v>
      </c>
      <c r="J207" s="253">
        <v>0</v>
      </c>
      <c r="K207" s="244">
        <v>2</v>
      </c>
      <c r="L207" s="251">
        <v>74</v>
      </c>
      <c r="M207" s="251">
        <v>1.85</v>
      </c>
      <c r="N207" s="244">
        <v>8</v>
      </c>
      <c r="O207" s="251">
        <v>199.5</v>
      </c>
      <c r="P207" s="251">
        <v>4.9874999999999998</v>
      </c>
      <c r="Q207" s="244">
        <v>11</v>
      </c>
      <c r="R207" s="251">
        <v>273.5</v>
      </c>
      <c r="S207" s="251">
        <v>6.8375000000000004</v>
      </c>
      <c r="T207" s="87" t="s">
        <v>1649</v>
      </c>
      <c r="U207" s="244">
        <v>0</v>
      </c>
      <c r="V207" s="87" t="s">
        <v>1649</v>
      </c>
    </row>
    <row r="208" spans="1:22" ht="13.5" thickBot="1" x14ac:dyDescent="0.25">
      <c r="A208" s="48" t="s">
        <v>676</v>
      </c>
      <c r="B208" s="258" t="s">
        <v>675</v>
      </c>
      <c r="C208" s="255" t="s">
        <v>25</v>
      </c>
      <c r="D208" s="244">
        <v>7272</v>
      </c>
      <c r="E208" s="244">
        <v>0</v>
      </c>
      <c r="F208" s="251">
        <v>0</v>
      </c>
      <c r="G208" s="251">
        <v>0</v>
      </c>
      <c r="H208" s="244">
        <v>1</v>
      </c>
      <c r="I208" s="253">
        <v>40</v>
      </c>
      <c r="J208" s="253">
        <v>1</v>
      </c>
      <c r="K208" s="244">
        <v>1</v>
      </c>
      <c r="L208" s="251">
        <v>40</v>
      </c>
      <c r="M208" s="251">
        <v>1</v>
      </c>
      <c r="N208" s="244">
        <v>5</v>
      </c>
      <c r="O208" s="251">
        <v>111</v>
      </c>
      <c r="P208" s="251">
        <v>2.7749999999999999</v>
      </c>
      <c r="Q208" s="244">
        <v>6</v>
      </c>
      <c r="R208" s="251">
        <v>151</v>
      </c>
      <c r="S208" s="251">
        <v>3.7749999999999999</v>
      </c>
      <c r="T208" s="87" t="s">
        <v>1649</v>
      </c>
      <c r="U208" s="244">
        <v>0</v>
      </c>
      <c r="V208" s="87" t="s">
        <v>1649</v>
      </c>
    </row>
    <row r="209" spans="1:22" ht="13.5" thickBot="1" x14ac:dyDescent="0.25">
      <c r="A209" s="48" t="s">
        <v>682</v>
      </c>
      <c r="B209" s="258" t="s">
        <v>681</v>
      </c>
      <c r="C209" s="255" t="s">
        <v>25</v>
      </c>
      <c r="D209" s="244">
        <v>11377</v>
      </c>
      <c r="E209" s="244">
        <v>0</v>
      </c>
      <c r="F209" s="251">
        <v>0</v>
      </c>
      <c r="G209" s="251">
        <v>0</v>
      </c>
      <c r="H209" s="244">
        <v>1</v>
      </c>
      <c r="I209" s="253">
        <v>35</v>
      </c>
      <c r="J209" s="253">
        <v>0.875</v>
      </c>
      <c r="K209" s="244">
        <v>6</v>
      </c>
      <c r="L209" s="251">
        <v>160.5</v>
      </c>
      <c r="M209" s="251">
        <v>4.0125000000000002</v>
      </c>
      <c r="N209" s="244">
        <v>2</v>
      </c>
      <c r="O209" s="251">
        <v>27</v>
      </c>
      <c r="P209" s="251">
        <v>0.67500000000000004</v>
      </c>
      <c r="Q209" s="244">
        <v>9</v>
      </c>
      <c r="R209" s="251">
        <v>187.5</v>
      </c>
      <c r="S209" s="251">
        <v>4.6875</v>
      </c>
      <c r="T209" s="87" t="s">
        <v>1648</v>
      </c>
      <c r="U209" s="244">
        <v>2290</v>
      </c>
      <c r="V209" s="87" t="s">
        <v>1649</v>
      </c>
    </row>
    <row r="210" spans="1:22" ht="13.5" thickBot="1" x14ac:dyDescent="0.25">
      <c r="A210" s="48" t="s">
        <v>694</v>
      </c>
      <c r="B210" s="258" t="s">
        <v>693</v>
      </c>
      <c r="C210" s="255" t="s">
        <v>25</v>
      </c>
      <c r="D210" s="244">
        <v>8386</v>
      </c>
      <c r="E210" s="244">
        <v>2</v>
      </c>
      <c r="F210" s="251">
        <v>52</v>
      </c>
      <c r="G210" s="251">
        <v>1.3</v>
      </c>
      <c r="H210" s="244">
        <v>13</v>
      </c>
      <c r="I210" s="253">
        <v>197</v>
      </c>
      <c r="J210" s="253">
        <v>4.9249999999999998</v>
      </c>
      <c r="K210" s="244">
        <v>15</v>
      </c>
      <c r="L210" s="251">
        <v>249</v>
      </c>
      <c r="M210" s="251">
        <v>6.2249999999999996</v>
      </c>
      <c r="N210" s="244">
        <v>1</v>
      </c>
      <c r="O210" s="251">
        <v>12</v>
      </c>
      <c r="P210" s="251">
        <v>0.3</v>
      </c>
      <c r="Q210" s="244">
        <v>16</v>
      </c>
      <c r="R210" s="251">
        <v>261</v>
      </c>
      <c r="S210" s="251">
        <v>6.5250000000000004</v>
      </c>
      <c r="T210" s="87" t="s">
        <v>1649</v>
      </c>
      <c r="U210" s="244">
        <v>0</v>
      </c>
      <c r="V210" s="87" t="s">
        <v>1649</v>
      </c>
    </row>
    <row r="211" spans="1:22" ht="13.5" thickBot="1" x14ac:dyDescent="0.25">
      <c r="A211" s="48" t="s">
        <v>700</v>
      </c>
      <c r="B211" s="258" t="s">
        <v>699</v>
      </c>
      <c r="C211" s="255" t="s">
        <v>25</v>
      </c>
      <c r="D211" s="244">
        <v>9110</v>
      </c>
      <c r="E211" s="244">
        <v>0</v>
      </c>
      <c r="F211" s="251">
        <v>0</v>
      </c>
      <c r="G211" s="251">
        <v>0</v>
      </c>
      <c r="H211" s="244">
        <v>7</v>
      </c>
      <c r="I211" s="253">
        <v>161</v>
      </c>
      <c r="J211" s="253">
        <v>4.0250000000000004</v>
      </c>
      <c r="K211" s="244">
        <v>7</v>
      </c>
      <c r="L211" s="251">
        <v>161</v>
      </c>
      <c r="M211" s="251">
        <v>4.0250000000000004</v>
      </c>
      <c r="N211" s="244">
        <v>1</v>
      </c>
      <c r="O211" s="251">
        <v>16</v>
      </c>
      <c r="P211" s="251">
        <v>0.4</v>
      </c>
      <c r="Q211" s="244">
        <v>8</v>
      </c>
      <c r="R211" s="251">
        <v>177</v>
      </c>
      <c r="S211" s="251">
        <v>4.4249999999999998</v>
      </c>
      <c r="T211" s="257" t="s">
        <v>1648</v>
      </c>
      <c r="U211" s="244">
        <v>20</v>
      </c>
      <c r="V211" s="87" t="s">
        <v>1649</v>
      </c>
    </row>
    <row r="212" spans="1:22" ht="13.5" thickBot="1" x14ac:dyDescent="0.25">
      <c r="A212" s="48" t="s">
        <v>702</v>
      </c>
      <c r="B212" s="258" t="s">
        <v>701</v>
      </c>
      <c r="C212" s="255" t="s">
        <v>25</v>
      </c>
      <c r="D212" s="244">
        <v>9645</v>
      </c>
      <c r="E212" s="244">
        <v>1</v>
      </c>
      <c r="F212" s="251">
        <v>40</v>
      </c>
      <c r="G212" s="251">
        <v>1</v>
      </c>
      <c r="H212" s="244">
        <v>0</v>
      </c>
      <c r="I212" s="253">
        <v>0</v>
      </c>
      <c r="J212" s="253">
        <v>0</v>
      </c>
      <c r="K212" s="244">
        <v>1</v>
      </c>
      <c r="L212" s="251">
        <v>40</v>
      </c>
      <c r="M212" s="251">
        <v>1</v>
      </c>
      <c r="N212" s="244">
        <v>8</v>
      </c>
      <c r="O212" s="251">
        <v>227.5</v>
      </c>
      <c r="P212" s="251">
        <v>5.6875</v>
      </c>
      <c r="Q212" s="244">
        <v>9</v>
      </c>
      <c r="R212" s="251">
        <v>267.5</v>
      </c>
      <c r="S212" s="251">
        <v>6.6875</v>
      </c>
      <c r="T212" s="87" t="s">
        <v>1649</v>
      </c>
      <c r="U212" s="244">
        <v>0</v>
      </c>
      <c r="V212" s="87" t="s">
        <v>1649</v>
      </c>
    </row>
    <row r="213" spans="1:22" ht="13.5" thickBot="1" x14ac:dyDescent="0.25">
      <c r="A213" s="48" t="s">
        <v>718</v>
      </c>
      <c r="B213" s="258" t="s">
        <v>717</v>
      </c>
      <c r="C213" s="255" t="s">
        <v>25</v>
      </c>
      <c r="D213" s="244">
        <v>9301</v>
      </c>
      <c r="E213" s="244">
        <v>1</v>
      </c>
      <c r="F213" s="251">
        <v>40</v>
      </c>
      <c r="G213" s="251">
        <v>1</v>
      </c>
      <c r="H213" s="244">
        <v>1</v>
      </c>
      <c r="I213" s="253">
        <v>0</v>
      </c>
      <c r="J213" s="253">
        <v>0</v>
      </c>
      <c r="K213" s="244">
        <v>1</v>
      </c>
      <c r="L213" s="251">
        <v>40</v>
      </c>
      <c r="M213" s="251">
        <v>1</v>
      </c>
      <c r="N213" s="244">
        <v>3</v>
      </c>
      <c r="O213" s="251">
        <v>110</v>
      </c>
      <c r="P213" s="251">
        <v>2.75</v>
      </c>
      <c r="Q213" s="244">
        <v>4</v>
      </c>
      <c r="R213" s="251">
        <v>150</v>
      </c>
      <c r="S213" s="251">
        <v>3.75</v>
      </c>
      <c r="T213" s="87" t="s">
        <v>1649</v>
      </c>
      <c r="U213" s="244">
        <v>0</v>
      </c>
      <c r="V213" s="87" t="s">
        <v>1649</v>
      </c>
    </row>
    <row r="214" spans="1:22" ht="13.5" thickBot="1" x14ac:dyDescent="0.25">
      <c r="A214" s="48" t="s">
        <v>722</v>
      </c>
      <c r="B214" s="258" t="s">
        <v>721</v>
      </c>
      <c r="C214" s="255" t="s">
        <v>25</v>
      </c>
      <c r="D214" s="244">
        <v>7851</v>
      </c>
      <c r="E214" s="244">
        <v>0</v>
      </c>
      <c r="F214" s="251">
        <v>0</v>
      </c>
      <c r="G214" s="251">
        <v>0</v>
      </c>
      <c r="H214" s="244">
        <v>1</v>
      </c>
      <c r="I214" s="253">
        <v>40</v>
      </c>
      <c r="J214" s="253">
        <v>1</v>
      </c>
      <c r="K214" s="244">
        <v>1</v>
      </c>
      <c r="L214" s="251">
        <v>40</v>
      </c>
      <c r="M214" s="251">
        <v>1</v>
      </c>
      <c r="N214" s="244">
        <v>6</v>
      </c>
      <c r="O214" s="251">
        <v>98</v>
      </c>
      <c r="P214" s="251">
        <v>2.4500000000000002</v>
      </c>
      <c r="Q214" s="244">
        <v>7</v>
      </c>
      <c r="R214" s="251">
        <v>138</v>
      </c>
      <c r="S214" s="251">
        <v>3.45</v>
      </c>
      <c r="T214" s="87" t="s">
        <v>1648</v>
      </c>
      <c r="U214" s="244">
        <v>48</v>
      </c>
      <c r="V214" s="87" t="s">
        <v>1649</v>
      </c>
    </row>
    <row r="215" spans="1:22" ht="13.5" thickBot="1" x14ac:dyDescent="0.25">
      <c r="A215" s="48" t="s">
        <v>724</v>
      </c>
      <c r="B215" s="258" t="s">
        <v>723</v>
      </c>
      <c r="C215" s="255" t="s">
        <v>25</v>
      </c>
      <c r="D215" s="244">
        <v>10250</v>
      </c>
      <c r="E215" s="244">
        <v>1</v>
      </c>
      <c r="F215" s="251">
        <v>40</v>
      </c>
      <c r="G215" s="251">
        <v>1</v>
      </c>
      <c r="H215" s="244">
        <v>0</v>
      </c>
      <c r="I215" s="253">
        <v>0</v>
      </c>
      <c r="J215" s="253">
        <v>0</v>
      </c>
      <c r="K215" s="244">
        <v>1</v>
      </c>
      <c r="L215" s="251">
        <v>40</v>
      </c>
      <c r="M215" s="251">
        <v>1</v>
      </c>
      <c r="N215" s="244">
        <v>6</v>
      </c>
      <c r="O215" s="251">
        <v>140</v>
      </c>
      <c r="P215" s="251">
        <v>3.5</v>
      </c>
      <c r="Q215" s="244">
        <v>7</v>
      </c>
      <c r="R215" s="251">
        <v>180</v>
      </c>
      <c r="S215" s="251">
        <v>4.5</v>
      </c>
      <c r="T215" s="87" t="s">
        <v>1648</v>
      </c>
      <c r="U215" s="244">
        <v>64</v>
      </c>
      <c r="V215" s="87" t="s">
        <v>1649</v>
      </c>
    </row>
    <row r="216" spans="1:22" ht="13.5" thickBot="1" x14ac:dyDescent="0.25">
      <c r="A216" s="48" t="s">
        <v>734</v>
      </c>
      <c r="B216" s="258" t="s">
        <v>733</v>
      </c>
      <c r="C216" s="255" t="s">
        <v>25</v>
      </c>
      <c r="D216" s="244">
        <v>10662</v>
      </c>
      <c r="E216" s="244">
        <v>1</v>
      </c>
      <c r="F216" s="251">
        <v>40</v>
      </c>
      <c r="G216" s="251">
        <v>1</v>
      </c>
      <c r="H216" s="244">
        <v>2</v>
      </c>
      <c r="I216" s="253">
        <v>61</v>
      </c>
      <c r="J216" s="253">
        <v>1.5249999999999999</v>
      </c>
      <c r="K216" s="244">
        <v>3</v>
      </c>
      <c r="L216" s="251">
        <v>101</v>
      </c>
      <c r="M216" s="251">
        <v>2.5249999999999999</v>
      </c>
      <c r="N216" s="244">
        <v>2</v>
      </c>
      <c r="O216" s="251">
        <v>36</v>
      </c>
      <c r="P216" s="251">
        <v>0.9</v>
      </c>
      <c r="Q216" s="244">
        <v>5</v>
      </c>
      <c r="R216" s="251">
        <v>137</v>
      </c>
      <c r="S216" s="251">
        <v>3.4249999999999998</v>
      </c>
      <c r="T216" s="87" t="s">
        <v>1649</v>
      </c>
      <c r="U216" s="244">
        <v>0</v>
      </c>
      <c r="V216" s="87" t="s">
        <v>1649</v>
      </c>
    </row>
    <row r="217" spans="1:22" ht="13.5" thickBot="1" x14ac:dyDescent="0.25">
      <c r="A217" s="48" t="s">
        <v>738</v>
      </c>
      <c r="B217" s="258" t="s">
        <v>737</v>
      </c>
      <c r="C217" s="255" t="s">
        <v>25</v>
      </c>
      <c r="D217" s="244">
        <v>11985</v>
      </c>
      <c r="E217" s="244">
        <v>0</v>
      </c>
      <c r="F217" s="251">
        <v>0</v>
      </c>
      <c r="G217" s="251">
        <v>0</v>
      </c>
      <c r="H217" s="244">
        <v>2</v>
      </c>
      <c r="I217" s="253">
        <v>80</v>
      </c>
      <c r="J217" s="253">
        <v>2</v>
      </c>
      <c r="K217" s="244">
        <v>2</v>
      </c>
      <c r="L217" s="251">
        <v>80</v>
      </c>
      <c r="M217" s="251">
        <v>2</v>
      </c>
      <c r="N217" s="244">
        <v>7</v>
      </c>
      <c r="O217" s="251">
        <v>143</v>
      </c>
      <c r="P217" s="251">
        <v>3.5750000000000002</v>
      </c>
      <c r="Q217" s="244">
        <v>9</v>
      </c>
      <c r="R217" s="251">
        <v>223</v>
      </c>
      <c r="S217" s="251">
        <v>5.5750000000000002</v>
      </c>
      <c r="T217" s="87" t="s">
        <v>1648</v>
      </c>
      <c r="U217" s="244">
        <v>1606</v>
      </c>
      <c r="V217" s="87" t="s">
        <v>1649</v>
      </c>
    </row>
    <row r="218" spans="1:22" ht="13.5" thickBot="1" x14ac:dyDescent="0.25">
      <c r="A218" s="48" t="s">
        <v>740</v>
      </c>
      <c r="B218" s="258" t="s">
        <v>739</v>
      </c>
      <c r="C218" s="255" t="s">
        <v>25</v>
      </c>
      <c r="D218" s="244">
        <v>8147</v>
      </c>
      <c r="E218" s="244">
        <v>0</v>
      </c>
      <c r="F218" s="251">
        <v>0</v>
      </c>
      <c r="G218" s="251">
        <v>0</v>
      </c>
      <c r="H218" s="244">
        <v>6</v>
      </c>
      <c r="I218" s="253">
        <v>108</v>
      </c>
      <c r="J218" s="253">
        <v>2.7</v>
      </c>
      <c r="K218" s="244">
        <v>6</v>
      </c>
      <c r="L218" s="251">
        <v>108</v>
      </c>
      <c r="M218" s="251">
        <v>2.7</v>
      </c>
      <c r="N218" s="244">
        <v>1</v>
      </c>
      <c r="O218" s="251">
        <v>6</v>
      </c>
      <c r="P218" s="251">
        <v>0.15</v>
      </c>
      <c r="Q218" s="244">
        <v>7</v>
      </c>
      <c r="R218" s="251">
        <v>114</v>
      </c>
      <c r="S218" s="251">
        <v>2.85</v>
      </c>
      <c r="T218" s="87" t="s">
        <v>1648</v>
      </c>
      <c r="U218" s="244">
        <v>660</v>
      </c>
      <c r="V218" s="87" t="s">
        <v>1649</v>
      </c>
    </row>
    <row r="219" spans="1:22" ht="13.5" thickBot="1" x14ac:dyDescent="0.25">
      <c r="A219" s="48" t="s">
        <v>748</v>
      </c>
      <c r="B219" s="258" t="s">
        <v>747</v>
      </c>
      <c r="C219" s="255" t="s">
        <v>25</v>
      </c>
      <c r="D219" s="244">
        <v>9714</v>
      </c>
      <c r="E219" s="244">
        <v>0</v>
      </c>
      <c r="F219" s="251">
        <v>0</v>
      </c>
      <c r="G219" s="251">
        <v>0</v>
      </c>
      <c r="H219" s="244">
        <v>2</v>
      </c>
      <c r="I219" s="253">
        <v>80</v>
      </c>
      <c r="J219" s="253">
        <v>2</v>
      </c>
      <c r="K219" s="244">
        <v>2</v>
      </c>
      <c r="L219" s="251">
        <v>80</v>
      </c>
      <c r="M219" s="251">
        <v>2</v>
      </c>
      <c r="N219" s="244">
        <v>3</v>
      </c>
      <c r="O219" s="251">
        <v>85</v>
      </c>
      <c r="P219" s="251">
        <v>2.125</v>
      </c>
      <c r="Q219" s="244">
        <v>5</v>
      </c>
      <c r="R219" s="251">
        <v>165</v>
      </c>
      <c r="S219" s="251">
        <v>4.125</v>
      </c>
      <c r="T219" s="87" t="s">
        <v>1648</v>
      </c>
      <c r="U219" s="244">
        <v>1038</v>
      </c>
      <c r="V219" s="87" t="s">
        <v>1649</v>
      </c>
    </row>
    <row r="220" spans="1:22" ht="13.5" thickBot="1" x14ac:dyDescent="0.25">
      <c r="A220" s="48" t="s">
        <v>776</v>
      </c>
      <c r="B220" s="258" t="s">
        <v>775</v>
      </c>
      <c r="C220" s="255" t="s">
        <v>25</v>
      </c>
      <c r="D220" s="244">
        <v>9514</v>
      </c>
      <c r="E220" s="87">
        <v>0</v>
      </c>
      <c r="F220" s="252">
        <v>0</v>
      </c>
      <c r="G220" s="252">
        <v>0</v>
      </c>
      <c r="H220" s="87">
        <v>1</v>
      </c>
      <c r="I220" s="253">
        <v>37</v>
      </c>
      <c r="J220" s="253">
        <v>0.92500000000000004</v>
      </c>
      <c r="K220" s="244">
        <v>1</v>
      </c>
      <c r="L220" s="252">
        <v>37</v>
      </c>
      <c r="M220" s="252">
        <v>0.93</v>
      </c>
      <c r="N220" s="244">
        <v>2</v>
      </c>
      <c r="O220" s="252">
        <v>37</v>
      </c>
      <c r="P220" s="252">
        <v>0.93</v>
      </c>
      <c r="Q220" s="244">
        <v>3</v>
      </c>
      <c r="R220" s="252">
        <v>74</v>
      </c>
      <c r="S220" s="252">
        <v>1.85</v>
      </c>
      <c r="T220" s="87" t="s">
        <v>1648</v>
      </c>
      <c r="U220" s="244">
        <v>490</v>
      </c>
      <c r="V220" s="87" t="s">
        <v>1649</v>
      </c>
    </row>
    <row r="221" spans="1:22" ht="13.5" thickBot="1" x14ac:dyDescent="0.25">
      <c r="A221" s="48" t="s">
        <v>790</v>
      </c>
      <c r="B221" s="258" t="s">
        <v>789</v>
      </c>
      <c r="C221" s="255" t="s">
        <v>25</v>
      </c>
      <c r="D221" s="244">
        <v>9138</v>
      </c>
      <c r="E221" s="244">
        <v>1</v>
      </c>
      <c r="F221" s="251">
        <v>40</v>
      </c>
      <c r="G221" s="251">
        <v>1</v>
      </c>
      <c r="H221" s="244">
        <v>0</v>
      </c>
      <c r="I221" s="253">
        <v>0</v>
      </c>
      <c r="J221" s="253">
        <v>0</v>
      </c>
      <c r="K221" s="244">
        <v>1</v>
      </c>
      <c r="L221" s="251">
        <v>40</v>
      </c>
      <c r="M221" s="251">
        <v>1</v>
      </c>
      <c r="N221" s="244">
        <v>9</v>
      </c>
      <c r="O221" s="251">
        <v>132.5</v>
      </c>
      <c r="P221" s="251">
        <v>3.3125</v>
      </c>
      <c r="Q221" s="244">
        <v>10</v>
      </c>
      <c r="R221" s="251">
        <v>172.5</v>
      </c>
      <c r="S221" s="251">
        <v>4.3125</v>
      </c>
      <c r="T221" s="87" t="s">
        <v>1648</v>
      </c>
      <c r="U221" s="244">
        <v>217</v>
      </c>
      <c r="V221" s="87" t="s">
        <v>1649</v>
      </c>
    </row>
    <row r="222" spans="1:22" ht="13.5" thickBot="1" x14ac:dyDescent="0.25">
      <c r="A222" s="48" t="s">
        <v>792</v>
      </c>
      <c r="B222" s="258" t="s">
        <v>791</v>
      </c>
      <c r="C222" s="255" t="s">
        <v>25</v>
      </c>
      <c r="D222" s="244">
        <v>7370</v>
      </c>
      <c r="E222" s="244">
        <v>0</v>
      </c>
      <c r="F222" s="251">
        <v>0</v>
      </c>
      <c r="G222" s="251">
        <v>0</v>
      </c>
      <c r="H222" s="244">
        <v>0</v>
      </c>
      <c r="I222" s="253">
        <v>0</v>
      </c>
      <c r="J222" s="253">
        <v>0</v>
      </c>
      <c r="K222" s="244">
        <v>1</v>
      </c>
      <c r="L222" s="251">
        <v>40</v>
      </c>
      <c r="M222" s="251">
        <v>1</v>
      </c>
      <c r="N222" s="244">
        <v>8</v>
      </c>
      <c r="O222" s="251">
        <v>218</v>
      </c>
      <c r="P222" s="251">
        <v>5.45</v>
      </c>
      <c r="Q222" s="244">
        <v>8</v>
      </c>
      <c r="R222" s="251">
        <v>258</v>
      </c>
      <c r="S222" s="251">
        <v>6.45</v>
      </c>
      <c r="T222" s="87" t="s">
        <v>1649</v>
      </c>
      <c r="U222" s="244">
        <v>0</v>
      </c>
      <c r="V222" s="87" t="s">
        <v>1649</v>
      </c>
    </row>
    <row r="223" spans="1:22" ht="13.5" thickBot="1" x14ac:dyDescent="0.25">
      <c r="A223" s="48" t="s">
        <v>796</v>
      </c>
      <c r="B223" s="258" t="s">
        <v>795</v>
      </c>
      <c r="C223" s="255" t="s">
        <v>25</v>
      </c>
      <c r="D223" s="244">
        <v>8533</v>
      </c>
      <c r="E223" s="244">
        <v>0</v>
      </c>
      <c r="F223" s="251">
        <v>0</v>
      </c>
      <c r="G223" s="251">
        <v>0</v>
      </c>
      <c r="H223" s="244">
        <v>9</v>
      </c>
      <c r="I223" s="253">
        <v>224.5</v>
      </c>
      <c r="J223" s="253">
        <v>5.6124999999999998</v>
      </c>
      <c r="K223" s="244">
        <v>9</v>
      </c>
      <c r="L223" s="251">
        <v>224.5</v>
      </c>
      <c r="M223" s="251">
        <v>5.6124999999999998</v>
      </c>
      <c r="N223" s="244">
        <v>0</v>
      </c>
      <c r="O223" s="251">
        <v>0</v>
      </c>
      <c r="P223" s="251">
        <v>0</v>
      </c>
      <c r="Q223" s="244">
        <v>9</v>
      </c>
      <c r="R223" s="251">
        <v>224.5</v>
      </c>
      <c r="S223" s="251">
        <v>5.6124999999999998</v>
      </c>
      <c r="T223" s="87" t="s">
        <v>1649</v>
      </c>
      <c r="U223" s="244">
        <v>0</v>
      </c>
      <c r="V223" s="87" t="s">
        <v>1649</v>
      </c>
    </row>
    <row r="224" spans="1:22" ht="13.5" thickBot="1" x14ac:dyDescent="0.25">
      <c r="A224" s="48" t="s">
        <v>798</v>
      </c>
      <c r="B224" s="258" t="s">
        <v>797</v>
      </c>
      <c r="C224" s="255" t="s">
        <v>25</v>
      </c>
      <c r="D224" s="244">
        <v>11811</v>
      </c>
      <c r="E224" s="244">
        <v>0</v>
      </c>
      <c r="F224" s="251">
        <v>0</v>
      </c>
      <c r="G224" s="251">
        <v>0</v>
      </c>
      <c r="H224" s="244">
        <v>7</v>
      </c>
      <c r="I224" s="253">
        <v>191</v>
      </c>
      <c r="J224" s="253">
        <v>4.7750000000000004</v>
      </c>
      <c r="K224" s="244">
        <v>7</v>
      </c>
      <c r="L224" s="251">
        <v>191</v>
      </c>
      <c r="M224" s="251">
        <v>4.7750000000000004</v>
      </c>
      <c r="N224" s="244">
        <v>13</v>
      </c>
      <c r="O224" s="251">
        <v>95</v>
      </c>
      <c r="P224" s="251">
        <v>2.375</v>
      </c>
      <c r="Q224" s="244">
        <v>20</v>
      </c>
      <c r="R224" s="251">
        <v>286</v>
      </c>
      <c r="S224" s="251">
        <v>7.15</v>
      </c>
      <c r="T224" s="87" t="s">
        <v>1648</v>
      </c>
      <c r="U224" s="244">
        <v>1160</v>
      </c>
      <c r="V224" s="87" t="s">
        <v>1649</v>
      </c>
    </row>
    <row r="225" spans="1:22" ht="13.5" thickBot="1" x14ac:dyDescent="0.25">
      <c r="A225" s="48" t="s">
        <v>804</v>
      </c>
      <c r="B225" s="258" t="s">
        <v>803</v>
      </c>
      <c r="C225" s="255" t="s">
        <v>25</v>
      </c>
      <c r="D225" s="244">
        <v>10014</v>
      </c>
      <c r="E225" s="244">
        <v>0</v>
      </c>
      <c r="F225" s="251">
        <v>0</v>
      </c>
      <c r="G225" s="251">
        <v>0</v>
      </c>
      <c r="H225" s="244">
        <v>1</v>
      </c>
      <c r="I225" s="253">
        <v>30</v>
      </c>
      <c r="J225" s="253">
        <v>0.75</v>
      </c>
      <c r="K225" s="244">
        <v>1</v>
      </c>
      <c r="L225" s="251">
        <v>30</v>
      </c>
      <c r="M225" s="251">
        <v>0.75</v>
      </c>
      <c r="N225" s="244">
        <v>9</v>
      </c>
      <c r="O225" s="251">
        <v>154.75</v>
      </c>
      <c r="P225" s="251">
        <v>3.8687499999999999</v>
      </c>
      <c r="Q225" s="244">
        <v>10</v>
      </c>
      <c r="R225" s="251">
        <v>184.75</v>
      </c>
      <c r="S225" s="251">
        <v>4.6187500000000004</v>
      </c>
      <c r="T225" s="87" t="s">
        <v>1648</v>
      </c>
      <c r="U225" s="244">
        <v>2267</v>
      </c>
      <c r="V225" s="87" t="s">
        <v>1649</v>
      </c>
    </row>
    <row r="226" spans="1:22" ht="13.5" thickBot="1" x14ac:dyDescent="0.25">
      <c r="A226" s="48" t="s">
        <v>19</v>
      </c>
      <c r="B226" s="258" t="s">
        <v>18</v>
      </c>
      <c r="C226" s="255" t="s">
        <v>22</v>
      </c>
      <c r="D226" s="244">
        <v>21133</v>
      </c>
      <c r="E226" s="244">
        <v>3</v>
      </c>
      <c r="F226" s="251">
        <v>120</v>
      </c>
      <c r="G226" s="251">
        <v>3</v>
      </c>
      <c r="H226" s="244">
        <v>0</v>
      </c>
      <c r="I226" s="253">
        <v>0</v>
      </c>
      <c r="J226" s="253">
        <v>0</v>
      </c>
      <c r="K226" s="244">
        <v>3</v>
      </c>
      <c r="L226" s="251">
        <v>120</v>
      </c>
      <c r="M226" s="251">
        <v>3</v>
      </c>
      <c r="N226" s="244">
        <v>9</v>
      </c>
      <c r="O226" s="251">
        <v>260</v>
      </c>
      <c r="P226" s="251">
        <v>6.5</v>
      </c>
      <c r="Q226" s="244">
        <v>12</v>
      </c>
      <c r="R226" s="251">
        <v>380</v>
      </c>
      <c r="S226" s="251">
        <v>9.5</v>
      </c>
      <c r="T226" s="87" t="s">
        <v>1649</v>
      </c>
      <c r="U226" s="244">
        <v>0</v>
      </c>
      <c r="V226" s="87" t="s">
        <v>1649</v>
      </c>
    </row>
    <row r="227" spans="1:22" ht="13.5" thickBot="1" x14ac:dyDescent="0.25">
      <c r="A227" s="48" t="s">
        <v>36</v>
      </c>
      <c r="B227" s="258" t="s">
        <v>35</v>
      </c>
      <c r="C227" s="255" t="s">
        <v>22</v>
      </c>
      <c r="D227" s="244">
        <v>17401</v>
      </c>
      <c r="E227" s="244">
        <v>3</v>
      </c>
      <c r="F227" s="251">
        <v>120</v>
      </c>
      <c r="G227" s="251">
        <v>3</v>
      </c>
      <c r="H227" s="244">
        <v>2</v>
      </c>
      <c r="I227" s="253">
        <v>80</v>
      </c>
      <c r="J227" s="253">
        <v>2</v>
      </c>
      <c r="K227" s="244">
        <v>5</v>
      </c>
      <c r="L227" s="251">
        <v>200</v>
      </c>
      <c r="M227" s="251">
        <v>5</v>
      </c>
      <c r="N227" s="244">
        <v>11</v>
      </c>
      <c r="O227" s="251">
        <v>170</v>
      </c>
      <c r="P227" s="251">
        <v>4.25</v>
      </c>
      <c r="Q227" s="244">
        <v>14</v>
      </c>
      <c r="R227" s="251">
        <v>370</v>
      </c>
      <c r="S227" s="251">
        <v>9.25</v>
      </c>
      <c r="T227" s="87" t="s">
        <v>1649</v>
      </c>
      <c r="U227" s="244">
        <v>0</v>
      </c>
      <c r="V227" s="87" t="s">
        <v>1649</v>
      </c>
    </row>
    <row r="228" spans="1:22" ht="13.5" thickBot="1" x14ac:dyDescent="0.25">
      <c r="A228" s="48" t="s">
        <v>64</v>
      </c>
      <c r="B228" s="258" t="s">
        <v>63</v>
      </c>
      <c r="C228" s="255" t="s">
        <v>22</v>
      </c>
      <c r="D228" s="244">
        <v>21412</v>
      </c>
      <c r="E228" s="244">
        <v>5</v>
      </c>
      <c r="F228" s="251">
        <v>166</v>
      </c>
      <c r="G228" s="251">
        <v>4.1500000000000004</v>
      </c>
      <c r="H228" s="244">
        <v>1</v>
      </c>
      <c r="I228" s="253">
        <v>24</v>
      </c>
      <c r="J228" s="253">
        <v>0.6</v>
      </c>
      <c r="K228" s="244">
        <v>6</v>
      </c>
      <c r="L228" s="251">
        <v>190</v>
      </c>
      <c r="M228" s="251">
        <v>4.75</v>
      </c>
      <c r="N228" s="244">
        <v>21</v>
      </c>
      <c r="O228" s="251">
        <v>401</v>
      </c>
      <c r="P228" s="251">
        <v>10.025</v>
      </c>
      <c r="Q228" s="244">
        <v>26</v>
      </c>
      <c r="R228" s="251">
        <v>591</v>
      </c>
      <c r="S228" s="251">
        <v>14.775</v>
      </c>
      <c r="T228" s="87" t="s">
        <v>1648</v>
      </c>
      <c r="U228" s="244">
        <v>20</v>
      </c>
      <c r="V228" s="87" t="s">
        <v>1649</v>
      </c>
    </row>
    <row r="229" spans="1:22" ht="13.5" thickBot="1" x14ac:dyDescent="0.25">
      <c r="A229" s="48" t="s">
        <v>68</v>
      </c>
      <c r="B229" s="258" t="s">
        <v>67</v>
      </c>
      <c r="C229" s="255" t="s">
        <v>22</v>
      </c>
      <c r="D229" s="244">
        <v>25883</v>
      </c>
      <c r="E229" s="244">
        <v>6</v>
      </c>
      <c r="F229" s="251">
        <v>168</v>
      </c>
      <c r="G229" s="251">
        <v>4.2</v>
      </c>
      <c r="H229" s="244">
        <v>0</v>
      </c>
      <c r="I229" s="253">
        <v>0</v>
      </c>
      <c r="J229" s="253">
        <v>0</v>
      </c>
      <c r="K229" s="244">
        <v>6</v>
      </c>
      <c r="L229" s="251">
        <v>168</v>
      </c>
      <c r="M229" s="251">
        <v>4.2</v>
      </c>
      <c r="N229" s="244">
        <v>15</v>
      </c>
      <c r="O229" s="251">
        <v>234</v>
      </c>
      <c r="P229" s="251">
        <v>5.85</v>
      </c>
      <c r="Q229" s="244">
        <v>21</v>
      </c>
      <c r="R229" s="251">
        <v>402</v>
      </c>
      <c r="S229" s="251">
        <v>10.050000000000001</v>
      </c>
      <c r="T229" s="257" t="s">
        <v>1648</v>
      </c>
      <c r="U229" s="244">
        <v>1041</v>
      </c>
      <c r="V229" s="87" t="s">
        <v>1649</v>
      </c>
    </row>
    <row r="230" spans="1:22" ht="13.5" thickBot="1" x14ac:dyDescent="0.25">
      <c r="A230" s="48" t="s">
        <v>88</v>
      </c>
      <c r="B230" s="258" t="s">
        <v>87</v>
      </c>
      <c r="C230" s="255" t="s">
        <v>22</v>
      </c>
      <c r="D230" s="244">
        <v>24787</v>
      </c>
      <c r="E230" s="244">
        <v>3</v>
      </c>
      <c r="F230" s="251">
        <v>115</v>
      </c>
      <c r="G230" s="251">
        <v>2.875</v>
      </c>
      <c r="H230" s="244">
        <v>0</v>
      </c>
      <c r="I230" s="252">
        <v>0</v>
      </c>
      <c r="J230" s="252">
        <v>0</v>
      </c>
      <c r="K230" s="244">
        <v>3</v>
      </c>
      <c r="L230" s="251">
        <v>115</v>
      </c>
      <c r="M230" s="251">
        <v>2.875</v>
      </c>
      <c r="N230" s="244">
        <v>13</v>
      </c>
      <c r="O230" s="251">
        <v>269</v>
      </c>
      <c r="P230" s="251">
        <v>6.7249999999999996</v>
      </c>
      <c r="Q230" s="244">
        <v>16</v>
      </c>
      <c r="R230" s="251">
        <v>384</v>
      </c>
      <c r="S230" s="251">
        <v>9.6</v>
      </c>
      <c r="T230" s="87" t="s">
        <v>1649</v>
      </c>
      <c r="U230" s="244">
        <v>0</v>
      </c>
      <c r="V230" s="87" t="s">
        <v>1649</v>
      </c>
    </row>
    <row r="231" spans="1:22" ht="13.5" thickBot="1" x14ac:dyDescent="0.25">
      <c r="A231" s="48" t="s">
        <v>94</v>
      </c>
      <c r="B231" s="258" t="s">
        <v>93</v>
      </c>
      <c r="C231" s="255" t="s">
        <v>22</v>
      </c>
      <c r="D231" s="244">
        <v>14970</v>
      </c>
      <c r="E231" s="244">
        <v>3</v>
      </c>
      <c r="F231" s="251">
        <v>96</v>
      </c>
      <c r="G231" s="251">
        <v>2.4</v>
      </c>
      <c r="H231" s="244">
        <v>0</v>
      </c>
      <c r="I231" s="253">
        <v>0</v>
      </c>
      <c r="J231" s="253">
        <v>0</v>
      </c>
      <c r="K231" s="244">
        <v>3</v>
      </c>
      <c r="L231" s="251">
        <v>96</v>
      </c>
      <c r="M231" s="251">
        <v>2.4</v>
      </c>
      <c r="N231" s="244">
        <v>11</v>
      </c>
      <c r="O231" s="251">
        <v>255</v>
      </c>
      <c r="P231" s="251">
        <v>6.375</v>
      </c>
      <c r="Q231" s="244">
        <v>14</v>
      </c>
      <c r="R231" s="251">
        <v>351</v>
      </c>
      <c r="S231" s="251">
        <v>8.7750000000000004</v>
      </c>
      <c r="T231" s="87" t="s">
        <v>1649</v>
      </c>
      <c r="U231" s="244">
        <v>0</v>
      </c>
      <c r="V231" s="87" t="s">
        <v>1649</v>
      </c>
    </row>
    <row r="232" spans="1:22" ht="13.5" thickBot="1" x14ac:dyDescent="0.25">
      <c r="A232" s="48" t="s">
        <v>104</v>
      </c>
      <c r="B232" s="258" t="s">
        <v>103</v>
      </c>
      <c r="C232" s="255" t="s">
        <v>22</v>
      </c>
      <c r="D232" s="244">
        <v>20025</v>
      </c>
      <c r="E232" s="244">
        <v>2</v>
      </c>
      <c r="F232" s="251">
        <v>80</v>
      </c>
      <c r="G232" s="251">
        <v>2</v>
      </c>
      <c r="H232" s="244">
        <v>0</v>
      </c>
      <c r="I232" s="253">
        <v>0</v>
      </c>
      <c r="J232" s="253">
        <v>0</v>
      </c>
      <c r="K232" s="244">
        <v>2</v>
      </c>
      <c r="L232" s="251">
        <v>80</v>
      </c>
      <c r="M232" s="251">
        <v>2</v>
      </c>
      <c r="N232" s="244">
        <v>8</v>
      </c>
      <c r="O232" s="251">
        <v>171</v>
      </c>
      <c r="P232" s="251">
        <v>4.2750000000000004</v>
      </c>
      <c r="Q232" s="244">
        <v>10</v>
      </c>
      <c r="R232" s="251">
        <v>251</v>
      </c>
      <c r="S232" s="251">
        <v>6.2750000000000004</v>
      </c>
      <c r="T232" s="87" t="s">
        <v>1649</v>
      </c>
      <c r="U232" s="244">
        <v>0</v>
      </c>
      <c r="V232" s="87" t="s">
        <v>1649</v>
      </c>
    </row>
    <row r="233" spans="1:22" ht="13.5" thickBot="1" x14ac:dyDescent="0.25">
      <c r="A233" s="48" t="s">
        <v>116</v>
      </c>
      <c r="B233" s="258" t="s">
        <v>115</v>
      </c>
      <c r="C233" s="255" t="s">
        <v>22</v>
      </c>
      <c r="D233" s="244">
        <v>15175</v>
      </c>
      <c r="E233" s="244">
        <v>6</v>
      </c>
      <c r="F233" s="251">
        <v>230</v>
      </c>
      <c r="G233" s="251">
        <v>5.75</v>
      </c>
      <c r="H233" s="244">
        <v>6</v>
      </c>
      <c r="I233" s="253">
        <v>154</v>
      </c>
      <c r="J233" s="253">
        <v>3.85</v>
      </c>
      <c r="K233" s="244">
        <v>12</v>
      </c>
      <c r="L233" s="251">
        <v>384</v>
      </c>
      <c r="M233" s="251">
        <v>9.6</v>
      </c>
      <c r="N233" s="244">
        <v>7</v>
      </c>
      <c r="O233" s="251">
        <v>190</v>
      </c>
      <c r="P233" s="251">
        <v>4.75</v>
      </c>
      <c r="Q233" s="244">
        <v>19</v>
      </c>
      <c r="R233" s="251">
        <v>574</v>
      </c>
      <c r="S233" s="251">
        <v>14.35</v>
      </c>
      <c r="T233" s="87" t="s">
        <v>1649</v>
      </c>
      <c r="U233" s="244">
        <v>0</v>
      </c>
      <c r="V233" s="87" t="s">
        <v>1649</v>
      </c>
    </row>
    <row r="234" spans="1:22" ht="13.5" thickBot="1" x14ac:dyDescent="0.25">
      <c r="A234" s="48" t="s">
        <v>118</v>
      </c>
      <c r="B234" s="258" t="s">
        <v>117</v>
      </c>
      <c r="C234" s="255" t="s">
        <v>22</v>
      </c>
      <c r="D234" s="244">
        <v>12667</v>
      </c>
      <c r="E234" s="244">
        <v>1</v>
      </c>
      <c r="F234" s="251">
        <v>40</v>
      </c>
      <c r="G234" s="251">
        <v>1</v>
      </c>
      <c r="H234" s="244">
        <v>3</v>
      </c>
      <c r="I234" s="253">
        <v>120</v>
      </c>
      <c r="J234" s="253">
        <v>3</v>
      </c>
      <c r="K234" s="244">
        <v>4</v>
      </c>
      <c r="L234" s="251">
        <v>160</v>
      </c>
      <c r="M234" s="251">
        <v>4</v>
      </c>
      <c r="N234" s="244">
        <v>5</v>
      </c>
      <c r="O234" s="251">
        <v>62</v>
      </c>
      <c r="P234" s="251">
        <v>1.55</v>
      </c>
      <c r="Q234" s="244">
        <v>9</v>
      </c>
      <c r="R234" s="251">
        <v>222</v>
      </c>
      <c r="S234" s="251">
        <v>5.55</v>
      </c>
      <c r="T234" s="87" t="s">
        <v>1648</v>
      </c>
      <c r="U234" s="244">
        <v>50</v>
      </c>
      <c r="V234" s="87" t="s">
        <v>1649</v>
      </c>
    </row>
    <row r="235" spans="1:22" ht="13.5" thickBot="1" x14ac:dyDescent="0.25">
      <c r="A235" s="48" t="s">
        <v>122</v>
      </c>
      <c r="B235" s="258" t="s">
        <v>121</v>
      </c>
      <c r="C235" s="255" t="s">
        <v>22</v>
      </c>
      <c r="D235" s="244">
        <v>19336</v>
      </c>
      <c r="E235" s="244">
        <v>2</v>
      </c>
      <c r="F235" s="251">
        <v>80</v>
      </c>
      <c r="G235" s="251">
        <v>2</v>
      </c>
      <c r="H235" s="244">
        <v>2</v>
      </c>
      <c r="I235" s="253">
        <v>80</v>
      </c>
      <c r="J235" s="253">
        <v>2</v>
      </c>
      <c r="K235" s="244">
        <v>4</v>
      </c>
      <c r="L235" s="251">
        <v>160</v>
      </c>
      <c r="M235" s="251">
        <v>4</v>
      </c>
      <c r="N235" s="244">
        <v>5</v>
      </c>
      <c r="O235" s="251">
        <v>160</v>
      </c>
      <c r="P235" s="251">
        <v>4</v>
      </c>
      <c r="Q235" s="244">
        <v>9</v>
      </c>
      <c r="R235" s="251">
        <v>320</v>
      </c>
      <c r="S235" s="251">
        <v>8</v>
      </c>
      <c r="T235" s="87" t="s">
        <v>1648</v>
      </c>
      <c r="U235" s="244">
        <v>3264</v>
      </c>
      <c r="V235" s="87" t="s">
        <v>1649</v>
      </c>
    </row>
    <row r="236" spans="1:22" ht="13.5" thickBot="1" x14ac:dyDescent="0.25">
      <c r="A236" s="48" t="s">
        <v>158</v>
      </c>
      <c r="B236" s="258" t="s">
        <v>157</v>
      </c>
      <c r="C236" s="255" t="s">
        <v>22</v>
      </c>
      <c r="D236" s="244">
        <v>15068</v>
      </c>
      <c r="E236" s="244">
        <v>2</v>
      </c>
      <c r="F236" s="251">
        <v>80</v>
      </c>
      <c r="G236" s="251">
        <v>2</v>
      </c>
      <c r="H236" s="244">
        <v>1</v>
      </c>
      <c r="I236" s="253">
        <v>40</v>
      </c>
      <c r="J236" s="253">
        <v>1</v>
      </c>
      <c r="K236" s="244">
        <v>3</v>
      </c>
      <c r="L236" s="251">
        <v>120</v>
      </c>
      <c r="M236" s="251">
        <v>3</v>
      </c>
      <c r="N236" s="244">
        <v>6</v>
      </c>
      <c r="O236" s="251">
        <v>164</v>
      </c>
      <c r="P236" s="251">
        <v>4.0999999999999996</v>
      </c>
      <c r="Q236" s="244">
        <v>9</v>
      </c>
      <c r="R236" s="251">
        <v>284</v>
      </c>
      <c r="S236" s="251">
        <v>7.1</v>
      </c>
      <c r="T236" s="257" t="s">
        <v>1648</v>
      </c>
      <c r="U236" s="244">
        <v>350</v>
      </c>
      <c r="V236" s="87" t="s">
        <v>1649</v>
      </c>
    </row>
    <row r="237" spans="1:22" ht="13.5" thickBot="1" x14ac:dyDescent="0.25">
      <c r="A237" s="48" t="s">
        <v>162</v>
      </c>
      <c r="B237" s="258" t="s">
        <v>161</v>
      </c>
      <c r="C237" s="255" t="s">
        <v>22</v>
      </c>
      <c r="D237" s="244">
        <v>24370</v>
      </c>
      <c r="E237" s="244">
        <v>2</v>
      </c>
      <c r="F237" s="251">
        <v>75</v>
      </c>
      <c r="G237" s="251">
        <v>1.875</v>
      </c>
      <c r="H237" s="244">
        <v>6</v>
      </c>
      <c r="I237" s="253">
        <v>187</v>
      </c>
      <c r="J237" s="253">
        <v>4.6749999999999998</v>
      </c>
      <c r="K237" s="244">
        <v>8</v>
      </c>
      <c r="L237" s="251">
        <v>262</v>
      </c>
      <c r="M237" s="251">
        <v>6.55</v>
      </c>
      <c r="N237" s="244">
        <v>9</v>
      </c>
      <c r="O237" s="251">
        <v>146</v>
      </c>
      <c r="P237" s="251">
        <v>3.65</v>
      </c>
      <c r="Q237" s="244">
        <v>17</v>
      </c>
      <c r="R237" s="251">
        <v>408</v>
      </c>
      <c r="S237" s="251">
        <v>10.199999999999999</v>
      </c>
      <c r="T237" s="87" t="s">
        <v>1649</v>
      </c>
      <c r="U237" s="244">
        <v>0</v>
      </c>
      <c r="V237" s="87" t="s">
        <v>1649</v>
      </c>
    </row>
    <row r="238" spans="1:22" ht="13.5" thickBot="1" x14ac:dyDescent="0.25">
      <c r="A238" s="48" t="s">
        <v>166</v>
      </c>
      <c r="B238" s="258" t="s">
        <v>165</v>
      </c>
      <c r="C238" s="255" t="s">
        <v>22</v>
      </c>
      <c r="D238" s="244">
        <v>13894</v>
      </c>
      <c r="E238" s="244">
        <v>3</v>
      </c>
      <c r="F238" s="251">
        <v>120</v>
      </c>
      <c r="G238" s="251">
        <v>3</v>
      </c>
      <c r="H238" s="244">
        <v>0</v>
      </c>
      <c r="I238" s="252">
        <v>0</v>
      </c>
      <c r="J238" s="252">
        <v>0</v>
      </c>
      <c r="K238" s="244">
        <v>3</v>
      </c>
      <c r="L238" s="251">
        <v>120</v>
      </c>
      <c r="M238" s="251">
        <v>3</v>
      </c>
      <c r="N238" s="244">
        <v>12</v>
      </c>
      <c r="O238" s="251">
        <v>244</v>
      </c>
      <c r="P238" s="251">
        <v>6.1</v>
      </c>
      <c r="Q238" s="244">
        <v>15</v>
      </c>
      <c r="R238" s="251">
        <v>364</v>
      </c>
      <c r="S238" s="251">
        <v>9.1</v>
      </c>
      <c r="T238" s="257" t="s">
        <v>1648</v>
      </c>
      <c r="U238" s="244">
        <v>33</v>
      </c>
      <c r="V238" s="87" t="s">
        <v>1649</v>
      </c>
    </row>
    <row r="239" spans="1:22" ht="13.5" thickBot="1" x14ac:dyDescent="0.25">
      <c r="A239" s="48" t="s">
        <v>168</v>
      </c>
      <c r="B239" s="258" t="s">
        <v>167</v>
      </c>
      <c r="C239" s="255" t="s">
        <v>22</v>
      </c>
      <c r="D239" s="244">
        <v>15010</v>
      </c>
      <c r="E239" s="244">
        <v>9</v>
      </c>
      <c r="F239" s="251">
        <v>360</v>
      </c>
      <c r="G239" s="251">
        <v>9</v>
      </c>
      <c r="H239" s="244">
        <v>0</v>
      </c>
      <c r="I239" s="253">
        <v>0</v>
      </c>
      <c r="J239" s="253">
        <v>0</v>
      </c>
      <c r="K239" s="244">
        <v>9</v>
      </c>
      <c r="L239" s="251">
        <v>360</v>
      </c>
      <c r="M239" s="251">
        <v>9</v>
      </c>
      <c r="N239" s="244">
        <v>18</v>
      </c>
      <c r="O239" s="251">
        <v>455</v>
      </c>
      <c r="P239" s="251">
        <v>11.375</v>
      </c>
      <c r="Q239" s="244">
        <v>27</v>
      </c>
      <c r="R239" s="251">
        <v>815</v>
      </c>
      <c r="S239" s="251">
        <v>20.375</v>
      </c>
      <c r="T239" s="87" t="s">
        <v>1649</v>
      </c>
      <c r="U239" s="244">
        <v>0</v>
      </c>
      <c r="V239" s="87" t="s">
        <v>1649</v>
      </c>
    </row>
    <row r="240" spans="1:22" ht="13.5" thickBot="1" x14ac:dyDescent="0.25">
      <c r="A240" s="48" t="s">
        <v>182</v>
      </c>
      <c r="B240" s="258" t="s">
        <v>181</v>
      </c>
      <c r="C240" s="255" t="s">
        <v>22</v>
      </c>
      <c r="D240" s="244">
        <v>12982</v>
      </c>
      <c r="E240" s="244">
        <v>2</v>
      </c>
      <c r="F240" s="251">
        <v>80</v>
      </c>
      <c r="G240" s="251">
        <v>2</v>
      </c>
      <c r="H240" s="244">
        <v>0</v>
      </c>
      <c r="I240" s="253">
        <v>0</v>
      </c>
      <c r="J240" s="253">
        <v>0</v>
      </c>
      <c r="K240" s="244">
        <v>2</v>
      </c>
      <c r="L240" s="251">
        <v>80</v>
      </c>
      <c r="M240" s="251">
        <v>2</v>
      </c>
      <c r="N240" s="244">
        <v>3</v>
      </c>
      <c r="O240" s="251">
        <v>102</v>
      </c>
      <c r="P240" s="251">
        <v>2.5499999999999998</v>
      </c>
      <c r="Q240" s="244">
        <v>5</v>
      </c>
      <c r="R240" s="251">
        <v>182</v>
      </c>
      <c r="S240" s="251">
        <v>4.55</v>
      </c>
      <c r="T240" s="87" t="s">
        <v>1649</v>
      </c>
      <c r="U240" s="244">
        <v>0</v>
      </c>
      <c r="V240" s="87" t="s">
        <v>1649</v>
      </c>
    </row>
    <row r="241" spans="1:22" ht="13.5" thickBot="1" x14ac:dyDescent="0.25">
      <c r="A241" s="48" t="s">
        <v>192</v>
      </c>
      <c r="B241" s="258" t="s">
        <v>191</v>
      </c>
      <c r="C241" s="255" t="s">
        <v>22</v>
      </c>
      <c r="D241" s="244">
        <v>14854</v>
      </c>
      <c r="E241" s="244">
        <v>7</v>
      </c>
      <c r="F241" s="251">
        <v>220</v>
      </c>
      <c r="G241" s="251">
        <v>5.5</v>
      </c>
      <c r="H241" s="244">
        <v>0</v>
      </c>
      <c r="I241" s="253">
        <v>0</v>
      </c>
      <c r="J241" s="253">
        <v>0</v>
      </c>
      <c r="K241" s="244">
        <v>7</v>
      </c>
      <c r="L241" s="251">
        <v>220</v>
      </c>
      <c r="M241" s="251">
        <v>5.5</v>
      </c>
      <c r="N241" s="244">
        <v>10</v>
      </c>
      <c r="O241" s="251">
        <v>185</v>
      </c>
      <c r="P241" s="251">
        <v>4.625</v>
      </c>
      <c r="Q241" s="244">
        <v>17</v>
      </c>
      <c r="R241" s="251">
        <v>405</v>
      </c>
      <c r="S241" s="251">
        <v>10.125</v>
      </c>
      <c r="T241" s="257" t="s">
        <v>1648</v>
      </c>
      <c r="U241" s="244">
        <v>211</v>
      </c>
      <c r="V241" s="87" t="s">
        <v>1649</v>
      </c>
    </row>
    <row r="242" spans="1:22" ht="13.5" thickBot="1" x14ac:dyDescent="0.25">
      <c r="A242" s="48" t="s">
        <v>198</v>
      </c>
      <c r="B242" s="258" t="s">
        <v>197</v>
      </c>
      <c r="C242" s="255" t="s">
        <v>22</v>
      </c>
      <c r="D242" s="244">
        <v>14074</v>
      </c>
      <c r="E242" s="244">
        <v>1</v>
      </c>
      <c r="F242" s="251">
        <v>35</v>
      </c>
      <c r="G242" s="251">
        <v>0.875</v>
      </c>
      <c r="H242" s="244">
        <v>1</v>
      </c>
      <c r="I242" s="253">
        <v>40</v>
      </c>
      <c r="J242" s="253">
        <v>1</v>
      </c>
      <c r="K242" s="244">
        <v>2</v>
      </c>
      <c r="L242" s="251">
        <v>75</v>
      </c>
      <c r="M242" s="251">
        <v>1.875</v>
      </c>
      <c r="N242" s="244">
        <v>11</v>
      </c>
      <c r="O242" s="251">
        <v>301</v>
      </c>
      <c r="P242" s="251">
        <v>7.5250000000000004</v>
      </c>
      <c r="Q242" s="244">
        <v>13</v>
      </c>
      <c r="R242" s="251">
        <v>376</v>
      </c>
      <c r="S242" s="251">
        <v>9.4</v>
      </c>
      <c r="T242" s="87" t="s">
        <v>1649</v>
      </c>
      <c r="U242" s="244">
        <v>0</v>
      </c>
      <c r="V242" s="87" t="s">
        <v>1649</v>
      </c>
    </row>
    <row r="243" spans="1:22" ht="13.5" thickBot="1" x14ac:dyDescent="0.25">
      <c r="A243" s="48" t="s">
        <v>224</v>
      </c>
      <c r="B243" s="258" t="s">
        <v>223</v>
      </c>
      <c r="C243" s="255" t="s">
        <v>22</v>
      </c>
      <c r="D243" s="244">
        <v>20542</v>
      </c>
      <c r="E243" s="244">
        <v>4</v>
      </c>
      <c r="F243" s="251">
        <v>160</v>
      </c>
      <c r="G243" s="251">
        <v>4</v>
      </c>
      <c r="H243" s="244">
        <v>0</v>
      </c>
      <c r="I243" s="253">
        <v>0</v>
      </c>
      <c r="J243" s="253">
        <v>0</v>
      </c>
      <c r="K243" s="244">
        <v>4</v>
      </c>
      <c r="L243" s="251">
        <v>160</v>
      </c>
      <c r="M243" s="251">
        <v>4</v>
      </c>
      <c r="N243" s="244">
        <v>6</v>
      </c>
      <c r="O243" s="251">
        <v>227</v>
      </c>
      <c r="P243" s="251">
        <v>5.6749999999999998</v>
      </c>
      <c r="Q243" s="244">
        <v>11</v>
      </c>
      <c r="R243" s="251">
        <v>387</v>
      </c>
      <c r="S243" s="251">
        <v>9.6750000000000007</v>
      </c>
      <c r="T243" s="87" t="s">
        <v>1648</v>
      </c>
      <c r="U243" s="244">
        <v>32</v>
      </c>
      <c r="V243" s="87" t="s">
        <v>1649</v>
      </c>
    </row>
    <row r="244" spans="1:22" ht="13.5" thickBot="1" x14ac:dyDescent="0.25">
      <c r="A244" s="48" t="s">
        <v>226</v>
      </c>
      <c r="B244" s="258" t="s">
        <v>225</v>
      </c>
      <c r="C244" s="255" t="s">
        <v>22</v>
      </c>
      <c r="D244" s="244">
        <v>19591</v>
      </c>
      <c r="E244" s="244">
        <v>13</v>
      </c>
      <c r="F244" s="251">
        <v>361</v>
      </c>
      <c r="G244" s="251">
        <v>9.0250000000000004</v>
      </c>
      <c r="H244" s="244">
        <v>0</v>
      </c>
      <c r="I244" s="253">
        <v>0</v>
      </c>
      <c r="J244" s="253">
        <v>0</v>
      </c>
      <c r="K244" s="244">
        <v>13</v>
      </c>
      <c r="L244" s="251">
        <v>361</v>
      </c>
      <c r="M244" s="251">
        <v>9.0250000000000004</v>
      </c>
      <c r="N244" s="244">
        <v>19</v>
      </c>
      <c r="O244" s="251">
        <v>304</v>
      </c>
      <c r="P244" s="251">
        <v>7.6</v>
      </c>
      <c r="Q244" s="244">
        <v>25</v>
      </c>
      <c r="R244" s="251">
        <v>665</v>
      </c>
      <c r="S244" s="251">
        <v>16.625</v>
      </c>
      <c r="T244" s="87" t="s">
        <v>1649</v>
      </c>
      <c r="U244" s="244">
        <v>0</v>
      </c>
      <c r="V244" s="87" t="s">
        <v>1649</v>
      </c>
    </row>
    <row r="245" spans="1:22" ht="13.5" thickBot="1" x14ac:dyDescent="0.25">
      <c r="A245" s="48" t="s">
        <v>234</v>
      </c>
      <c r="B245" s="258" t="s">
        <v>233</v>
      </c>
      <c r="C245" s="255" t="s">
        <v>22</v>
      </c>
      <c r="D245" s="244">
        <v>13306</v>
      </c>
      <c r="E245" s="244">
        <v>1</v>
      </c>
      <c r="F245" s="251">
        <v>40</v>
      </c>
      <c r="G245" s="251">
        <v>1</v>
      </c>
      <c r="H245" s="244">
        <v>9</v>
      </c>
      <c r="I245" s="253">
        <v>204</v>
      </c>
      <c r="J245" s="253">
        <v>5.0999999999999996</v>
      </c>
      <c r="K245" s="244">
        <v>10</v>
      </c>
      <c r="L245" s="251">
        <v>244</v>
      </c>
      <c r="M245" s="251">
        <v>6.1</v>
      </c>
      <c r="N245" s="244">
        <v>0</v>
      </c>
      <c r="O245" s="251">
        <v>0</v>
      </c>
      <c r="P245" s="251">
        <v>0</v>
      </c>
      <c r="Q245" s="244">
        <v>10</v>
      </c>
      <c r="R245" s="251">
        <v>244</v>
      </c>
      <c r="S245" s="251">
        <v>6.1</v>
      </c>
      <c r="T245" s="87" t="s">
        <v>1649</v>
      </c>
      <c r="U245" s="244">
        <v>0</v>
      </c>
      <c r="V245" s="87" t="s">
        <v>1649</v>
      </c>
    </row>
    <row r="246" spans="1:22" ht="13.5" thickBot="1" x14ac:dyDescent="0.25">
      <c r="A246" s="48" t="s">
        <v>244</v>
      </c>
      <c r="B246" s="258" t="s">
        <v>243</v>
      </c>
      <c r="C246" s="255" t="s">
        <v>22</v>
      </c>
      <c r="D246" s="244">
        <v>12670</v>
      </c>
      <c r="E246" s="244">
        <v>2</v>
      </c>
      <c r="F246" s="251">
        <v>70</v>
      </c>
      <c r="G246" s="251">
        <v>1.75</v>
      </c>
      <c r="H246" s="244">
        <v>2</v>
      </c>
      <c r="I246" s="253">
        <v>62</v>
      </c>
      <c r="J246" s="253">
        <v>1.55</v>
      </c>
      <c r="K246" s="244">
        <v>4</v>
      </c>
      <c r="L246" s="251">
        <v>132</v>
      </c>
      <c r="M246" s="251">
        <v>3.3</v>
      </c>
      <c r="N246" s="244">
        <v>2</v>
      </c>
      <c r="O246" s="251">
        <v>44</v>
      </c>
      <c r="P246" s="251">
        <v>1.1000000000000001</v>
      </c>
      <c r="Q246" s="244">
        <v>6</v>
      </c>
      <c r="R246" s="251">
        <v>176</v>
      </c>
      <c r="S246" s="251">
        <v>4.4000000000000004</v>
      </c>
      <c r="T246" s="87" t="s">
        <v>1649</v>
      </c>
      <c r="U246" s="244">
        <v>0</v>
      </c>
      <c r="V246" s="87" t="s">
        <v>1649</v>
      </c>
    </row>
    <row r="247" spans="1:22" ht="13.5" thickBot="1" x14ac:dyDescent="0.25">
      <c r="A247" s="48" t="s">
        <v>260</v>
      </c>
      <c r="B247" s="258" t="s">
        <v>259</v>
      </c>
      <c r="C247" s="255" t="s">
        <v>22</v>
      </c>
      <c r="D247" s="244">
        <v>25830</v>
      </c>
      <c r="E247" s="244">
        <v>2</v>
      </c>
      <c r="F247" s="251">
        <v>80</v>
      </c>
      <c r="G247" s="251">
        <v>2</v>
      </c>
      <c r="H247" s="244">
        <v>1</v>
      </c>
      <c r="I247" s="253">
        <v>40</v>
      </c>
      <c r="J247" s="253">
        <v>1</v>
      </c>
      <c r="K247" s="244">
        <v>3</v>
      </c>
      <c r="L247" s="251">
        <v>120</v>
      </c>
      <c r="M247" s="251">
        <v>3</v>
      </c>
      <c r="N247" s="244">
        <v>7</v>
      </c>
      <c r="O247" s="251">
        <v>175</v>
      </c>
      <c r="P247" s="251">
        <v>4.375</v>
      </c>
      <c r="Q247" s="244">
        <v>10</v>
      </c>
      <c r="R247" s="251">
        <v>295</v>
      </c>
      <c r="S247" s="251">
        <v>7.375</v>
      </c>
      <c r="T247" s="87" t="s">
        <v>1649</v>
      </c>
      <c r="U247" s="244">
        <v>0</v>
      </c>
      <c r="V247" s="87" t="s">
        <v>1649</v>
      </c>
    </row>
    <row r="248" spans="1:22" ht="13.5" thickBot="1" x14ac:dyDescent="0.25">
      <c r="A248" s="48" t="s">
        <v>268</v>
      </c>
      <c r="B248" s="258" t="s">
        <v>267</v>
      </c>
      <c r="C248" s="255" t="s">
        <v>22</v>
      </c>
      <c r="D248" s="244">
        <v>14230</v>
      </c>
      <c r="E248" s="244">
        <v>1</v>
      </c>
      <c r="F248" s="251">
        <v>40</v>
      </c>
      <c r="G248" s="251">
        <v>1</v>
      </c>
      <c r="H248" s="244">
        <v>0</v>
      </c>
      <c r="I248" s="253">
        <v>0</v>
      </c>
      <c r="J248" s="253">
        <v>0</v>
      </c>
      <c r="K248" s="244">
        <v>1</v>
      </c>
      <c r="L248" s="251">
        <v>40</v>
      </c>
      <c r="M248" s="251">
        <v>1</v>
      </c>
      <c r="N248" s="244">
        <v>8</v>
      </c>
      <c r="O248" s="251">
        <v>187</v>
      </c>
      <c r="P248" s="251">
        <v>4.6749999999999998</v>
      </c>
      <c r="Q248" s="244">
        <v>9</v>
      </c>
      <c r="R248" s="251">
        <v>227</v>
      </c>
      <c r="S248" s="251">
        <v>5.6749999999999998</v>
      </c>
      <c r="T248" s="87" t="s">
        <v>1649</v>
      </c>
      <c r="U248" s="244">
        <v>0</v>
      </c>
      <c r="V248" s="87" t="s">
        <v>1649</v>
      </c>
    </row>
    <row r="249" spans="1:22" ht="13.5" thickBot="1" x14ac:dyDescent="0.25">
      <c r="A249" s="48" t="s">
        <v>270</v>
      </c>
      <c r="B249" s="258" t="s">
        <v>269</v>
      </c>
      <c r="C249" s="255" t="s">
        <v>22</v>
      </c>
      <c r="D249" s="244">
        <v>19900</v>
      </c>
      <c r="E249" s="244">
        <v>14</v>
      </c>
      <c r="F249" s="251">
        <v>322</v>
      </c>
      <c r="G249" s="251">
        <v>8.0500000000000007</v>
      </c>
      <c r="H249" s="244">
        <v>0</v>
      </c>
      <c r="I249" s="253">
        <v>0</v>
      </c>
      <c r="J249" s="253">
        <v>0</v>
      </c>
      <c r="K249" s="244">
        <v>14</v>
      </c>
      <c r="L249" s="251">
        <v>322</v>
      </c>
      <c r="M249" s="251">
        <v>8.0500000000000007</v>
      </c>
      <c r="N249" s="244">
        <v>15</v>
      </c>
      <c r="O249" s="251">
        <v>292</v>
      </c>
      <c r="P249" s="251">
        <v>7.3</v>
      </c>
      <c r="Q249" s="244">
        <v>29</v>
      </c>
      <c r="R249" s="251">
        <v>614</v>
      </c>
      <c r="S249" s="251">
        <v>15.35</v>
      </c>
      <c r="T249" s="87" t="s">
        <v>1649</v>
      </c>
      <c r="U249" s="244">
        <v>0</v>
      </c>
      <c r="V249" s="87" t="s">
        <v>1649</v>
      </c>
    </row>
    <row r="250" spans="1:22" ht="13.5" thickBot="1" x14ac:dyDescent="0.25">
      <c r="A250" s="48" t="s">
        <v>274</v>
      </c>
      <c r="B250" s="258" t="s">
        <v>273</v>
      </c>
      <c r="C250" s="255" t="s">
        <v>22</v>
      </c>
      <c r="D250" s="244">
        <v>17626</v>
      </c>
      <c r="E250" s="244">
        <v>3</v>
      </c>
      <c r="F250" s="251">
        <v>120</v>
      </c>
      <c r="G250" s="251">
        <v>3</v>
      </c>
      <c r="H250" s="244">
        <v>0</v>
      </c>
      <c r="I250" s="253">
        <v>0</v>
      </c>
      <c r="J250" s="253">
        <v>0</v>
      </c>
      <c r="K250" s="244">
        <v>3</v>
      </c>
      <c r="L250" s="251">
        <v>120</v>
      </c>
      <c r="M250" s="251">
        <v>3</v>
      </c>
      <c r="N250" s="244">
        <v>15</v>
      </c>
      <c r="O250" s="251">
        <v>200</v>
      </c>
      <c r="P250" s="251">
        <v>5</v>
      </c>
      <c r="Q250" s="244">
        <v>18</v>
      </c>
      <c r="R250" s="251">
        <v>320</v>
      </c>
      <c r="S250" s="251">
        <v>8</v>
      </c>
      <c r="T250" s="87" t="s">
        <v>1649</v>
      </c>
      <c r="U250" s="244">
        <v>0</v>
      </c>
      <c r="V250" s="87" t="s">
        <v>1649</v>
      </c>
    </row>
    <row r="251" spans="1:22" ht="13.5" thickBot="1" x14ac:dyDescent="0.25">
      <c r="A251" s="48" t="s">
        <v>276</v>
      </c>
      <c r="B251" s="258" t="s">
        <v>275</v>
      </c>
      <c r="C251" s="255" t="s">
        <v>22</v>
      </c>
      <c r="D251" s="244">
        <v>17823</v>
      </c>
      <c r="E251" s="244">
        <v>4</v>
      </c>
      <c r="F251" s="251">
        <v>84</v>
      </c>
      <c r="G251" s="251">
        <v>2.1</v>
      </c>
      <c r="H251" s="244">
        <v>0</v>
      </c>
      <c r="I251" s="253">
        <v>0</v>
      </c>
      <c r="J251" s="253">
        <v>0</v>
      </c>
      <c r="K251" s="244">
        <v>4</v>
      </c>
      <c r="L251" s="251">
        <v>84</v>
      </c>
      <c r="M251" s="251">
        <v>2.1</v>
      </c>
      <c r="N251" s="244">
        <v>7</v>
      </c>
      <c r="O251" s="251">
        <v>134</v>
      </c>
      <c r="P251" s="251">
        <v>3.35</v>
      </c>
      <c r="Q251" s="244">
        <v>11</v>
      </c>
      <c r="R251" s="251">
        <v>218</v>
      </c>
      <c r="S251" s="251">
        <v>5.45</v>
      </c>
      <c r="T251" s="87" t="s">
        <v>1648</v>
      </c>
      <c r="U251" s="244">
        <v>1932</v>
      </c>
      <c r="V251" s="87" t="s">
        <v>1649</v>
      </c>
    </row>
    <row r="252" spans="1:22" ht="13.5" thickBot="1" x14ac:dyDescent="0.25">
      <c r="A252" s="48" t="s">
        <v>282</v>
      </c>
      <c r="B252" s="258" t="s">
        <v>281</v>
      </c>
      <c r="C252" s="255" t="s">
        <v>22</v>
      </c>
      <c r="D252" s="244">
        <v>17068</v>
      </c>
      <c r="E252" s="244">
        <v>1</v>
      </c>
      <c r="F252" s="251">
        <v>35</v>
      </c>
      <c r="G252" s="251">
        <v>0.875</v>
      </c>
      <c r="H252" s="244">
        <v>1</v>
      </c>
      <c r="I252" s="253">
        <v>351</v>
      </c>
      <c r="J252" s="253">
        <v>8.7750000000000004</v>
      </c>
      <c r="K252" s="244">
        <v>2</v>
      </c>
      <c r="L252" s="251">
        <v>70</v>
      </c>
      <c r="M252" s="251">
        <v>1.75</v>
      </c>
      <c r="N252" s="244">
        <v>9</v>
      </c>
      <c r="O252" s="251">
        <v>189</v>
      </c>
      <c r="P252" s="251">
        <v>4.7249999999999996</v>
      </c>
      <c r="Q252" s="244">
        <v>11</v>
      </c>
      <c r="R252" s="251">
        <v>259</v>
      </c>
      <c r="S252" s="251">
        <v>6.4749999999999996</v>
      </c>
      <c r="T252" s="87" t="s">
        <v>1649</v>
      </c>
      <c r="U252" s="244">
        <v>0</v>
      </c>
      <c r="V252" s="87" t="s">
        <v>1649</v>
      </c>
    </row>
    <row r="253" spans="1:22" ht="13.5" thickBot="1" x14ac:dyDescent="0.25">
      <c r="A253" s="48" t="s">
        <v>288</v>
      </c>
      <c r="B253" s="258" t="s">
        <v>287</v>
      </c>
      <c r="C253" s="255" t="s">
        <v>22</v>
      </c>
      <c r="D253" s="244">
        <v>14480</v>
      </c>
      <c r="E253" s="244">
        <v>8</v>
      </c>
      <c r="F253" s="251">
        <v>88</v>
      </c>
      <c r="G253" s="251">
        <v>2.2000000000000002</v>
      </c>
      <c r="H253" s="244">
        <v>1</v>
      </c>
      <c r="I253" s="253">
        <v>40</v>
      </c>
      <c r="J253" s="253">
        <v>1</v>
      </c>
      <c r="K253" s="244">
        <v>9</v>
      </c>
      <c r="L253" s="251">
        <v>128</v>
      </c>
      <c r="M253" s="251">
        <v>3.2</v>
      </c>
      <c r="N253" s="244">
        <v>19</v>
      </c>
      <c r="O253" s="251">
        <v>198</v>
      </c>
      <c r="P253" s="251">
        <v>4.95</v>
      </c>
      <c r="Q253" s="244">
        <v>28</v>
      </c>
      <c r="R253" s="251">
        <v>326</v>
      </c>
      <c r="S253" s="251">
        <v>8.15</v>
      </c>
      <c r="T253" s="87" t="s">
        <v>1649</v>
      </c>
      <c r="U253" s="244">
        <v>0</v>
      </c>
      <c r="V253" s="87" t="s">
        <v>1649</v>
      </c>
    </row>
    <row r="254" spans="1:22" ht="13.5" thickBot="1" x14ac:dyDescent="0.25">
      <c r="A254" s="48" t="s">
        <v>292</v>
      </c>
      <c r="B254" s="258" t="s">
        <v>291</v>
      </c>
      <c r="C254" s="255" t="s">
        <v>22</v>
      </c>
      <c r="D254" s="244">
        <v>13326</v>
      </c>
      <c r="E254" s="244">
        <v>4</v>
      </c>
      <c r="F254" s="251">
        <v>148</v>
      </c>
      <c r="G254" s="251">
        <v>3.7</v>
      </c>
      <c r="H254" s="244">
        <v>0</v>
      </c>
      <c r="I254" s="253">
        <v>0</v>
      </c>
      <c r="J254" s="253">
        <v>0</v>
      </c>
      <c r="K254" s="244">
        <v>4</v>
      </c>
      <c r="L254" s="251">
        <v>148</v>
      </c>
      <c r="M254" s="251">
        <v>3.7</v>
      </c>
      <c r="N254" s="244">
        <v>10</v>
      </c>
      <c r="O254" s="251">
        <v>230</v>
      </c>
      <c r="P254" s="251">
        <v>5.75</v>
      </c>
      <c r="Q254" s="244">
        <v>14</v>
      </c>
      <c r="R254" s="251">
        <v>378</v>
      </c>
      <c r="S254" s="251">
        <v>9.4499999999999993</v>
      </c>
      <c r="T254" s="87" t="s">
        <v>1649</v>
      </c>
      <c r="U254" s="244">
        <v>0</v>
      </c>
      <c r="V254" s="87" t="s">
        <v>1649</v>
      </c>
    </row>
    <row r="255" spans="1:22" ht="13.5" thickBot="1" x14ac:dyDescent="0.25">
      <c r="A255" s="48" t="s">
        <v>294</v>
      </c>
      <c r="B255" s="258" t="s">
        <v>293</v>
      </c>
      <c r="C255" s="255" t="s">
        <v>22</v>
      </c>
      <c r="D255" s="244">
        <v>13598</v>
      </c>
      <c r="E255" s="244">
        <v>2</v>
      </c>
      <c r="F255" s="251">
        <v>50</v>
      </c>
      <c r="G255" s="251">
        <v>1.25</v>
      </c>
      <c r="H255" s="244">
        <v>1</v>
      </c>
      <c r="I255" s="253">
        <v>25</v>
      </c>
      <c r="J255" s="253">
        <v>0.625</v>
      </c>
      <c r="K255" s="244">
        <v>2</v>
      </c>
      <c r="L255" s="251">
        <v>65</v>
      </c>
      <c r="M255" s="251">
        <v>1.625</v>
      </c>
      <c r="N255" s="244">
        <v>2</v>
      </c>
      <c r="O255" s="251">
        <v>35</v>
      </c>
      <c r="P255" s="251">
        <v>0.875</v>
      </c>
      <c r="Q255" s="244">
        <v>4</v>
      </c>
      <c r="R255" s="251">
        <v>100</v>
      </c>
      <c r="S255" s="251">
        <v>2.5</v>
      </c>
      <c r="T255" s="87" t="s">
        <v>1648</v>
      </c>
      <c r="U255" s="244">
        <v>350</v>
      </c>
      <c r="V255" s="87" t="s">
        <v>1649</v>
      </c>
    </row>
    <row r="256" spans="1:22" ht="13.5" thickBot="1" x14ac:dyDescent="0.25">
      <c r="A256" s="48" t="s">
        <v>312</v>
      </c>
      <c r="B256" s="258" t="s">
        <v>311</v>
      </c>
      <c r="C256" s="255" t="s">
        <v>22</v>
      </c>
      <c r="D256" s="244">
        <v>25692</v>
      </c>
      <c r="E256" s="244">
        <v>1</v>
      </c>
      <c r="F256" s="251">
        <v>40</v>
      </c>
      <c r="G256" s="251">
        <v>1</v>
      </c>
      <c r="H256" s="244">
        <v>0</v>
      </c>
      <c r="I256" s="253">
        <v>0</v>
      </c>
      <c r="J256" s="253">
        <v>0</v>
      </c>
      <c r="K256" s="244">
        <v>1</v>
      </c>
      <c r="L256" s="251">
        <v>40</v>
      </c>
      <c r="M256" s="251">
        <v>1</v>
      </c>
      <c r="N256" s="244">
        <v>10</v>
      </c>
      <c r="O256" s="251">
        <v>271</v>
      </c>
      <c r="P256" s="251">
        <v>6.7750000000000004</v>
      </c>
      <c r="Q256" s="244">
        <v>11</v>
      </c>
      <c r="R256" s="251">
        <v>311</v>
      </c>
      <c r="S256" s="251">
        <v>7.7750000000000004</v>
      </c>
      <c r="T256" s="87" t="s">
        <v>1649</v>
      </c>
      <c r="U256" s="244">
        <v>0</v>
      </c>
      <c r="V256" s="87" t="s">
        <v>1649</v>
      </c>
    </row>
    <row r="257" spans="1:22" ht="13.5" thickBot="1" x14ac:dyDescent="0.25">
      <c r="A257" s="48" t="s">
        <v>320</v>
      </c>
      <c r="B257" s="258" t="s">
        <v>319</v>
      </c>
      <c r="C257" s="255" t="s">
        <v>22</v>
      </c>
      <c r="D257" s="244">
        <v>15959</v>
      </c>
      <c r="E257" s="244">
        <v>2</v>
      </c>
      <c r="F257" s="251">
        <v>64</v>
      </c>
      <c r="G257" s="251">
        <v>1.6</v>
      </c>
      <c r="H257" s="244">
        <v>3</v>
      </c>
      <c r="I257" s="253">
        <v>92</v>
      </c>
      <c r="J257" s="253">
        <v>2.2999999999999998</v>
      </c>
      <c r="K257" s="244">
        <v>5</v>
      </c>
      <c r="L257" s="251">
        <v>156</v>
      </c>
      <c r="M257" s="251">
        <v>3.9</v>
      </c>
      <c r="N257" s="244">
        <v>13</v>
      </c>
      <c r="O257" s="251">
        <v>206</v>
      </c>
      <c r="P257" s="251">
        <v>5.15</v>
      </c>
      <c r="Q257" s="244">
        <v>18</v>
      </c>
      <c r="R257" s="251">
        <v>362</v>
      </c>
      <c r="S257" s="251">
        <v>9.0500000000000007</v>
      </c>
      <c r="T257" s="87" t="s">
        <v>1649</v>
      </c>
      <c r="U257" s="244">
        <v>0</v>
      </c>
      <c r="V257" s="87" t="s">
        <v>1649</v>
      </c>
    </row>
    <row r="258" spans="1:22" ht="13.5" thickBot="1" x14ac:dyDescent="0.25">
      <c r="A258" s="48" t="s">
        <v>330</v>
      </c>
      <c r="B258" s="258" t="s">
        <v>329</v>
      </c>
      <c r="C258" s="255" t="s">
        <v>22</v>
      </c>
      <c r="D258" s="244">
        <v>21165</v>
      </c>
      <c r="E258" s="244">
        <v>4</v>
      </c>
      <c r="F258" s="251">
        <v>160</v>
      </c>
      <c r="G258" s="251">
        <v>4</v>
      </c>
      <c r="H258" s="244">
        <v>0</v>
      </c>
      <c r="I258" s="253">
        <v>0</v>
      </c>
      <c r="J258" s="253">
        <v>0</v>
      </c>
      <c r="K258" s="244">
        <v>4</v>
      </c>
      <c r="L258" s="251">
        <v>160</v>
      </c>
      <c r="M258" s="251">
        <v>4</v>
      </c>
      <c r="N258" s="244">
        <v>10</v>
      </c>
      <c r="O258" s="251">
        <v>254</v>
      </c>
      <c r="P258" s="251">
        <v>6.35</v>
      </c>
      <c r="Q258" s="244">
        <v>14</v>
      </c>
      <c r="R258" s="251">
        <v>414</v>
      </c>
      <c r="S258" s="251">
        <v>10.35</v>
      </c>
      <c r="T258" s="87" t="s">
        <v>1649</v>
      </c>
      <c r="U258" s="244">
        <v>0</v>
      </c>
      <c r="V258" s="87" t="s">
        <v>1649</v>
      </c>
    </row>
    <row r="259" spans="1:22" ht="13.5" thickBot="1" x14ac:dyDescent="0.25">
      <c r="A259" s="48" t="s">
        <v>332</v>
      </c>
      <c r="B259" s="258" t="s">
        <v>331</v>
      </c>
      <c r="C259" s="255" t="s">
        <v>22</v>
      </c>
      <c r="D259" s="244">
        <v>22423</v>
      </c>
      <c r="E259" s="244">
        <v>3</v>
      </c>
      <c r="F259" s="251">
        <v>80</v>
      </c>
      <c r="G259" s="251">
        <v>2</v>
      </c>
      <c r="H259" s="244">
        <v>0</v>
      </c>
      <c r="I259" s="253">
        <v>0</v>
      </c>
      <c r="J259" s="253">
        <v>0</v>
      </c>
      <c r="K259" s="244">
        <v>3</v>
      </c>
      <c r="L259" s="251">
        <v>80</v>
      </c>
      <c r="M259" s="251">
        <v>2</v>
      </c>
      <c r="N259" s="244">
        <v>7</v>
      </c>
      <c r="O259" s="251">
        <v>180</v>
      </c>
      <c r="P259" s="251">
        <v>4.5</v>
      </c>
      <c r="Q259" s="244">
        <v>9</v>
      </c>
      <c r="R259" s="251">
        <v>260</v>
      </c>
      <c r="S259" s="251">
        <v>6.5</v>
      </c>
      <c r="T259" s="87" t="s">
        <v>1648</v>
      </c>
      <c r="U259" s="244">
        <v>720</v>
      </c>
      <c r="V259" s="87" t="s">
        <v>1649</v>
      </c>
    </row>
    <row r="260" spans="1:22" ht="13.5" thickBot="1" x14ac:dyDescent="0.25">
      <c r="A260" s="48" t="s">
        <v>336</v>
      </c>
      <c r="B260" s="258" t="s">
        <v>335</v>
      </c>
      <c r="C260" s="255" t="s">
        <v>22</v>
      </c>
      <c r="D260" s="244">
        <v>14236</v>
      </c>
      <c r="E260" s="244">
        <v>5</v>
      </c>
      <c r="F260" s="251">
        <v>152</v>
      </c>
      <c r="G260" s="251">
        <v>3.8</v>
      </c>
      <c r="H260" s="244">
        <v>0</v>
      </c>
      <c r="I260" s="253">
        <v>0</v>
      </c>
      <c r="J260" s="253">
        <v>0</v>
      </c>
      <c r="K260" s="244">
        <v>7</v>
      </c>
      <c r="L260" s="251">
        <v>152</v>
      </c>
      <c r="M260" s="251">
        <v>3.8</v>
      </c>
      <c r="N260" s="244">
        <v>8</v>
      </c>
      <c r="O260" s="251">
        <v>121</v>
      </c>
      <c r="P260" s="251">
        <v>3.0249999999999999</v>
      </c>
      <c r="Q260" s="244">
        <v>14</v>
      </c>
      <c r="R260" s="251">
        <v>273</v>
      </c>
      <c r="S260" s="251">
        <v>6.8250000000000002</v>
      </c>
      <c r="T260" s="87" t="s">
        <v>1649</v>
      </c>
      <c r="U260" s="244">
        <v>0</v>
      </c>
      <c r="V260" s="87" t="s">
        <v>1649</v>
      </c>
    </row>
    <row r="261" spans="1:22" ht="13.5" thickBot="1" x14ac:dyDescent="0.25">
      <c r="A261" s="48" t="s">
        <v>338</v>
      </c>
      <c r="B261" s="258" t="s">
        <v>337</v>
      </c>
      <c r="C261" s="255" t="s">
        <v>22</v>
      </c>
      <c r="D261" s="244">
        <v>12920</v>
      </c>
      <c r="E261" s="244">
        <v>1</v>
      </c>
      <c r="F261" s="251">
        <v>36</v>
      </c>
      <c r="G261" s="251">
        <v>0.9</v>
      </c>
      <c r="H261" s="244">
        <v>2</v>
      </c>
      <c r="I261" s="253">
        <v>64</v>
      </c>
      <c r="J261" s="253">
        <v>1.6</v>
      </c>
      <c r="K261" s="244">
        <v>3</v>
      </c>
      <c r="L261" s="251">
        <v>100</v>
      </c>
      <c r="M261" s="251">
        <v>2.5</v>
      </c>
      <c r="N261" s="244">
        <v>3</v>
      </c>
      <c r="O261" s="251">
        <v>48</v>
      </c>
      <c r="P261" s="251">
        <v>1.2</v>
      </c>
      <c r="Q261" s="244">
        <v>6</v>
      </c>
      <c r="R261" s="251">
        <v>148</v>
      </c>
      <c r="S261" s="251">
        <v>3.7</v>
      </c>
      <c r="T261" s="87" t="s">
        <v>1648</v>
      </c>
      <c r="U261" s="244">
        <v>120</v>
      </c>
      <c r="V261" s="87" t="s">
        <v>1649</v>
      </c>
    </row>
    <row r="262" spans="1:22" ht="13.5" thickBot="1" x14ac:dyDescent="0.25">
      <c r="A262" s="48" t="s">
        <v>340</v>
      </c>
      <c r="B262" s="258" t="s">
        <v>339</v>
      </c>
      <c r="C262" s="255" t="s">
        <v>22</v>
      </c>
      <c r="D262" s="244">
        <v>24587</v>
      </c>
      <c r="E262" s="244">
        <v>4</v>
      </c>
      <c r="F262" s="251">
        <v>90</v>
      </c>
      <c r="G262" s="251">
        <v>2.25</v>
      </c>
      <c r="H262" s="244">
        <v>0</v>
      </c>
      <c r="I262" s="252">
        <v>0</v>
      </c>
      <c r="J262" s="252">
        <v>0</v>
      </c>
      <c r="K262" s="244">
        <v>4</v>
      </c>
      <c r="L262" s="251">
        <v>90</v>
      </c>
      <c r="M262" s="251">
        <v>2.25</v>
      </c>
      <c r="N262" s="244">
        <v>10</v>
      </c>
      <c r="O262" s="251">
        <v>116</v>
      </c>
      <c r="P262" s="251">
        <v>2.9</v>
      </c>
      <c r="Q262" s="244">
        <v>14</v>
      </c>
      <c r="R262" s="251">
        <v>206</v>
      </c>
      <c r="S262" s="251">
        <v>5.15</v>
      </c>
      <c r="T262" s="87" t="s">
        <v>1648</v>
      </c>
      <c r="U262" s="244">
        <v>240</v>
      </c>
      <c r="V262" s="87" t="s">
        <v>1649</v>
      </c>
    </row>
    <row r="263" spans="1:22" ht="13.5" thickBot="1" x14ac:dyDescent="0.25">
      <c r="A263" s="48" t="s">
        <v>346</v>
      </c>
      <c r="B263" s="258" t="s">
        <v>345</v>
      </c>
      <c r="C263" s="255" t="s">
        <v>22</v>
      </c>
      <c r="D263" s="244">
        <v>13233</v>
      </c>
      <c r="E263" s="244">
        <v>3</v>
      </c>
      <c r="F263" s="251">
        <v>108</v>
      </c>
      <c r="G263" s="251">
        <v>2.7</v>
      </c>
      <c r="H263" s="244">
        <v>10</v>
      </c>
      <c r="I263" s="253">
        <v>204</v>
      </c>
      <c r="J263" s="253">
        <v>5.0999999999999996</v>
      </c>
      <c r="K263" s="244">
        <v>12</v>
      </c>
      <c r="L263" s="251">
        <v>312</v>
      </c>
      <c r="M263" s="251">
        <v>7.8</v>
      </c>
      <c r="N263" s="244">
        <v>2</v>
      </c>
      <c r="O263" s="251">
        <v>25</v>
      </c>
      <c r="P263" s="251">
        <v>0.625</v>
      </c>
      <c r="Q263" s="244">
        <v>14</v>
      </c>
      <c r="R263" s="251">
        <v>337</v>
      </c>
      <c r="S263" s="251">
        <v>8.4250000000000007</v>
      </c>
      <c r="T263" s="87" t="s">
        <v>1649</v>
      </c>
      <c r="U263" s="244">
        <v>0</v>
      </c>
      <c r="V263" s="87" t="s">
        <v>1649</v>
      </c>
    </row>
    <row r="264" spans="1:22" ht="13.5" thickBot="1" x14ac:dyDescent="0.25">
      <c r="A264" s="48" t="s">
        <v>348</v>
      </c>
      <c r="B264" s="258" t="s">
        <v>347</v>
      </c>
      <c r="C264" s="255" t="s">
        <v>22</v>
      </c>
      <c r="D264" s="244">
        <v>16422</v>
      </c>
      <c r="E264" s="244">
        <v>4</v>
      </c>
      <c r="F264" s="251">
        <v>124</v>
      </c>
      <c r="G264" s="251">
        <v>3.1</v>
      </c>
      <c r="H264" s="244">
        <v>0</v>
      </c>
      <c r="I264" s="253">
        <v>0</v>
      </c>
      <c r="J264" s="253">
        <v>0</v>
      </c>
      <c r="K264" s="244">
        <v>4</v>
      </c>
      <c r="L264" s="251">
        <v>124</v>
      </c>
      <c r="M264" s="251">
        <v>3.1</v>
      </c>
      <c r="N264" s="244">
        <v>12</v>
      </c>
      <c r="O264" s="251">
        <v>170</v>
      </c>
      <c r="P264" s="251">
        <v>4.25</v>
      </c>
      <c r="Q264" s="244">
        <v>16</v>
      </c>
      <c r="R264" s="251">
        <v>294</v>
      </c>
      <c r="S264" s="251">
        <v>7.35</v>
      </c>
      <c r="T264" s="257" t="s">
        <v>1648</v>
      </c>
      <c r="U264" s="244">
        <v>64</v>
      </c>
      <c r="V264" s="87" t="s">
        <v>1649</v>
      </c>
    </row>
    <row r="265" spans="1:22" ht="13.5" thickBot="1" x14ac:dyDescent="0.25">
      <c r="A265" s="48" t="s">
        <v>356</v>
      </c>
      <c r="B265" s="258" t="s">
        <v>355</v>
      </c>
      <c r="C265" s="255" t="s">
        <v>22</v>
      </c>
      <c r="D265" s="244">
        <v>19202</v>
      </c>
      <c r="E265" s="244">
        <v>7</v>
      </c>
      <c r="F265" s="251">
        <v>245</v>
      </c>
      <c r="G265" s="251">
        <v>6.125</v>
      </c>
      <c r="H265" s="244">
        <v>0</v>
      </c>
      <c r="I265" s="253">
        <v>0</v>
      </c>
      <c r="J265" s="253">
        <v>0</v>
      </c>
      <c r="K265" s="244">
        <v>7</v>
      </c>
      <c r="L265" s="251">
        <v>245</v>
      </c>
      <c r="M265" s="251">
        <v>6.125</v>
      </c>
      <c r="N265" s="244">
        <v>16</v>
      </c>
      <c r="O265" s="251">
        <v>286</v>
      </c>
      <c r="P265" s="251">
        <v>7.15</v>
      </c>
      <c r="Q265" s="244">
        <v>23</v>
      </c>
      <c r="R265" s="251">
        <v>531</v>
      </c>
      <c r="S265" s="251">
        <v>13.275</v>
      </c>
      <c r="T265" s="87" t="s">
        <v>1649</v>
      </c>
      <c r="U265" s="244">
        <v>0</v>
      </c>
      <c r="V265" s="87" t="s">
        <v>1649</v>
      </c>
    </row>
    <row r="266" spans="1:22" ht="13.5" thickBot="1" x14ac:dyDescent="0.25">
      <c r="A266" s="48" t="s">
        <v>360</v>
      </c>
      <c r="B266" s="258" t="s">
        <v>359</v>
      </c>
      <c r="C266" s="255" t="s">
        <v>22</v>
      </c>
      <c r="D266" s="244">
        <v>23088</v>
      </c>
      <c r="E266" s="244">
        <v>1</v>
      </c>
      <c r="F266" s="251">
        <v>40</v>
      </c>
      <c r="G266" s="251">
        <v>1</v>
      </c>
      <c r="H266" s="244">
        <v>3</v>
      </c>
      <c r="I266" s="253">
        <v>114</v>
      </c>
      <c r="J266" s="253">
        <v>2.85</v>
      </c>
      <c r="K266" s="244">
        <v>4</v>
      </c>
      <c r="L266" s="251">
        <v>154</v>
      </c>
      <c r="M266" s="251">
        <v>3.85</v>
      </c>
      <c r="N266" s="244">
        <v>4</v>
      </c>
      <c r="O266" s="251">
        <v>154</v>
      </c>
      <c r="P266" s="251">
        <v>3.85</v>
      </c>
      <c r="Q266" s="244">
        <v>8</v>
      </c>
      <c r="R266" s="251">
        <v>308</v>
      </c>
      <c r="S266" s="251">
        <v>7.7</v>
      </c>
      <c r="T266" s="87" t="s">
        <v>1649</v>
      </c>
      <c r="U266" s="244">
        <v>0</v>
      </c>
      <c r="V266" s="87" t="s">
        <v>1649</v>
      </c>
    </row>
    <row r="267" spans="1:22" ht="13.5" thickBot="1" x14ac:dyDescent="0.25">
      <c r="A267" s="48" t="s">
        <v>368</v>
      </c>
      <c r="B267" s="258" t="s">
        <v>367</v>
      </c>
      <c r="C267" s="255" t="s">
        <v>22</v>
      </c>
      <c r="D267" s="244">
        <v>15322</v>
      </c>
      <c r="E267" s="244">
        <v>1</v>
      </c>
      <c r="F267" s="251">
        <v>40</v>
      </c>
      <c r="G267" s="251">
        <v>1</v>
      </c>
      <c r="H267" s="244">
        <v>1</v>
      </c>
      <c r="I267" s="253">
        <v>40</v>
      </c>
      <c r="J267" s="253">
        <v>1</v>
      </c>
      <c r="K267" s="244">
        <v>2</v>
      </c>
      <c r="L267" s="251">
        <v>80</v>
      </c>
      <c r="M267" s="251">
        <v>2</v>
      </c>
      <c r="N267" s="244">
        <v>5</v>
      </c>
      <c r="O267" s="251">
        <v>200</v>
      </c>
      <c r="P267" s="251">
        <v>5</v>
      </c>
      <c r="Q267" s="244">
        <v>7</v>
      </c>
      <c r="R267" s="251">
        <v>280</v>
      </c>
      <c r="S267" s="251">
        <v>7</v>
      </c>
      <c r="T267" s="87" t="s">
        <v>1649</v>
      </c>
      <c r="U267" s="244">
        <v>0</v>
      </c>
      <c r="V267" s="87" t="s">
        <v>1649</v>
      </c>
    </row>
    <row r="268" spans="1:22" ht="13.5" thickBot="1" x14ac:dyDescent="0.25">
      <c r="A268" s="48" t="s">
        <v>370</v>
      </c>
      <c r="B268" s="258" t="s">
        <v>369</v>
      </c>
      <c r="C268" s="255" t="s">
        <v>22</v>
      </c>
      <c r="D268" s="244">
        <v>22115</v>
      </c>
      <c r="E268" s="244">
        <v>2</v>
      </c>
      <c r="F268" s="251">
        <v>80</v>
      </c>
      <c r="G268" s="251">
        <v>2</v>
      </c>
      <c r="H268" s="244">
        <v>10</v>
      </c>
      <c r="I268" s="253">
        <v>239</v>
      </c>
      <c r="J268" s="253">
        <v>5.9749999999999996</v>
      </c>
      <c r="K268" s="244">
        <v>12</v>
      </c>
      <c r="L268" s="251">
        <v>343</v>
      </c>
      <c r="M268" s="251">
        <v>8.5749999999999993</v>
      </c>
      <c r="N268" s="244">
        <v>4</v>
      </c>
      <c r="O268" s="251">
        <v>35</v>
      </c>
      <c r="P268" s="251">
        <v>0.875</v>
      </c>
      <c r="Q268" s="244">
        <v>17</v>
      </c>
      <c r="R268" s="251">
        <v>378</v>
      </c>
      <c r="S268" s="251">
        <v>9.4499999999999993</v>
      </c>
      <c r="T268" s="87" t="s">
        <v>1649</v>
      </c>
      <c r="U268" s="244">
        <v>0</v>
      </c>
      <c r="V268" s="87" t="s">
        <v>1649</v>
      </c>
    </row>
    <row r="269" spans="1:22" ht="13.5" thickBot="1" x14ac:dyDescent="0.25">
      <c r="A269" s="48" t="s">
        <v>384</v>
      </c>
      <c r="B269" s="258" t="s">
        <v>383</v>
      </c>
      <c r="C269" s="255" t="s">
        <v>22</v>
      </c>
      <c r="D269" s="244">
        <v>21638</v>
      </c>
      <c r="E269" s="244">
        <v>1</v>
      </c>
      <c r="F269" s="251">
        <v>40</v>
      </c>
      <c r="G269" s="251">
        <v>1</v>
      </c>
      <c r="H269" s="244">
        <v>2</v>
      </c>
      <c r="I269" s="253">
        <v>72</v>
      </c>
      <c r="J269" s="253">
        <v>1.8</v>
      </c>
      <c r="K269" s="244">
        <v>3</v>
      </c>
      <c r="L269" s="251">
        <v>112</v>
      </c>
      <c r="M269" s="251">
        <v>2.8</v>
      </c>
      <c r="N269" s="244">
        <v>10</v>
      </c>
      <c r="O269" s="251">
        <v>240</v>
      </c>
      <c r="P269" s="251">
        <v>6</v>
      </c>
      <c r="Q269" s="244">
        <v>13</v>
      </c>
      <c r="R269" s="251">
        <v>352</v>
      </c>
      <c r="S269" s="251">
        <v>8.8000000000000007</v>
      </c>
      <c r="T269" s="87" t="s">
        <v>1649</v>
      </c>
      <c r="U269" s="244">
        <v>0</v>
      </c>
      <c r="V269" s="87" t="s">
        <v>1649</v>
      </c>
    </row>
    <row r="270" spans="1:22" ht="13.5" thickBot="1" x14ac:dyDescent="0.25">
      <c r="A270" s="48" t="s">
        <v>390</v>
      </c>
      <c r="B270" s="258" t="s">
        <v>389</v>
      </c>
      <c r="C270" s="255" t="s">
        <v>22</v>
      </c>
      <c r="D270" s="244">
        <v>13600</v>
      </c>
      <c r="E270" s="244">
        <v>3</v>
      </c>
      <c r="F270" s="251">
        <v>87</v>
      </c>
      <c r="G270" s="251">
        <v>2.1749999999999998</v>
      </c>
      <c r="H270" s="244">
        <v>2</v>
      </c>
      <c r="I270" s="253">
        <v>60</v>
      </c>
      <c r="J270" s="253">
        <v>1.5</v>
      </c>
      <c r="K270" s="244">
        <v>5</v>
      </c>
      <c r="L270" s="251">
        <v>147</v>
      </c>
      <c r="M270" s="251">
        <v>3.6749999999999998</v>
      </c>
      <c r="N270" s="244">
        <v>0</v>
      </c>
      <c r="O270" s="251">
        <v>0</v>
      </c>
      <c r="P270" s="251">
        <v>0</v>
      </c>
      <c r="Q270" s="244">
        <v>5</v>
      </c>
      <c r="R270" s="251">
        <v>147</v>
      </c>
      <c r="S270" s="251">
        <v>3.6749999999999998</v>
      </c>
      <c r="T270" s="87" t="s">
        <v>1648</v>
      </c>
      <c r="U270" s="244">
        <v>820</v>
      </c>
      <c r="V270" s="87" t="s">
        <v>1649</v>
      </c>
    </row>
    <row r="271" spans="1:22" ht="13.5" thickBot="1" x14ac:dyDescent="0.25">
      <c r="A271" s="48" t="s">
        <v>404</v>
      </c>
      <c r="B271" s="258" t="s">
        <v>403</v>
      </c>
      <c r="C271" s="255" t="s">
        <v>22</v>
      </c>
      <c r="D271" s="244">
        <v>17153</v>
      </c>
      <c r="E271" s="244">
        <v>3</v>
      </c>
      <c r="F271" s="251">
        <v>76</v>
      </c>
      <c r="G271" s="251">
        <v>1.9</v>
      </c>
      <c r="H271" s="244">
        <v>2</v>
      </c>
      <c r="I271" s="253">
        <v>51</v>
      </c>
      <c r="J271" s="253">
        <v>1.2749999999999999</v>
      </c>
      <c r="K271" s="244">
        <v>5</v>
      </c>
      <c r="L271" s="251">
        <v>127</v>
      </c>
      <c r="M271" s="251">
        <v>3.1749999999999998</v>
      </c>
      <c r="N271" s="244">
        <v>8</v>
      </c>
      <c r="O271" s="251">
        <v>115</v>
      </c>
      <c r="P271" s="251">
        <v>2.875</v>
      </c>
      <c r="Q271" s="244">
        <v>13</v>
      </c>
      <c r="R271" s="251">
        <v>242</v>
      </c>
      <c r="S271" s="251">
        <v>6.05</v>
      </c>
      <c r="T271" s="87" t="s">
        <v>1649</v>
      </c>
      <c r="U271" s="244">
        <v>0</v>
      </c>
      <c r="V271" s="87" t="s">
        <v>1649</v>
      </c>
    </row>
    <row r="272" spans="1:22" ht="13.5" thickBot="1" x14ac:dyDescent="0.25">
      <c r="A272" s="48" t="s">
        <v>423</v>
      </c>
      <c r="B272" s="258" t="s">
        <v>422</v>
      </c>
      <c r="C272" s="255" t="s">
        <v>22</v>
      </c>
      <c r="D272" s="244">
        <v>25369</v>
      </c>
      <c r="E272" s="244">
        <v>1</v>
      </c>
      <c r="F272" s="251">
        <v>40</v>
      </c>
      <c r="G272" s="251">
        <v>1</v>
      </c>
      <c r="H272" s="244">
        <v>0</v>
      </c>
      <c r="I272" s="253">
        <v>0</v>
      </c>
      <c r="J272" s="253">
        <v>0</v>
      </c>
      <c r="K272" s="244">
        <v>1</v>
      </c>
      <c r="L272" s="251">
        <v>40</v>
      </c>
      <c r="M272" s="251">
        <v>1</v>
      </c>
      <c r="N272" s="244">
        <v>3</v>
      </c>
      <c r="O272" s="251">
        <v>153</v>
      </c>
      <c r="P272" s="251">
        <v>3.8250000000000002</v>
      </c>
      <c r="Q272" s="244">
        <v>4</v>
      </c>
      <c r="R272" s="251">
        <v>193</v>
      </c>
      <c r="S272" s="251">
        <v>4.8250000000000002</v>
      </c>
      <c r="T272" s="87" t="s">
        <v>1649</v>
      </c>
      <c r="U272" s="244">
        <v>0</v>
      </c>
      <c r="V272" s="87" t="s">
        <v>1649</v>
      </c>
    </row>
    <row r="273" spans="1:22" ht="13.5" thickBot="1" x14ac:dyDescent="0.25">
      <c r="A273" s="48" t="s">
        <v>439</v>
      </c>
      <c r="B273" s="258" t="s">
        <v>438</v>
      </c>
      <c r="C273" s="255" t="s">
        <v>22</v>
      </c>
      <c r="D273" s="244">
        <v>22258</v>
      </c>
      <c r="E273" s="244">
        <v>2</v>
      </c>
      <c r="F273" s="251">
        <v>80</v>
      </c>
      <c r="G273" s="251">
        <v>2</v>
      </c>
      <c r="H273" s="244">
        <v>3</v>
      </c>
      <c r="I273" s="253">
        <v>120</v>
      </c>
      <c r="J273" s="253">
        <v>3</v>
      </c>
      <c r="K273" s="244">
        <v>5</v>
      </c>
      <c r="L273" s="251">
        <v>200</v>
      </c>
      <c r="M273" s="251">
        <v>5</v>
      </c>
      <c r="N273" s="244">
        <v>16</v>
      </c>
      <c r="O273" s="251">
        <v>426</v>
      </c>
      <c r="P273" s="251">
        <v>10.65</v>
      </c>
      <c r="Q273" s="244">
        <v>21</v>
      </c>
      <c r="R273" s="251">
        <v>626</v>
      </c>
      <c r="S273" s="251">
        <v>15.65</v>
      </c>
      <c r="T273" s="87" t="s">
        <v>1649</v>
      </c>
      <c r="U273" s="244">
        <v>0</v>
      </c>
      <c r="V273" s="87" t="s">
        <v>1649</v>
      </c>
    </row>
    <row r="274" spans="1:22" ht="13.5" thickBot="1" x14ac:dyDescent="0.25">
      <c r="A274" s="48" t="s">
        <v>452</v>
      </c>
      <c r="B274" s="258" t="s">
        <v>451</v>
      </c>
      <c r="C274" s="255" t="s">
        <v>22</v>
      </c>
      <c r="D274" s="244">
        <v>14545</v>
      </c>
      <c r="E274" s="244">
        <v>3</v>
      </c>
      <c r="F274" s="251">
        <v>120</v>
      </c>
      <c r="G274" s="251">
        <v>3</v>
      </c>
      <c r="H274" s="244">
        <v>0</v>
      </c>
      <c r="I274" s="253">
        <v>0</v>
      </c>
      <c r="J274" s="253">
        <v>0</v>
      </c>
      <c r="K274" s="244">
        <v>3</v>
      </c>
      <c r="L274" s="251">
        <v>120</v>
      </c>
      <c r="M274" s="251">
        <v>3</v>
      </c>
      <c r="N274" s="244">
        <v>10</v>
      </c>
      <c r="O274" s="251">
        <v>220</v>
      </c>
      <c r="P274" s="251">
        <v>5.5</v>
      </c>
      <c r="Q274" s="244">
        <v>13</v>
      </c>
      <c r="R274" s="251">
        <v>340</v>
      </c>
      <c r="S274" s="251">
        <v>8.5</v>
      </c>
      <c r="T274" s="87" t="s">
        <v>1649</v>
      </c>
      <c r="U274" s="244">
        <v>0</v>
      </c>
      <c r="V274" s="87" t="s">
        <v>1649</v>
      </c>
    </row>
    <row r="275" spans="1:22" ht="13.5" thickBot="1" x14ac:dyDescent="0.25">
      <c r="A275" s="48" t="s">
        <v>458</v>
      </c>
      <c r="B275" s="258" t="s">
        <v>457</v>
      </c>
      <c r="C275" s="255" t="s">
        <v>22</v>
      </c>
      <c r="D275" s="244">
        <v>13452</v>
      </c>
      <c r="E275" s="244">
        <v>4</v>
      </c>
      <c r="F275" s="251">
        <v>160</v>
      </c>
      <c r="G275" s="251">
        <v>4</v>
      </c>
      <c r="H275" s="244">
        <v>0</v>
      </c>
      <c r="I275" s="253">
        <v>0</v>
      </c>
      <c r="J275" s="253">
        <v>0</v>
      </c>
      <c r="K275" s="244">
        <v>4</v>
      </c>
      <c r="L275" s="251">
        <v>160</v>
      </c>
      <c r="M275" s="251">
        <v>4</v>
      </c>
      <c r="N275" s="244">
        <v>7</v>
      </c>
      <c r="O275" s="251">
        <v>113</v>
      </c>
      <c r="P275" s="251">
        <v>2.8250000000000002</v>
      </c>
      <c r="Q275" s="244">
        <v>11</v>
      </c>
      <c r="R275" s="251">
        <v>273</v>
      </c>
      <c r="S275" s="251">
        <v>6.8250000000000002</v>
      </c>
      <c r="T275" s="87" t="s">
        <v>1648</v>
      </c>
      <c r="U275" s="244">
        <v>17</v>
      </c>
      <c r="V275" s="87" t="s">
        <v>1649</v>
      </c>
    </row>
    <row r="276" spans="1:22" ht="13.5" thickBot="1" x14ac:dyDescent="0.25">
      <c r="A276" s="48" t="s">
        <v>472</v>
      </c>
      <c r="B276" s="258" t="s">
        <v>471</v>
      </c>
      <c r="C276" s="255" t="s">
        <v>22</v>
      </c>
      <c r="D276" s="244">
        <v>22995</v>
      </c>
      <c r="E276" s="244">
        <v>1</v>
      </c>
      <c r="F276" s="251">
        <v>40</v>
      </c>
      <c r="G276" s="251">
        <v>1</v>
      </c>
      <c r="H276" s="244">
        <v>4</v>
      </c>
      <c r="I276" s="253">
        <v>152.5</v>
      </c>
      <c r="J276" s="253">
        <v>3.8125</v>
      </c>
      <c r="K276" s="244">
        <v>5</v>
      </c>
      <c r="L276" s="251">
        <v>192.5</v>
      </c>
      <c r="M276" s="251">
        <v>4.8125</v>
      </c>
      <c r="N276" s="244">
        <v>11</v>
      </c>
      <c r="O276" s="251">
        <v>397.5</v>
      </c>
      <c r="P276" s="251">
        <v>9.9375</v>
      </c>
      <c r="Q276" s="244">
        <v>16</v>
      </c>
      <c r="R276" s="251">
        <v>590</v>
      </c>
      <c r="S276" s="251">
        <v>14.75</v>
      </c>
      <c r="T276" s="87" t="s">
        <v>1648</v>
      </c>
      <c r="U276" s="244">
        <v>5050</v>
      </c>
      <c r="V276" s="87" t="s">
        <v>1649</v>
      </c>
    </row>
    <row r="277" spans="1:22" ht="13.5" thickBot="1" x14ac:dyDescent="0.25">
      <c r="A277" s="48" t="s">
        <v>482</v>
      </c>
      <c r="B277" s="258" t="s">
        <v>481</v>
      </c>
      <c r="C277" s="255" t="s">
        <v>22</v>
      </c>
      <c r="D277" s="244">
        <v>14948</v>
      </c>
      <c r="E277" s="244">
        <v>4</v>
      </c>
      <c r="F277" s="251">
        <v>160</v>
      </c>
      <c r="G277" s="251">
        <v>4</v>
      </c>
      <c r="H277" s="244">
        <v>1</v>
      </c>
      <c r="I277" s="253">
        <v>40</v>
      </c>
      <c r="J277" s="253">
        <v>1</v>
      </c>
      <c r="K277" s="244">
        <v>5</v>
      </c>
      <c r="L277" s="251">
        <v>200</v>
      </c>
      <c r="M277" s="251">
        <v>5</v>
      </c>
      <c r="N277" s="244">
        <v>13</v>
      </c>
      <c r="O277" s="251">
        <v>360</v>
      </c>
      <c r="P277" s="251">
        <v>9</v>
      </c>
      <c r="Q277" s="244">
        <v>18</v>
      </c>
      <c r="R277" s="251">
        <v>560</v>
      </c>
      <c r="S277" s="251">
        <v>14</v>
      </c>
      <c r="T277" s="87" t="s">
        <v>1649</v>
      </c>
      <c r="U277" s="244">
        <v>0</v>
      </c>
      <c r="V277" s="87" t="s">
        <v>1649</v>
      </c>
    </row>
    <row r="278" spans="1:22" ht="13.5" thickBot="1" x14ac:dyDescent="0.25">
      <c r="A278" s="48" t="s">
        <v>486</v>
      </c>
      <c r="B278" s="258" t="s">
        <v>485</v>
      </c>
      <c r="C278" s="255" t="s">
        <v>22</v>
      </c>
      <c r="D278" s="244">
        <v>18393</v>
      </c>
      <c r="E278" s="244">
        <v>4</v>
      </c>
      <c r="F278" s="251">
        <v>144</v>
      </c>
      <c r="G278" s="251">
        <v>3.6</v>
      </c>
      <c r="H278" s="244">
        <v>9</v>
      </c>
      <c r="I278" s="253">
        <v>247</v>
      </c>
      <c r="J278" s="253">
        <v>6.1749999999999998</v>
      </c>
      <c r="K278" s="244">
        <v>13</v>
      </c>
      <c r="L278" s="251">
        <v>391</v>
      </c>
      <c r="M278" s="251">
        <v>9.7750000000000004</v>
      </c>
      <c r="N278" s="244">
        <v>8</v>
      </c>
      <c r="O278" s="251">
        <v>105</v>
      </c>
      <c r="P278" s="251">
        <v>2.625</v>
      </c>
      <c r="Q278" s="244">
        <v>21</v>
      </c>
      <c r="R278" s="251">
        <v>496</v>
      </c>
      <c r="S278" s="251">
        <v>12.4</v>
      </c>
      <c r="T278" s="87" t="s">
        <v>1649</v>
      </c>
      <c r="U278" s="244">
        <v>0</v>
      </c>
      <c r="V278" s="87" t="s">
        <v>1649</v>
      </c>
    </row>
    <row r="279" spans="1:22" ht="13.5" thickBot="1" x14ac:dyDescent="0.25">
      <c r="A279" s="48" t="s">
        <v>496</v>
      </c>
      <c r="B279" s="258" t="s">
        <v>495</v>
      </c>
      <c r="C279" s="255" t="s">
        <v>22</v>
      </c>
      <c r="D279" s="244">
        <v>14384</v>
      </c>
      <c r="E279" s="244">
        <v>1</v>
      </c>
      <c r="F279" s="251">
        <v>40</v>
      </c>
      <c r="G279" s="251">
        <v>1</v>
      </c>
      <c r="H279" s="244">
        <v>2</v>
      </c>
      <c r="I279" s="253">
        <v>80</v>
      </c>
      <c r="J279" s="253">
        <v>2</v>
      </c>
      <c r="K279" s="244">
        <v>3</v>
      </c>
      <c r="L279" s="251">
        <v>120</v>
      </c>
      <c r="M279" s="251">
        <v>3</v>
      </c>
      <c r="N279" s="244">
        <v>3</v>
      </c>
      <c r="O279" s="251">
        <v>75</v>
      </c>
      <c r="P279" s="251">
        <v>1.875</v>
      </c>
      <c r="Q279" s="244">
        <v>6</v>
      </c>
      <c r="R279" s="251">
        <v>195</v>
      </c>
      <c r="S279" s="251">
        <v>4.875</v>
      </c>
      <c r="T279" s="87" t="s">
        <v>1648</v>
      </c>
      <c r="U279" s="244">
        <v>1925</v>
      </c>
      <c r="V279" s="87" t="s">
        <v>1649</v>
      </c>
    </row>
    <row r="280" spans="1:22" ht="13.5" thickBot="1" x14ac:dyDescent="0.25">
      <c r="A280" s="48" t="s">
        <v>500</v>
      </c>
      <c r="B280" s="258" t="s">
        <v>499</v>
      </c>
      <c r="C280" s="255" t="s">
        <v>22</v>
      </c>
      <c r="D280" s="244">
        <v>17511</v>
      </c>
      <c r="E280" s="244">
        <v>4</v>
      </c>
      <c r="F280" s="251">
        <v>88</v>
      </c>
      <c r="G280" s="251">
        <v>2.2000000000000002</v>
      </c>
      <c r="H280" s="244">
        <v>2</v>
      </c>
      <c r="I280" s="253">
        <v>56</v>
      </c>
      <c r="J280" s="253">
        <v>1.4</v>
      </c>
      <c r="K280" s="244">
        <v>6</v>
      </c>
      <c r="L280" s="251">
        <v>144</v>
      </c>
      <c r="M280" s="251">
        <v>3.6</v>
      </c>
      <c r="N280" s="244">
        <v>4</v>
      </c>
      <c r="O280" s="251">
        <v>76</v>
      </c>
      <c r="P280" s="251">
        <v>1.9</v>
      </c>
      <c r="Q280" s="244">
        <v>10</v>
      </c>
      <c r="R280" s="251">
        <v>220</v>
      </c>
      <c r="S280" s="251">
        <v>5.5</v>
      </c>
      <c r="T280" s="257" t="s">
        <v>1648</v>
      </c>
      <c r="U280" s="244">
        <v>18</v>
      </c>
      <c r="V280" s="87" t="s">
        <v>1649</v>
      </c>
    </row>
    <row r="281" spans="1:22" ht="13.5" thickBot="1" x14ac:dyDescent="0.25">
      <c r="A281" s="48" t="s">
        <v>502</v>
      </c>
      <c r="B281" s="258" t="s">
        <v>501</v>
      </c>
      <c r="C281" s="255" t="s">
        <v>22</v>
      </c>
      <c r="D281" s="244">
        <v>15736</v>
      </c>
      <c r="E281" s="244">
        <v>10</v>
      </c>
      <c r="F281" s="251">
        <v>268</v>
      </c>
      <c r="G281" s="251">
        <v>6.7</v>
      </c>
      <c r="H281" s="244">
        <v>1</v>
      </c>
      <c r="I281" s="253">
        <v>17</v>
      </c>
      <c r="J281" s="253">
        <v>0.42499999999999999</v>
      </c>
      <c r="K281" s="244">
        <v>11</v>
      </c>
      <c r="L281" s="251">
        <v>285</v>
      </c>
      <c r="M281" s="251">
        <v>7.125</v>
      </c>
      <c r="N281" s="244">
        <v>12</v>
      </c>
      <c r="O281" s="251">
        <v>238.5</v>
      </c>
      <c r="P281" s="251">
        <v>5.9625000000000004</v>
      </c>
      <c r="Q281" s="244">
        <v>23</v>
      </c>
      <c r="R281" s="251">
        <v>523.5</v>
      </c>
      <c r="S281" s="251">
        <v>13.0875</v>
      </c>
      <c r="T281" s="87" t="s">
        <v>1649</v>
      </c>
      <c r="U281" s="244">
        <v>0</v>
      </c>
      <c r="V281" s="87" t="s">
        <v>1649</v>
      </c>
    </row>
    <row r="282" spans="1:22" ht="13.5" thickBot="1" x14ac:dyDescent="0.25">
      <c r="A282" s="48" t="s">
        <v>506</v>
      </c>
      <c r="B282" s="258" t="s">
        <v>505</v>
      </c>
      <c r="C282" s="255" t="s">
        <v>22</v>
      </c>
      <c r="D282" s="244">
        <v>13097</v>
      </c>
      <c r="E282" s="244">
        <v>0</v>
      </c>
      <c r="F282" s="251">
        <v>0</v>
      </c>
      <c r="G282" s="251">
        <v>0</v>
      </c>
      <c r="H282" s="244">
        <v>1</v>
      </c>
      <c r="I282" s="253">
        <v>40</v>
      </c>
      <c r="J282" s="253">
        <v>1</v>
      </c>
      <c r="K282" s="244">
        <v>1</v>
      </c>
      <c r="L282" s="251">
        <v>40</v>
      </c>
      <c r="M282" s="251">
        <v>1</v>
      </c>
      <c r="N282" s="244">
        <v>8</v>
      </c>
      <c r="O282" s="251">
        <v>89</v>
      </c>
      <c r="P282" s="251">
        <v>2.2250000000000001</v>
      </c>
      <c r="Q282" s="244">
        <v>9</v>
      </c>
      <c r="R282" s="251">
        <v>129</v>
      </c>
      <c r="S282" s="251">
        <v>3.2250000000000001</v>
      </c>
      <c r="T282" s="257" t="s">
        <v>1648</v>
      </c>
      <c r="U282" s="244">
        <v>104</v>
      </c>
      <c r="V282" s="87" t="s">
        <v>1649</v>
      </c>
    </row>
    <row r="283" spans="1:22" ht="13.5" thickBot="1" x14ac:dyDescent="0.25">
      <c r="A283" s="48" t="s">
        <v>516</v>
      </c>
      <c r="B283" s="258" t="s">
        <v>515</v>
      </c>
      <c r="C283" s="255" t="s">
        <v>22</v>
      </c>
      <c r="D283" s="244">
        <v>22857</v>
      </c>
      <c r="E283" s="244">
        <v>7</v>
      </c>
      <c r="F283" s="251">
        <v>210</v>
      </c>
      <c r="G283" s="251">
        <v>5.25</v>
      </c>
      <c r="H283" s="244">
        <v>0</v>
      </c>
      <c r="I283" s="253">
        <v>0</v>
      </c>
      <c r="J283" s="253">
        <v>0</v>
      </c>
      <c r="K283" s="244">
        <v>7</v>
      </c>
      <c r="L283" s="251">
        <v>210</v>
      </c>
      <c r="M283" s="251">
        <v>5.25</v>
      </c>
      <c r="N283" s="244">
        <v>11</v>
      </c>
      <c r="O283" s="251">
        <v>418</v>
      </c>
      <c r="P283" s="251">
        <v>10.45</v>
      </c>
      <c r="Q283" s="244">
        <v>17</v>
      </c>
      <c r="R283" s="251">
        <v>628</v>
      </c>
      <c r="S283" s="251">
        <v>15.7</v>
      </c>
      <c r="T283" s="257" t="s">
        <v>1648</v>
      </c>
      <c r="U283" s="244">
        <v>896</v>
      </c>
      <c r="V283" s="87" t="s">
        <v>1649</v>
      </c>
    </row>
    <row r="284" spans="1:22" ht="13.5" thickBot="1" x14ac:dyDescent="0.25">
      <c r="A284" s="48" t="s">
        <v>530</v>
      </c>
      <c r="B284" s="258" t="s">
        <v>529</v>
      </c>
      <c r="C284" s="255" t="s">
        <v>22</v>
      </c>
      <c r="D284" s="244">
        <v>24520</v>
      </c>
      <c r="E284" s="244">
        <v>2</v>
      </c>
      <c r="F284" s="251">
        <v>75</v>
      </c>
      <c r="G284" s="251">
        <v>1.875</v>
      </c>
      <c r="H284" s="244">
        <v>6</v>
      </c>
      <c r="I284" s="253">
        <v>225</v>
      </c>
      <c r="J284" s="253">
        <v>5.625</v>
      </c>
      <c r="K284" s="244">
        <v>7</v>
      </c>
      <c r="L284" s="251">
        <v>262.5</v>
      </c>
      <c r="M284" s="251">
        <v>6.5625</v>
      </c>
      <c r="N284" s="244">
        <v>16</v>
      </c>
      <c r="O284" s="251">
        <v>387.5</v>
      </c>
      <c r="P284" s="251">
        <v>9.6875</v>
      </c>
      <c r="Q284" s="244">
        <v>23</v>
      </c>
      <c r="R284" s="251">
        <v>650</v>
      </c>
      <c r="S284" s="251">
        <v>16.25</v>
      </c>
      <c r="T284" s="87" t="s">
        <v>1649</v>
      </c>
      <c r="U284" s="244">
        <v>0</v>
      </c>
      <c r="V284" s="87" t="s">
        <v>1649</v>
      </c>
    </row>
    <row r="285" spans="1:22" ht="13.5" thickBot="1" x14ac:dyDescent="0.25">
      <c r="A285" s="48" t="s">
        <v>546</v>
      </c>
      <c r="B285" s="258" t="s">
        <v>545</v>
      </c>
      <c r="C285" s="255" t="s">
        <v>22</v>
      </c>
      <c r="D285" s="244">
        <v>12561</v>
      </c>
      <c r="E285" s="244">
        <v>1</v>
      </c>
      <c r="F285" s="251">
        <v>40</v>
      </c>
      <c r="G285" s="251">
        <v>1</v>
      </c>
      <c r="H285" s="244">
        <v>3</v>
      </c>
      <c r="I285" s="253">
        <v>100</v>
      </c>
      <c r="J285" s="253">
        <v>2.5</v>
      </c>
      <c r="K285" s="244">
        <v>4</v>
      </c>
      <c r="L285" s="251">
        <v>180</v>
      </c>
      <c r="M285" s="251">
        <v>4.5</v>
      </c>
      <c r="N285" s="244">
        <v>4</v>
      </c>
      <c r="O285" s="251">
        <v>84</v>
      </c>
      <c r="P285" s="251">
        <v>2.1</v>
      </c>
      <c r="Q285" s="244">
        <v>8</v>
      </c>
      <c r="R285" s="251">
        <v>264</v>
      </c>
      <c r="S285" s="251">
        <v>6.6</v>
      </c>
      <c r="T285" s="87" t="s">
        <v>1648</v>
      </c>
      <c r="U285" s="244">
        <v>2043</v>
      </c>
      <c r="V285" s="87" t="s">
        <v>1649</v>
      </c>
    </row>
    <row r="286" spans="1:22" ht="13.5" thickBot="1" x14ac:dyDescent="0.25">
      <c r="A286" s="48" t="s">
        <v>556</v>
      </c>
      <c r="B286" s="258" t="s">
        <v>555</v>
      </c>
      <c r="C286" s="255" t="s">
        <v>22</v>
      </c>
      <c r="D286" s="244">
        <v>24164</v>
      </c>
      <c r="E286" s="244">
        <v>2</v>
      </c>
      <c r="F286" s="251">
        <v>80</v>
      </c>
      <c r="G286" s="251">
        <v>2</v>
      </c>
      <c r="H286" s="244">
        <v>1</v>
      </c>
      <c r="I286" s="253">
        <v>38</v>
      </c>
      <c r="J286" s="253">
        <v>0.95</v>
      </c>
      <c r="K286" s="244">
        <v>3</v>
      </c>
      <c r="L286" s="251">
        <v>118</v>
      </c>
      <c r="M286" s="251">
        <v>2.95</v>
      </c>
      <c r="N286" s="244">
        <v>15</v>
      </c>
      <c r="O286" s="251">
        <v>320</v>
      </c>
      <c r="P286" s="251">
        <v>8</v>
      </c>
      <c r="Q286" s="244">
        <v>18</v>
      </c>
      <c r="R286" s="251">
        <v>438</v>
      </c>
      <c r="S286" s="251">
        <v>10.95</v>
      </c>
      <c r="T286" s="87" t="s">
        <v>1648</v>
      </c>
      <c r="U286" s="244">
        <v>3038</v>
      </c>
      <c r="V286" s="87" t="s">
        <v>1649</v>
      </c>
    </row>
    <row r="287" spans="1:22" ht="13.5" thickBot="1" x14ac:dyDescent="0.25">
      <c r="A287" s="48" t="s">
        <v>558</v>
      </c>
      <c r="B287" s="258" t="s">
        <v>557</v>
      </c>
      <c r="C287" s="255" t="s">
        <v>22</v>
      </c>
      <c r="D287" s="244">
        <v>14230</v>
      </c>
      <c r="E287" s="244">
        <v>1</v>
      </c>
      <c r="F287" s="251">
        <v>40</v>
      </c>
      <c r="G287" s="251">
        <v>1</v>
      </c>
      <c r="H287" s="244">
        <v>1</v>
      </c>
      <c r="I287" s="253">
        <v>40</v>
      </c>
      <c r="J287" s="253">
        <v>1</v>
      </c>
      <c r="K287" s="244">
        <v>2</v>
      </c>
      <c r="L287" s="251">
        <v>80</v>
      </c>
      <c r="M287" s="251">
        <v>2</v>
      </c>
      <c r="N287" s="244">
        <v>10</v>
      </c>
      <c r="O287" s="251">
        <v>230</v>
      </c>
      <c r="P287" s="251">
        <v>5.75</v>
      </c>
      <c r="Q287" s="244">
        <v>12</v>
      </c>
      <c r="R287" s="251">
        <v>310</v>
      </c>
      <c r="S287" s="251">
        <v>7.75</v>
      </c>
      <c r="T287" s="87" t="s">
        <v>1648</v>
      </c>
      <c r="U287" s="244">
        <v>45</v>
      </c>
      <c r="V287" s="87" t="s">
        <v>1649</v>
      </c>
    </row>
    <row r="288" spans="1:22" ht="13.5" thickBot="1" x14ac:dyDescent="0.25">
      <c r="A288" s="48" t="s">
        <v>562</v>
      </c>
      <c r="B288" s="258" t="s">
        <v>561</v>
      </c>
      <c r="C288" s="255" t="s">
        <v>22</v>
      </c>
      <c r="D288" s="244">
        <v>20526</v>
      </c>
      <c r="E288" s="244">
        <v>7</v>
      </c>
      <c r="F288" s="251">
        <v>264</v>
      </c>
      <c r="G288" s="251">
        <v>6.6</v>
      </c>
      <c r="H288" s="244">
        <v>8</v>
      </c>
      <c r="I288" s="253">
        <v>181</v>
      </c>
      <c r="J288" s="253">
        <v>4.5250000000000004</v>
      </c>
      <c r="K288" s="244">
        <v>15</v>
      </c>
      <c r="L288" s="251">
        <v>445</v>
      </c>
      <c r="M288" s="251">
        <v>11.125</v>
      </c>
      <c r="N288" s="244">
        <v>15</v>
      </c>
      <c r="O288" s="251">
        <v>133</v>
      </c>
      <c r="P288" s="251">
        <v>3.3250000000000002</v>
      </c>
      <c r="Q288" s="244">
        <v>30</v>
      </c>
      <c r="R288" s="251">
        <v>578</v>
      </c>
      <c r="S288" s="251">
        <v>14.45</v>
      </c>
      <c r="T288" s="87" t="s">
        <v>1649</v>
      </c>
      <c r="U288" s="244">
        <v>0</v>
      </c>
      <c r="V288" s="87" t="s">
        <v>1649</v>
      </c>
    </row>
    <row r="289" spans="1:22" ht="13.5" thickBot="1" x14ac:dyDescent="0.25">
      <c r="A289" s="48" t="s">
        <v>570</v>
      </c>
      <c r="B289" s="258" t="s">
        <v>569</v>
      </c>
      <c r="C289" s="255" t="s">
        <v>22</v>
      </c>
      <c r="D289" s="244">
        <v>13579</v>
      </c>
      <c r="E289" s="244">
        <v>2</v>
      </c>
      <c r="F289" s="251">
        <v>64</v>
      </c>
      <c r="G289" s="251">
        <v>1.6</v>
      </c>
      <c r="H289" s="244">
        <v>5</v>
      </c>
      <c r="I289" s="253">
        <v>180</v>
      </c>
      <c r="J289" s="253">
        <v>4.5</v>
      </c>
      <c r="K289" s="244">
        <v>7</v>
      </c>
      <c r="L289" s="251">
        <v>224</v>
      </c>
      <c r="M289" s="251">
        <v>5.6</v>
      </c>
      <c r="N289" s="244">
        <v>10</v>
      </c>
      <c r="O289" s="251">
        <v>175</v>
      </c>
      <c r="P289" s="251">
        <v>4.375</v>
      </c>
      <c r="Q289" s="244">
        <v>17</v>
      </c>
      <c r="R289" s="251">
        <v>399</v>
      </c>
      <c r="S289" s="251">
        <v>9.9749999999999996</v>
      </c>
      <c r="T289" s="87" t="s">
        <v>1648</v>
      </c>
      <c r="U289" s="244">
        <v>500</v>
      </c>
      <c r="V289" s="87" t="s">
        <v>1649</v>
      </c>
    </row>
    <row r="290" spans="1:22" ht="13.5" thickBot="1" x14ac:dyDescent="0.25">
      <c r="A290" s="48" t="s">
        <v>580</v>
      </c>
      <c r="B290" s="258" t="s">
        <v>579</v>
      </c>
      <c r="C290" s="255" t="s">
        <v>22</v>
      </c>
      <c r="D290" s="244">
        <v>16709</v>
      </c>
      <c r="E290" s="244">
        <v>5</v>
      </c>
      <c r="F290" s="251">
        <v>189</v>
      </c>
      <c r="G290" s="251">
        <v>4.7249999999999996</v>
      </c>
      <c r="H290" s="244">
        <v>2</v>
      </c>
      <c r="I290" s="253">
        <v>60</v>
      </c>
      <c r="J290" s="253">
        <v>1.5</v>
      </c>
      <c r="K290" s="244">
        <v>8</v>
      </c>
      <c r="L290" s="251">
        <v>249</v>
      </c>
      <c r="M290" s="251">
        <v>6.2249999999999996</v>
      </c>
      <c r="N290" s="244">
        <v>18</v>
      </c>
      <c r="O290" s="251">
        <v>324</v>
      </c>
      <c r="P290" s="251">
        <v>8.1</v>
      </c>
      <c r="Q290" s="244">
        <v>23</v>
      </c>
      <c r="R290" s="251">
        <v>573</v>
      </c>
      <c r="S290" s="251">
        <v>14.324999999999999</v>
      </c>
      <c r="T290" s="87" t="s">
        <v>1648</v>
      </c>
      <c r="U290" s="244">
        <v>15</v>
      </c>
      <c r="V290" s="87" t="s">
        <v>1649</v>
      </c>
    </row>
    <row r="291" spans="1:22" ht="13.5" thickBot="1" x14ac:dyDescent="0.25">
      <c r="A291" s="48" t="s">
        <v>596</v>
      </c>
      <c r="B291" s="258" t="s">
        <v>595</v>
      </c>
      <c r="C291" s="255" t="s">
        <v>22</v>
      </c>
      <c r="D291" s="244">
        <v>19629</v>
      </c>
      <c r="E291" s="244">
        <v>2</v>
      </c>
      <c r="F291" s="251">
        <v>70</v>
      </c>
      <c r="G291" s="251">
        <v>1.75</v>
      </c>
      <c r="H291" s="244">
        <v>12</v>
      </c>
      <c r="I291" s="253">
        <v>330</v>
      </c>
      <c r="J291" s="253">
        <v>8.25</v>
      </c>
      <c r="K291" s="244">
        <v>12</v>
      </c>
      <c r="L291" s="251">
        <v>330</v>
      </c>
      <c r="M291" s="251">
        <v>8.25</v>
      </c>
      <c r="N291" s="244">
        <v>6</v>
      </c>
      <c r="O291" s="251">
        <v>90</v>
      </c>
      <c r="P291" s="251">
        <v>2.25</v>
      </c>
      <c r="Q291" s="244">
        <v>19</v>
      </c>
      <c r="R291" s="251">
        <v>420</v>
      </c>
      <c r="S291" s="251">
        <v>10.5</v>
      </c>
      <c r="T291" s="87" t="s">
        <v>1649</v>
      </c>
      <c r="U291" s="244">
        <v>0</v>
      </c>
      <c r="V291" s="87" t="s">
        <v>1649</v>
      </c>
    </row>
    <row r="292" spans="1:22" ht="13.5" thickBot="1" x14ac:dyDescent="0.25">
      <c r="A292" s="48" t="s">
        <v>598</v>
      </c>
      <c r="B292" s="258" t="s">
        <v>597</v>
      </c>
      <c r="C292" s="255" t="s">
        <v>22</v>
      </c>
      <c r="D292" s="244">
        <v>13912</v>
      </c>
      <c r="E292" s="244">
        <v>2</v>
      </c>
      <c r="F292" s="251">
        <v>78</v>
      </c>
      <c r="G292" s="251">
        <v>1.95</v>
      </c>
      <c r="H292" s="244">
        <v>0</v>
      </c>
      <c r="I292" s="253">
        <v>0</v>
      </c>
      <c r="J292" s="253">
        <v>0</v>
      </c>
      <c r="K292" s="244">
        <v>2</v>
      </c>
      <c r="L292" s="251">
        <v>78</v>
      </c>
      <c r="M292" s="251">
        <v>1.95</v>
      </c>
      <c r="N292" s="244">
        <v>10</v>
      </c>
      <c r="O292" s="251">
        <v>207</v>
      </c>
      <c r="P292" s="251">
        <v>5.1749999999999998</v>
      </c>
      <c r="Q292" s="244">
        <v>12</v>
      </c>
      <c r="R292" s="251">
        <v>285</v>
      </c>
      <c r="S292" s="251">
        <v>7.125</v>
      </c>
      <c r="T292" s="87" t="s">
        <v>1648</v>
      </c>
      <c r="U292" s="244">
        <v>3180</v>
      </c>
      <c r="V292" s="87" t="s">
        <v>1649</v>
      </c>
    </row>
    <row r="293" spans="1:22" ht="13.5" thickBot="1" x14ac:dyDescent="0.25">
      <c r="A293" s="48" t="s">
        <v>602</v>
      </c>
      <c r="B293" s="258" t="s">
        <v>601</v>
      </c>
      <c r="C293" s="255" t="s">
        <v>22</v>
      </c>
      <c r="D293" s="244">
        <v>14878</v>
      </c>
      <c r="E293" s="244">
        <v>1</v>
      </c>
      <c r="F293" s="251">
        <v>40</v>
      </c>
      <c r="G293" s="251">
        <v>1</v>
      </c>
      <c r="H293" s="244">
        <v>9</v>
      </c>
      <c r="I293" s="253">
        <v>360</v>
      </c>
      <c r="J293" s="253">
        <v>9</v>
      </c>
      <c r="K293" s="244">
        <v>10</v>
      </c>
      <c r="L293" s="251">
        <v>400</v>
      </c>
      <c r="M293" s="251">
        <v>10</v>
      </c>
      <c r="N293" s="244">
        <v>13</v>
      </c>
      <c r="O293" s="251">
        <v>150</v>
      </c>
      <c r="P293" s="251">
        <v>3.75</v>
      </c>
      <c r="Q293" s="244">
        <v>23</v>
      </c>
      <c r="R293" s="251">
        <v>550</v>
      </c>
      <c r="S293" s="251">
        <v>13.75</v>
      </c>
      <c r="T293" s="87" t="s">
        <v>1648</v>
      </c>
      <c r="U293" s="244">
        <v>2340</v>
      </c>
      <c r="V293" s="87" t="s">
        <v>1649</v>
      </c>
    </row>
    <row r="294" spans="1:22" ht="13.5" thickBot="1" x14ac:dyDescent="0.25">
      <c r="A294" s="48" t="s">
        <v>636</v>
      </c>
      <c r="B294" s="258" t="s">
        <v>635</v>
      </c>
      <c r="C294" s="255" t="s">
        <v>22</v>
      </c>
      <c r="D294" s="244">
        <v>12486</v>
      </c>
      <c r="E294" s="244">
        <v>1</v>
      </c>
      <c r="F294" s="251">
        <v>40</v>
      </c>
      <c r="G294" s="251">
        <v>1</v>
      </c>
      <c r="H294" s="244">
        <v>0</v>
      </c>
      <c r="I294" s="252">
        <v>0</v>
      </c>
      <c r="J294" s="252">
        <v>0</v>
      </c>
      <c r="K294" s="244">
        <v>1</v>
      </c>
      <c r="L294" s="251">
        <v>40</v>
      </c>
      <c r="M294" s="251">
        <v>1</v>
      </c>
      <c r="N294" s="244">
        <v>8</v>
      </c>
      <c r="O294" s="251">
        <v>117</v>
      </c>
      <c r="P294" s="251">
        <v>2.9249999999999998</v>
      </c>
      <c r="Q294" s="244">
        <v>9</v>
      </c>
      <c r="R294" s="251">
        <v>157</v>
      </c>
      <c r="S294" s="251">
        <v>3.9249999999999998</v>
      </c>
      <c r="T294" s="87" t="s">
        <v>1648</v>
      </c>
      <c r="U294" s="244">
        <v>16</v>
      </c>
      <c r="V294" s="87" t="s">
        <v>1649</v>
      </c>
    </row>
    <row r="295" spans="1:22" ht="13.5" thickBot="1" x14ac:dyDescent="0.25">
      <c r="A295" s="48" t="s">
        <v>662</v>
      </c>
      <c r="B295" s="258" t="s">
        <v>661</v>
      </c>
      <c r="C295" s="255" t="s">
        <v>22</v>
      </c>
      <c r="D295" s="244">
        <v>16753</v>
      </c>
      <c r="E295" s="244">
        <v>13</v>
      </c>
      <c r="F295" s="251">
        <v>282</v>
      </c>
      <c r="G295" s="251">
        <v>7.05</v>
      </c>
      <c r="H295" s="244">
        <v>5</v>
      </c>
      <c r="I295" s="253">
        <v>50</v>
      </c>
      <c r="J295" s="253">
        <v>1.25</v>
      </c>
      <c r="K295" s="244">
        <v>18</v>
      </c>
      <c r="L295" s="251">
        <v>332</v>
      </c>
      <c r="M295" s="251">
        <v>8.3000000000000007</v>
      </c>
      <c r="N295" s="244">
        <v>38</v>
      </c>
      <c r="O295" s="251">
        <v>509</v>
      </c>
      <c r="P295" s="251">
        <v>12.725</v>
      </c>
      <c r="Q295" s="244">
        <v>56</v>
      </c>
      <c r="R295" s="251">
        <v>841</v>
      </c>
      <c r="S295" s="251">
        <v>21.024999999999999</v>
      </c>
      <c r="T295" s="87" t="s">
        <v>1649</v>
      </c>
      <c r="U295" s="244">
        <v>0</v>
      </c>
      <c r="V295" s="87" t="s">
        <v>1649</v>
      </c>
    </row>
    <row r="296" spans="1:22" ht="13.5" thickBot="1" x14ac:dyDescent="0.25">
      <c r="A296" s="48" t="s">
        <v>704</v>
      </c>
      <c r="B296" s="258" t="s">
        <v>703</v>
      </c>
      <c r="C296" s="255" t="s">
        <v>22</v>
      </c>
      <c r="D296" s="244">
        <v>18260</v>
      </c>
      <c r="E296" s="244">
        <v>5</v>
      </c>
      <c r="F296" s="251">
        <v>160</v>
      </c>
      <c r="G296" s="251">
        <v>4</v>
      </c>
      <c r="H296" s="244">
        <v>4</v>
      </c>
      <c r="I296" s="253">
        <v>128</v>
      </c>
      <c r="J296" s="253">
        <v>3.2</v>
      </c>
      <c r="K296" s="244">
        <v>9</v>
      </c>
      <c r="L296" s="251">
        <v>288</v>
      </c>
      <c r="M296" s="251">
        <v>7.2</v>
      </c>
      <c r="N296" s="244">
        <v>22</v>
      </c>
      <c r="O296" s="251">
        <v>434</v>
      </c>
      <c r="P296" s="251">
        <v>10.85</v>
      </c>
      <c r="Q296" s="244">
        <v>33</v>
      </c>
      <c r="R296" s="251">
        <v>722</v>
      </c>
      <c r="S296" s="251">
        <v>18.05</v>
      </c>
      <c r="T296" s="87" t="s">
        <v>1649</v>
      </c>
      <c r="U296" s="244">
        <v>0</v>
      </c>
      <c r="V296" s="87" t="s">
        <v>1649</v>
      </c>
    </row>
    <row r="297" spans="1:22" ht="13.5" thickBot="1" x14ac:dyDescent="0.25">
      <c r="A297" s="48" t="s">
        <v>706</v>
      </c>
      <c r="B297" s="258" t="s">
        <v>705</v>
      </c>
      <c r="C297" s="255" t="s">
        <v>22</v>
      </c>
      <c r="D297" s="244">
        <v>13940</v>
      </c>
      <c r="E297" s="244">
        <v>5</v>
      </c>
      <c r="F297" s="251">
        <v>143</v>
      </c>
      <c r="G297" s="251">
        <v>3.5750000000000002</v>
      </c>
      <c r="H297" s="244">
        <v>1</v>
      </c>
      <c r="I297" s="253">
        <v>35</v>
      </c>
      <c r="J297" s="253">
        <v>0.875</v>
      </c>
      <c r="K297" s="244">
        <v>6</v>
      </c>
      <c r="L297" s="251">
        <v>183</v>
      </c>
      <c r="M297" s="251">
        <v>4.5750000000000002</v>
      </c>
      <c r="N297" s="244">
        <v>11</v>
      </c>
      <c r="O297" s="251">
        <v>207</v>
      </c>
      <c r="P297" s="251">
        <v>5.1749999999999998</v>
      </c>
      <c r="Q297" s="244">
        <v>17</v>
      </c>
      <c r="R297" s="251">
        <v>390</v>
      </c>
      <c r="S297" s="251">
        <v>9.75</v>
      </c>
      <c r="T297" s="87" t="s">
        <v>1649</v>
      </c>
      <c r="U297" s="244">
        <v>0</v>
      </c>
      <c r="V297" s="87" t="s">
        <v>1649</v>
      </c>
    </row>
    <row r="298" spans="1:22" ht="13.5" thickBot="1" x14ac:dyDescent="0.25">
      <c r="A298" s="48" t="s">
        <v>712</v>
      </c>
      <c r="B298" s="258" t="s">
        <v>711</v>
      </c>
      <c r="C298" s="255" t="s">
        <v>22</v>
      </c>
      <c r="D298" s="244">
        <v>17937</v>
      </c>
      <c r="E298" s="244">
        <v>1</v>
      </c>
      <c r="F298" s="251">
        <v>40</v>
      </c>
      <c r="G298" s="251">
        <v>1</v>
      </c>
      <c r="H298" s="244">
        <v>2</v>
      </c>
      <c r="I298" s="253">
        <v>75</v>
      </c>
      <c r="J298" s="253">
        <v>1.875</v>
      </c>
      <c r="K298" s="244">
        <v>3</v>
      </c>
      <c r="L298" s="251">
        <v>112.5</v>
      </c>
      <c r="M298" s="251">
        <v>2.8125</v>
      </c>
      <c r="N298" s="244">
        <v>10</v>
      </c>
      <c r="O298" s="251">
        <v>212</v>
      </c>
      <c r="P298" s="251">
        <v>5.3</v>
      </c>
      <c r="Q298" s="244">
        <v>13</v>
      </c>
      <c r="R298" s="251">
        <v>324.5</v>
      </c>
      <c r="S298" s="251">
        <v>8.1125000000000007</v>
      </c>
      <c r="T298" s="87" t="s">
        <v>1649</v>
      </c>
      <c r="U298" s="244">
        <v>0</v>
      </c>
      <c r="V298" s="87" t="s">
        <v>1649</v>
      </c>
    </row>
    <row r="299" spans="1:22" ht="13.5" thickBot="1" x14ac:dyDescent="0.25">
      <c r="A299" s="48" t="s">
        <v>730</v>
      </c>
      <c r="B299" s="258" t="s">
        <v>729</v>
      </c>
      <c r="C299" s="255" t="s">
        <v>22</v>
      </c>
      <c r="D299" s="244">
        <v>18134</v>
      </c>
      <c r="E299" s="244">
        <v>3</v>
      </c>
      <c r="F299" s="251">
        <v>120</v>
      </c>
      <c r="G299" s="251">
        <v>3</v>
      </c>
      <c r="H299" s="244">
        <v>1</v>
      </c>
      <c r="I299" s="253">
        <v>40</v>
      </c>
      <c r="J299" s="253">
        <v>1</v>
      </c>
      <c r="K299" s="244">
        <v>4</v>
      </c>
      <c r="L299" s="251">
        <v>160</v>
      </c>
      <c r="M299" s="251">
        <v>4</v>
      </c>
      <c r="N299" s="244">
        <v>9</v>
      </c>
      <c r="O299" s="251">
        <v>269</v>
      </c>
      <c r="P299" s="251">
        <v>6.7249999999999996</v>
      </c>
      <c r="Q299" s="244">
        <v>13</v>
      </c>
      <c r="R299" s="251">
        <v>429</v>
      </c>
      <c r="S299" s="251">
        <v>10.725</v>
      </c>
      <c r="T299" s="87" t="s">
        <v>1649</v>
      </c>
      <c r="U299" s="244">
        <v>0</v>
      </c>
      <c r="V299" s="87" t="s">
        <v>1649</v>
      </c>
    </row>
    <row r="300" spans="1:22" ht="13.5" thickBot="1" x14ac:dyDescent="0.25">
      <c r="A300" s="48" t="s">
        <v>742</v>
      </c>
      <c r="B300" s="258" t="s">
        <v>741</v>
      </c>
      <c r="C300" s="255" t="s">
        <v>22</v>
      </c>
      <c r="D300" s="244">
        <v>15497</v>
      </c>
      <c r="E300" s="244">
        <v>1</v>
      </c>
      <c r="F300" s="251">
        <v>40</v>
      </c>
      <c r="G300" s="251">
        <v>1</v>
      </c>
      <c r="H300" s="244">
        <v>1</v>
      </c>
      <c r="I300" s="253">
        <v>8</v>
      </c>
      <c r="J300" s="253">
        <v>0.2</v>
      </c>
      <c r="K300" s="244">
        <v>2</v>
      </c>
      <c r="L300" s="251">
        <v>48</v>
      </c>
      <c r="M300" s="251">
        <v>1.2</v>
      </c>
      <c r="N300" s="244">
        <v>2</v>
      </c>
      <c r="O300" s="251">
        <v>8</v>
      </c>
      <c r="P300" s="251">
        <v>0.2</v>
      </c>
      <c r="Q300" s="244">
        <v>4</v>
      </c>
      <c r="R300" s="251">
        <v>56</v>
      </c>
      <c r="S300" s="251">
        <v>1.4</v>
      </c>
      <c r="T300" s="87" t="s">
        <v>1648</v>
      </c>
      <c r="U300" s="244">
        <v>143</v>
      </c>
      <c r="V300" s="87" t="s">
        <v>1649</v>
      </c>
    </row>
    <row r="301" spans="1:22" ht="13.5" thickBot="1" x14ac:dyDescent="0.25">
      <c r="A301" s="48" t="s">
        <v>746</v>
      </c>
      <c r="B301" s="258" t="s">
        <v>745</v>
      </c>
      <c r="C301" s="255" t="s">
        <v>22</v>
      </c>
      <c r="D301" s="244">
        <v>14253</v>
      </c>
      <c r="E301" s="244">
        <v>2</v>
      </c>
      <c r="F301" s="251">
        <v>69</v>
      </c>
      <c r="G301" s="251">
        <v>1.7250000000000001</v>
      </c>
      <c r="H301" s="244">
        <v>1</v>
      </c>
      <c r="I301" s="253">
        <v>40</v>
      </c>
      <c r="J301" s="253">
        <v>1</v>
      </c>
      <c r="K301" s="244">
        <v>3</v>
      </c>
      <c r="L301" s="251">
        <v>109</v>
      </c>
      <c r="M301" s="251">
        <v>2.7250000000000001</v>
      </c>
      <c r="N301" s="244">
        <v>9</v>
      </c>
      <c r="O301" s="251">
        <v>226</v>
      </c>
      <c r="P301" s="251">
        <v>5.65</v>
      </c>
      <c r="Q301" s="244">
        <v>12</v>
      </c>
      <c r="R301" s="251">
        <v>335</v>
      </c>
      <c r="S301" s="251">
        <v>8.375</v>
      </c>
      <c r="T301" s="87" t="s">
        <v>1648</v>
      </c>
      <c r="U301" s="244">
        <v>2418</v>
      </c>
      <c r="V301" s="87" t="s">
        <v>1649</v>
      </c>
    </row>
    <row r="302" spans="1:22" ht="13.5" thickBot="1" x14ac:dyDescent="0.25">
      <c r="A302" s="48" t="s">
        <v>766</v>
      </c>
      <c r="B302" s="258" t="s">
        <v>765</v>
      </c>
      <c r="C302" s="255" t="s">
        <v>22</v>
      </c>
      <c r="D302" s="244">
        <v>12238</v>
      </c>
      <c r="E302" s="244">
        <v>2</v>
      </c>
      <c r="F302" s="251">
        <v>75</v>
      </c>
      <c r="G302" s="251">
        <v>1.875</v>
      </c>
      <c r="H302" s="244">
        <v>1</v>
      </c>
      <c r="I302" s="253">
        <v>30</v>
      </c>
      <c r="J302" s="253">
        <v>0.75</v>
      </c>
      <c r="K302" s="244">
        <v>3</v>
      </c>
      <c r="L302" s="251">
        <v>105</v>
      </c>
      <c r="M302" s="251">
        <v>2.625</v>
      </c>
      <c r="N302" s="244">
        <v>11</v>
      </c>
      <c r="O302" s="251">
        <v>174.25</v>
      </c>
      <c r="P302" s="251">
        <v>4.3562500000000002</v>
      </c>
      <c r="Q302" s="244">
        <v>14</v>
      </c>
      <c r="R302" s="251">
        <v>279.25</v>
      </c>
      <c r="S302" s="251">
        <v>6.9812500000000002</v>
      </c>
      <c r="T302" s="87" t="s">
        <v>1649</v>
      </c>
      <c r="U302" s="244">
        <v>0</v>
      </c>
      <c r="V302" s="87" t="s">
        <v>1649</v>
      </c>
    </row>
    <row r="303" spans="1:22" ht="13.5" thickBot="1" x14ac:dyDescent="0.25">
      <c r="A303" s="48" t="s">
        <v>786</v>
      </c>
      <c r="B303" s="258" t="s">
        <v>785</v>
      </c>
      <c r="C303" s="255" t="s">
        <v>22</v>
      </c>
      <c r="D303" s="244">
        <v>17593</v>
      </c>
      <c r="E303" s="244">
        <v>7</v>
      </c>
      <c r="F303" s="251">
        <v>117</v>
      </c>
      <c r="G303" s="251">
        <v>2.9249999999999998</v>
      </c>
      <c r="H303" s="244">
        <v>0</v>
      </c>
      <c r="I303" s="253">
        <v>0</v>
      </c>
      <c r="J303" s="253">
        <v>0</v>
      </c>
      <c r="K303" s="244">
        <v>7</v>
      </c>
      <c r="L303" s="251">
        <v>117</v>
      </c>
      <c r="M303" s="251">
        <v>2.9249999999999998</v>
      </c>
      <c r="N303" s="244">
        <v>11</v>
      </c>
      <c r="O303" s="251">
        <v>199</v>
      </c>
      <c r="P303" s="251">
        <v>4.9749999999999996</v>
      </c>
      <c r="Q303" s="244">
        <v>18</v>
      </c>
      <c r="R303" s="251">
        <v>316</v>
      </c>
      <c r="S303" s="251">
        <v>7.9</v>
      </c>
      <c r="T303" s="87" t="s">
        <v>1649</v>
      </c>
      <c r="U303" s="244">
        <v>0</v>
      </c>
      <c r="V303" s="87" t="s">
        <v>1649</v>
      </c>
    </row>
    <row r="304" spans="1:22" ht="13.5" thickBot="1" x14ac:dyDescent="0.25">
      <c r="A304" s="48" t="s">
        <v>812</v>
      </c>
      <c r="B304" s="258" t="s">
        <v>811</v>
      </c>
      <c r="C304" s="255" t="s">
        <v>22</v>
      </c>
      <c r="D304" s="244">
        <v>13498</v>
      </c>
      <c r="E304" s="244">
        <v>6</v>
      </c>
      <c r="F304" s="251">
        <v>229</v>
      </c>
      <c r="G304" s="251">
        <v>5.7249999999999996</v>
      </c>
      <c r="H304" s="244">
        <v>0</v>
      </c>
      <c r="I304" s="253">
        <v>0</v>
      </c>
      <c r="J304" s="253">
        <v>0</v>
      </c>
      <c r="K304" s="244">
        <v>7</v>
      </c>
      <c r="L304" s="251">
        <v>229</v>
      </c>
      <c r="M304" s="251">
        <v>5.7249999999999996</v>
      </c>
      <c r="N304" s="244">
        <v>12</v>
      </c>
      <c r="O304" s="251">
        <v>180</v>
      </c>
      <c r="P304" s="251">
        <v>4.5</v>
      </c>
      <c r="Q304" s="244">
        <v>19</v>
      </c>
      <c r="R304" s="251">
        <v>409</v>
      </c>
      <c r="S304" s="251">
        <v>10.225</v>
      </c>
      <c r="T304" s="87" t="s">
        <v>1649</v>
      </c>
      <c r="U304" s="244">
        <v>0</v>
      </c>
      <c r="V304" s="87" t="s">
        <v>1649</v>
      </c>
    </row>
    <row r="305" spans="1:22" ht="13.5" thickBot="1" x14ac:dyDescent="0.25">
      <c r="A305" s="48" t="s">
        <v>38</v>
      </c>
      <c r="B305" s="258" t="s">
        <v>37</v>
      </c>
      <c r="C305" s="255" t="s">
        <v>39</v>
      </c>
      <c r="D305" s="244">
        <v>28210</v>
      </c>
      <c r="E305" s="244">
        <v>2</v>
      </c>
      <c r="F305" s="251">
        <v>70</v>
      </c>
      <c r="G305" s="251">
        <v>1.75</v>
      </c>
      <c r="H305" s="244">
        <v>0</v>
      </c>
      <c r="I305" s="253">
        <v>0</v>
      </c>
      <c r="J305" s="253">
        <v>0</v>
      </c>
      <c r="K305" s="244">
        <v>2</v>
      </c>
      <c r="L305" s="251">
        <v>70</v>
      </c>
      <c r="M305" s="251">
        <v>1.75</v>
      </c>
      <c r="N305" s="244">
        <v>24</v>
      </c>
      <c r="O305" s="251">
        <v>293</v>
      </c>
      <c r="P305" s="251">
        <v>7.3250000000000002</v>
      </c>
      <c r="Q305" s="244">
        <v>26</v>
      </c>
      <c r="R305" s="251">
        <v>363</v>
      </c>
      <c r="S305" s="251">
        <v>9.0749999999999993</v>
      </c>
      <c r="T305" s="87" t="s">
        <v>1648</v>
      </c>
      <c r="U305" s="244">
        <v>268</v>
      </c>
      <c r="V305" s="87" t="s">
        <v>1649</v>
      </c>
    </row>
    <row r="306" spans="1:22" ht="13.5" thickBot="1" x14ac:dyDescent="0.25">
      <c r="A306" s="48" t="s">
        <v>41</v>
      </c>
      <c r="B306" s="258" t="s">
        <v>40</v>
      </c>
      <c r="C306" s="255" t="s">
        <v>39</v>
      </c>
      <c r="D306" s="244">
        <v>28283</v>
      </c>
      <c r="E306" s="244">
        <v>1</v>
      </c>
      <c r="F306" s="251">
        <v>40</v>
      </c>
      <c r="G306" s="251">
        <v>1</v>
      </c>
      <c r="H306" s="244">
        <v>6</v>
      </c>
      <c r="I306" s="253">
        <v>138</v>
      </c>
      <c r="J306" s="253">
        <v>3.45</v>
      </c>
      <c r="K306" s="244">
        <v>7</v>
      </c>
      <c r="L306" s="251">
        <v>178</v>
      </c>
      <c r="M306" s="251">
        <v>4.45</v>
      </c>
      <c r="N306" s="244">
        <v>4</v>
      </c>
      <c r="O306" s="251">
        <v>56</v>
      </c>
      <c r="P306" s="251">
        <v>1.4</v>
      </c>
      <c r="Q306" s="244">
        <v>11</v>
      </c>
      <c r="R306" s="251">
        <v>234</v>
      </c>
      <c r="S306" s="251">
        <v>5.85</v>
      </c>
      <c r="T306" s="87" t="s">
        <v>1648</v>
      </c>
      <c r="U306" s="244">
        <v>1217</v>
      </c>
      <c r="V306" s="87" t="s">
        <v>1649</v>
      </c>
    </row>
    <row r="307" spans="1:22" ht="13.5" thickBot="1" x14ac:dyDescent="0.25">
      <c r="A307" s="48" t="s">
        <v>49</v>
      </c>
      <c r="B307" s="258" t="s">
        <v>48</v>
      </c>
      <c r="C307" s="255" t="s">
        <v>39</v>
      </c>
      <c r="D307" s="244">
        <v>29598</v>
      </c>
      <c r="E307" s="244">
        <v>2</v>
      </c>
      <c r="F307" s="251">
        <v>80</v>
      </c>
      <c r="G307" s="251">
        <v>2</v>
      </c>
      <c r="H307" s="244">
        <v>8</v>
      </c>
      <c r="I307" s="253">
        <v>245.5</v>
      </c>
      <c r="J307" s="253">
        <v>6.1375000000000002</v>
      </c>
      <c r="K307" s="244">
        <v>10</v>
      </c>
      <c r="L307" s="251">
        <v>325.5</v>
      </c>
      <c r="M307" s="251">
        <v>8.1374999999999993</v>
      </c>
      <c r="N307" s="244">
        <v>14</v>
      </c>
      <c r="O307" s="251">
        <v>355.5</v>
      </c>
      <c r="P307" s="251">
        <v>8.8874999999999993</v>
      </c>
      <c r="Q307" s="244">
        <v>24</v>
      </c>
      <c r="R307" s="251">
        <v>681</v>
      </c>
      <c r="S307" s="251">
        <v>17.024999999999999</v>
      </c>
      <c r="T307" s="87" t="s">
        <v>1649</v>
      </c>
      <c r="U307" s="244">
        <v>0</v>
      </c>
      <c r="V307" s="87" t="s">
        <v>1649</v>
      </c>
    </row>
    <row r="308" spans="1:22" ht="13.5" thickBot="1" x14ac:dyDescent="0.25">
      <c r="A308" s="48" t="s">
        <v>72</v>
      </c>
      <c r="B308" s="258" t="s">
        <v>71</v>
      </c>
      <c r="C308" s="255" t="s">
        <v>39</v>
      </c>
      <c r="D308" s="244">
        <v>35350</v>
      </c>
      <c r="E308" s="244">
        <v>43</v>
      </c>
      <c r="F308" s="251">
        <v>671.39</v>
      </c>
      <c r="G308" s="251">
        <v>16.784749999999999</v>
      </c>
      <c r="H308" s="244">
        <v>0</v>
      </c>
      <c r="I308" s="253">
        <v>0</v>
      </c>
      <c r="J308" s="253">
        <v>0</v>
      </c>
      <c r="K308" s="244">
        <v>43</v>
      </c>
      <c r="L308" s="251">
        <v>671.39</v>
      </c>
      <c r="M308" s="251">
        <v>16.784749999999999</v>
      </c>
      <c r="N308" s="244">
        <v>60</v>
      </c>
      <c r="O308" s="251">
        <v>879.83</v>
      </c>
      <c r="P308" s="251">
        <v>21.995750000000001</v>
      </c>
      <c r="Q308" s="244">
        <v>103</v>
      </c>
      <c r="R308" s="251">
        <v>1551.22</v>
      </c>
      <c r="S308" s="251">
        <v>38.780500000000004</v>
      </c>
      <c r="T308" s="87" t="s">
        <v>1649</v>
      </c>
      <c r="U308" s="244">
        <v>0</v>
      </c>
      <c r="V308" s="87" t="s">
        <v>1649</v>
      </c>
    </row>
    <row r="309" spans="1:22" ht="13.5" thickBot="1" x14ac:dyDescent="0.25">
      <c r="A309" s="48" t="s">
        <v>84</v>
      </c>
      <c r="B309" s="258" t="s">
        <v>83</v>
      </c>
      <c r="C309" s="255" t="s">
        <v>39</v>
      </c>
      <c r="D309" s="244">
        <v>42361</v>
      </c>
      <c r="E309" s="244">
        <v>14</v>
      </c>
      <c r="F309" s="251">
        <v>344</v>
      </c>
      <c r="G309" s="251">
        <v>8.6</v>
      </c>
      <c r="H309" s="244">
        <v>0</v>
      </c>
      <c r="I309" s="253">
        <v>0</v>
      </c>
      <c r="J309" s="253">
        <v>0</v>
      </c>
      <c r="K309" s="244">
        <v>14</v>
      </c>
      <c r="L309" s="251">
        <v>344</v>
      </c>
      <c r="M309" s="251">
        <v>8.6</v>
      </c>
      <c r="N309" s="244">
        <v>27</v>
      </c>
      <c r="O309" s="251">
        <v>450.75</v>
      </c>
      <c r="P309" s="251">
        <v>11.268750000000001</v>
      </c>
      <c r="Q309" s="244">
        <v>41</v>
      </c>
      <c r="R309" s="251">
        <v>794.75</v>
      </c>
      <c r="S309" s="251">
        <v>19.868749999999999</v>
      </c>
      <c r="T309" s="87" t="s">
        <v>1649</v>
      </c>
      <c r="U309" s="244">
        <v>0</v>
      </c>
      <c r="V309" s="87" t="s">
        <v>1649</v>
      </c>
    </row>
    <row r="310" spans="1:22" ht="13.5" thickBot="1" x14ac:dyDescent="0.25">
      <c r="A310" s="48" t="s">
        <v>108</v>
      </c>
      <c r="B310" s="258" t="s">
        <v>107</v>
      </c>
      <c r="C310" s="255" t="s">
        <v>39</v>
      </c>
      <c r="D310" s="244">
        <v>41070</v>
      </c>
      <c r="E310" s="244">
        <v>23</v>
      </c>
      <c r="F310" s="251">
        <v>732.5</v>
      </c>
      <c r="G310" s="251">
        <v>18.3125</v>
      </c>
      <c r="H310" s="244">
        <v>0</v>
      </c>
      <c r="I310" s="253">
        <v>0</v>
      </c>
      <c r="J310" s="253">
        <v>0</v>
      </c>
      <c r="K310" s="244">
        <v>23</v>
      </c>
      <c r="L310" s="251">
        <v>732.5</v>
      </c>
      <c r="M310" s="251">
        <v>18.3125</v>
      </c>
      <c r="N310" s="244">
        <v>66</v>
      </c>
      <c r="O310" s="251">
        <v>1378</v>
      </c>
      <c r="P310" s="251">
        <v>34.450000000000003</v>
      </c>
      <c r="Q310" s="244">
        <v>89</v>
      </c>
      <c r="R310" s="251">
        <v>2110.5</v>
      </c>
      <c r="S310" s="251">
        <v>52.762500000000003</v>
      </c>
      <c r="T310" s="87" t="s">
        <v>1649</v>
      </c>
      <c r="U310" s="244">
        <v>0</v>
      </c>
      <c r="V310" s="87" t="s">
        <v>1649</v>
      </c>
    </row>
    <row r="311" spans="1:22" ht="13.5" thickBot="1" x14ac:dyDescent="0.25">
      <c r="A311" s="48" t="s">
        <v>114</v>
      </c>
      <c r="B311" s="258" t="s">
        <v>113</v>
      </c>
      <c r="C311" s="255" t="s">
        <v>39</v>
      </c>
      <c r="D311" s="244">
        <v>46905</v>
      </c>
      <c r="E311" s="244">
        <v>5</v>
      </c>
      <c r="F311" s="251">
        <v>200</v>
      </c>
      <c r="G311" s="251">
        <v>5</v>
      </c>
      <c r="H311" s="244">
        <v>0</v>
      </c>
      <c r="I311" s="253">
        <v>0</v>
      </c>
      <c r="J311" s="253">
        <v>0</v>
      </c>
      <c r="K311" s="244">
        <v>5</v>
      </c>
      <c r="L311" s="251">
        <v>200</v>
      </c>
      <c r="M311" s="251">
        <v>5</v>
      </c>
      <c r="N311" s="244">
        <v>31</v>
      </c>
      <c r="O311" s="251">
        <v>550</v>
      </c>
      <c r="P311" s="251">
        <v>13.75</v>
      </c>
      <c r="Q311" s="244">
        <v>36</v>
      </c>
      <c r="R311" s="251">
        <v>750</v>
      </c>
      <c r="S311" s="251">
        <v>18.75</v>
      </c>
      <c r="T311" s="87" t="s">
        <v>1649</v>
      </c>
      <c r="U311" s="244">
        <v>0</v>
      </c>
      <c r="V311" s="87" t="s">
        <v>1649</v>
      </c>
    </row>
    <row r="312" spans="1:22" ht="13.5" thickBot="1" x14ac:dyDescent="0.25">
      <c r="A312" s="48" t="s">
        <v>124</v>
      </c>
      <c r="B312" s="258" t="s">
        <v>123</v>
      </c>
      <c r="C312" s="255" t="s">
        <v>39</v>
      </c>
      <c r="D312" s="244">
        <v>43254</v>
      </c>
      <c r="E312" s="244">
        <v>18</v>
      </c>
      <c r="F312" s="251">
        <v>435.82</v>
      </c>
      <c r="G312" s="251">
        <v>10.8955</v>
      </c>
      <c r="H312" s="244">
        <v>0</v>
      </c>
      <c r="I312" s="253">
        <v>0</v>
      </c>
      <c r="J312" s="253">
        <v>0</v>
      </c>
      <c r="K312" s="244">
        <v>18</v>
      </c>
      <c r="L312" s="251">
        <v>435.82</v>
      </c>
      <c r="M312" s="251">
        <v>10.8955</v>
      </c>
      <c r="N312" s="244">
        <v>39</v>
      </c>
      <c r="O312" s="251">
        <v>686.87</v>
      </c>
      <c r="P312" s="251">
        <v>17.171749999999999</v>
      </c>
      <c r="Q312" s="244">
        <v>57</v>
      </c>
      <c r="R312" s="251">
        <v>1122.69</v>
      </c>
      <c r="S312" s="251">
        <v>28.067250000000001</v>
      </c>
      <c r="T312" s="87" t="s">
        <v>1649</v>
      </c>
      <c r="U312" s="244">
        <v>0</v>
      </c>
      <c r="V312" s="87" t="s">
        <v>1649</v>
      </c>
    </row>
    <row r="313" spans="1:22" ht="13.5" thickBot="1" x14ac:dyDescent="0.25">
      <c r="A313" s="48" t="s">
        <v>134</v>
      </c>
      <c r="B313" s="258" t="s">
        <v>133</v>
      </c>
      <c r="C313" s="255" t="s">
        <v>39</v>
      </c>
      <c r="D313" s="244">
        <v>35087</v>
      </c>
      <c r="E313" s="244">
        <v>4</v>
      </c>
      <c r="F313" s="251">
        <v>130</v>
      </c>
      <c r="G313" s="251">
        <v>3.25</v>
      </c>
      <c r="H313" s="244">
        <v>1</v>
      </c>
      <c r="I313" s="253">
        <v>40</v>
      </c>
      <c r="J313" s="253">
        <v>1</v>
      </c>
      <c r="K313" s="244">
        <v>5</v>
      </c>
      <c r="L313" s="251">
        <v>170</v>
      </c>
      <c r="M313" s="251">
        <v>4.25</v>
      </c>
      <c r="N313" s="244">
        <v>22</v>
      </c>
      <c r="O313" s="251">
        <v>475</v>
      </c>
      <c r="P313" s="251">
        <v>11.875</v>
      </c>
      <c r="Q313" s="244">
        <v>27</v>
      </c>
      <c r="R313" s="251">
        <v>645</v>
      </c>
      <c r="S313" s="251">
        <v>16.125</v>
      </c>
      <c r="T313" s="87" t="s">
        <v>1649</v>
      </c>
      <c r="U313" s="244">
        <v>0</v>
      </c>
      <c r="V313" s="87" t="s">
        <v>1649</v>
      </c>
    </row>
    <row r="314" spans="1:22" ht="13.5" thickBot="1" x14ac:dyDescent="0.25">
      <c r="A314" s="48" t="s">
        <v>150</v>
      </c>
      <c r="B314" s="258" t="s">
        <v>149</v>
      </c>
      <c r="C314" s="255" t="s">
        <v>39</v>
      </c>
      <c r="D314" s="244">
        <v>38002</v>
      </c>
      <c r="E314" s="244">
        <v>2</v>
      </c>
      <c r="F314" s="251">
        <v>50</v>
      </c>
      <c r="G314" s="251">
        <v>1.25</v>
      </c>
      <c r="H314" s="244">
        <v>11</v>
      </c>
      <c r="I314" s="253">
        <v>440</v>
      </c>
      <c r="J314" s="253">
        <v>11</v>
      </c>
      <c r="K314" s="244">
        <v>13</v>
      </c>
      <c r="L314" s="251">
        <v>490</v>
      </c>
      <c r="M314" s="251">
        <v>12.25</v>
      </c>
      <c r="N314" s="244">
        <v>7</v>
      </c>
      <c r="O314" s="251">
        <v>106</v>
      </c>
      <c r="P314" s="251">
        <v>2.65</v>
      </c>
      <c r="Q314" s="244">
        <v>20</v>
      </c>
      <c r="R314" s="251">
        <v>596</v>
      </c>
      <c r="S314" s="251">
        <v>14.9</v>
      </c>
      <c r="T314" s="87" t="s">
        <v>1649</v>
      </c>
      <c r="U314" s="244">
        <v>0</v>
      </c>
      <c r="V314" s="87" t="s">
        <v>1649</v>
      </c>
    </row>
    <row r="315" spans="1:22" ht="13.5" thickBot="1" x14ac:dyDescent="0.25">
      <c r="A315" s="48" t="s">
        <v>170</v>
      </c>
      <c r="B315" s="258" t="s">
        <v>169</v>
      </c>
      <c r="C315" s="255" t="s">
        <v>39</v>
      </c>
      <c r="D315" s="244">
        <v>43381</v>
      </c>
      <c r="E315" s="244">
        <v>9</v>
      </c>
      <c r="F315" s="251">
        <v>232.26</v>
      </c>
      <c r="G315" s="251">
        <v>5.8064999999999998</v>
      </c>
      <c r="H315" s="244">
        <v>0</v>
      </c>
      <c r="I315" s="253">
        <v>0</v>
      </c>
      <c r="J315" s="253">
        <v>0</v>
      </c>
      <c r="K315" s="244">
        <v>9</v>
      </c>
      <c r="L315" s="251">
        <v>232.26</v>
      </c>
      <c r="M315" s="251">
        <v>5.8064999999999998</v>
      </c>
      <c r="N315" s="244">
        <v>26</v>
      </c>
      <c r="O315" s="251">
        <v>295.19</v>
      </c>
      <c r="P315" s="251">
        <v>7.3797499999999996</v>
      </c>
      <c r="Q315" s="244">
        <v>36</v>
      </c>
      <c r="R315" s="251">
        <v>527.45000000000005</v>
      </c>
      <c r="S315" s="251">
        <v>13.186249999999999</v>
      </c>
      <c r="T315" s="87" t="s">
        <v>1648</v>
      </c>
      <c r="U315" s="244">
        <v>3653</v>
      </c>
      <c r="V315" s="87" t="s">
        <v>1649</v>
      </c>
    </row>
    <row r="316" spans="1:22" ht="13.5" thickBot="1" x14ac:dyDescent="0.25">
      <c r="A316" s="48" t="s">
        <v>174</v>
      </c>
      <c r="B316" s="258" t="s">
        <v>173</v>
      </c>
      <c r="C316" s="255" t="s">
        <v>39</v>
      </c>
      <c r="D316" s="244">
        <v>35563</v>
      </c>
      <c r="E316" s="244">
        <v>18</v>
      </c>
      <c r="F316" s="251">
        <v>404.44</v>
      </c>
      <c r="G316" s="251">
        <v>10.111000000000001</v>
      </c>
      <c r="H316" s="244">
        <v>0</v>
      </c>
      <c r="I316" s="253">
        <v>0</v>
      </c>
      <c r="J316" s="253">
        <v>0</v>
      </c>
      <c r="K316" s="244">
        <v>18</v>
      </c>
      <c r="L316" s="251">
        <v>404.44</v>
      </c>
      <c r="M316" s="251">
        <v>10.111000000000001</v>
      </c>
      <c r="N316" s="244">
        <v>31</v>
      </c>
      <c r="O316" s="251">
        <v>519.23</v>
      </c>
      <c r="P316" s="251">
        <v>12.98075</v>
      </c>
      <c r="Q316" s="244">
        <v>49</v>
      </c>
      <c r="R316" s="251">
        <v>923.67</v>
      </c>
      <c r="S316" s="251">
        <v>23.091750000000001</v>
      </c>
      <c r="T316" s="87" t="s">
        <v>1649</v>
      </c>
      <c r="U316" s="244">
        <v>0</v>
      </c>
      <c r="V316" s="87" t="s">
        <v>1649</v>
      </c>
    </row>
    <row r="317" spans="1:22" ht="13.5" thickBot="1" x14ac:dyDescent="0.25">
      <c r="A317" s="48" t="s">
        <v>188</v>
      </c>
      <c r="B317" s="258" t="s">
        <v>187</v>
      </c>
      <c r="C317" s="255" t="s">
        <v>39</v>
      </c>
      <c r="D317" s="244">
        <v>40186</v>
      </c>
      <c r="E317" s="244">
        <v>11</v>
      </c>
      <c r="F317" s="251">
        <v>403</v>
      </c>
      <c r="G317" s="251">
        <v>10.074999999999999</v>
      </c>
      <c r="H317" s="244">
        <v>0</v>
      </c>
      <c r="I317" s="253">
        <v>0</v>
      </c>
      <c r="J317" s="253">
        <v>0</v>
      </c>
      <c r="K317" s="244">
        <v>11</v>
      </c>
      <c r="L317" s="251">
        <v>403</v>
      </c>
      <c r="M317" s="251">
        <v>10.074999999999999</v>
      </c>
      <c r="N317" s="244">
        <v>13</v>
      </c>
      <c r="O317" s="251">
        <v>268</v>
      </c>
      <c r="P317" s="251">
        <v>6.7</v>
      </c>
      <c r="Q317" s="244">
        <v>24</v>
      </c>
      <c r="R317" s="251">
        <v>671</v>
      </c>
      <c r="S317" s="251">
        <v>16.774999999999999</v>
      </c>
      <c r="T317" s="87" t="s">
        <v>1649</v>
      </c>
      <c r="U317" s="244">
        <v>0</v>
      </c>
      <c r="V317" s="87" t="s">
        <v>1649</v>
      </c>
    </row>
    <row r="318" spans="1:22" ht="13.5" thickBot="1" x14ac:dyDescent="0.25">
      <c r="A318" s="48" t="s">
        <v>190</v>
      </c>
      <c r="B318" s="258" t="s">
        <v>189</v>
      </c>
      <c r="C318" s="255" t="s">
        <v>39</v>
      </c>
      <c r="D318" s="244">
        <v>28263</v>
      </c>
      <c r="E318" s="244">
        <v>1</v>
      </c>
      <c r="F318" s="251">
        <v>40</v>
      </c>
      <c r="G318" s="251">
        <v>1</v>
      </c>
      <c r="H318" s="244">
        <v>7</v>
      </c>
      <c r="I318" s="253">
        <v>162</v>
      </c>
      <c r="J318" s="253">
        <v>4.05</v>
      </c>
      <c r="K318" s="244">
        <v>8</v>
      </c>
      <c r="L318" s="251">
        <v>228</v>
      </c>
      <c r="M318" s="251">
        <v>5.7</v>
      </c>
      <c r="N318" s="244">
        <v>4</v>
      </c>
      <c r="O318" s="251">
        <v>96</v>
      </c>
      <c r="P318" s="251">
        <v>2.4</v>
      </c>
      <c r="Q318" s="244">
        <v>12</v>
      </c>
      <c r="R318" s="251">
        <v>324</v>
      </c>
      <c r="S318" s="251">
        <v>8.1</v>
      </c>
      <c r="T318" s="87" t="s">
        <v>1649</v>
      </c>
      <c r="U318" s="244">
        <v>0</v>
      </c>
      <c r="V318" s="87" t="s">
        <v>1649</v>
      </c>
    </row>
    <row r="319" spans="1:22" ht="13.5" thickBot="1" x14ac:dyDescent="0.25">
      <c r="A319" s="48" t="s">
        <v>200</v>
      </c>
      <c r="B319" s="258" t="s">
        <v>199</v>
      </c>
      <c r="C319" s="255" t="s">
        <v>39</v>
      </c>
      <c r="D319" s="244">
        <v>26391</v>
      </c>
      <c r="E319" s="244">
        <v>12</v>
      </c>
      <c r="F319" s="251">
        <v>470</v>
      </c>
      <c r="G319" s="251">
        <v>11.75</v>
      </c>
      <c r="H319" s="244">
        <v>0</v>
      </c>
      <c r="I319" s="253">
        <v>0</v>
      </c>
      <c r="J319" s="253">
        <v>0</v>
      </c>
      <c r="K319" s="244">
        <v>12</v>
      </c>
      <c r="L319" s="251">
        <v>470</v>
      </c>
      <c r="M319" s="251">
        <v>11.75</v>
      </c>
      <c r="N319" s="244">
        <v>17</v>
      </c>
      <c r="O319" s="251">
        <v>410</v>
      </c>
      <c r="P319" s="251">
        <v>10.25</v>
      </c>
      <c r="Q319" s="244">
        <v>29</v>
      </c>
      <c r="R319" s="251">
        <v>880</v>
      </c>
      <c r="S319" s="251">
        <v>22</v>
      </c>
      <c r="T319" s="87" t="s">
        <v>1649</v>
      </c>
      <c r="U319" s="244">
        <v>0</v>
      </c>
      <c r="V319" s="87" t="s">
        <v>1649</v>
      </c>
    </row>
    <row r="320" spans="1:22" ht="13.5" thickBot="1" x14ac:dyDescent="0.25">
      <c r="A320" s="48" t="s">
        <v>218</v>
      </c>
      <c r="B320" s="258" t="s">
        <v>217</v>
      </c>
      <c r="C320" s="255" t="s">
        <v>39</v>
      </c>
      <c r="D320" s="244">
        <v>32799</v>
      </c>
      <c r="E320" s="244">
        <v>4</v>
      </c>
      <c r="F320" s="251">
        <v>160</v>
      </c>
      <c r="G320" s="251">
        <v>4</v>
      </c>
      <c r="H320" s="244">
        <v>10</v>
      </c>
      <c r="I320" s="253">
        <v>236</v>
      </c>
      <c r="J320" s="253">
        <v>5.9</v>
      </c>
      <c r="K320" s="244">
        <v>14</v>
      </c>
      <c r="L320" s="251">
        <v>396</v>
      </c>
      <c r="M320" s="251">
        <v>9.9</v>
      </c>
      <c r="N320" s="244">
        <v>14</v>
      </c>
      <c r="O320" s="251">
        <v>234</v>
      </c>
      <c r="P320" s="251">
        <v>5.85</v>
      </c>
      <c r="Q320" s="244">
        <v>28</v>
      </c>
      <c r="R320" s="251">
        <v>630</v>
      </c>
      <c r="S320" s="251">
        <v>15.75</v>
      </c>
      <c r="T320" s="87" t="s">
        <v>1649</v>
      </c>
      <c r="U320" s="244">
        <v>0</v>
      </c>
      <c r="V320" s="87" t="s">
        <v>1649</v>
      </c>
    </row>
    <row r="321" spans="1:22" ht="13.5" thickBot="1" x14ac:dyDescent="0.25">
      <c r="A321" s="48" t="s">
        <v>228</v>
      </c>
      <c r="B321" s="258" t="s">
        <v>227</v>
      </c>
      <c r="C321" s="255" t="s">
        <v>39</v>
      </c>
      <c r="D321" s="244">
        <v>26168</v>
      </c>
      <c r="E321" s="244">
        <v>2</v>
      </c>
      <c r="F321" s="251">
        <v>77.5</v>
      </c>
      <c r="G321" s="251">
        <v>1.9375</v>
      </c>
      <c r="H321" s="244">
        <v>3</v>
      </c>
      <c r="I321" s="253">
        <v>112.5</v>
      </c>
      <c r="J321" s="253">
        <v>2.8125</v>
      </c>
      <c r="K321" s="244">
        <v>5</v>
      </c>
      <c r="L321" s="251">
        <v>190</v>
      </c>
      <c r="M321" s="251">
        <v>4.75</v>
      </c>
      <c r="N321" s="244">
        <v>18</v>
      </c>
      <c r="O321" s="251">
        <v>352</v>
      </c>
      <c r="P321" s="251">
        <v>8.8000000000000007</v>
      </c>
      <c r="Q321" s="244">
        <v>23</v>
      </c>
      <c r="R321" s="251">
        <v>542</v>
      </c>
      <c r="S321" s="251">
        <v>13.55</v>
      </c>
      <c r="T321" s="87" t="s">
        <v>1648</v>
      </c>
      <c r="U321" s="244">
        <v>216</v>
      </c>
      <c r="V321" s="87" t="s">
        <v>1649</v>
      </c>
    </row>
    <row r="322" spans="1:22" ht="13.5" thickBot="1" x14ac:dyDescent="0.25">
      <c r="A322" s="48" t="s">
        <v>240</v>
      </c>
      <c r="B322" s="258" t="s">
        <v>239</v>
      </c>
      <c r="C322" s="255" t="s">
        <v>39</v>
      </c>
      <c r="D322" s="244">
        <v>48579</v>
      </c>
      <c r="E322" s="244">
        <v>5</v>
      </c>
      <c r="F322" s="251">
        <v>188</v>
      </c>
      <c r="G322" s="251">
        <v>4.7</v>
      </c>
      <c r="H322" s="244">
        <v>6</v>
      </c>
      <c r="I322" s="253">
        <v>105</v>
      </c>
      <c r="J322" s="253">
        <v>2.625</v>
      </c>
      <c r="K322" s="244">
        <v>11</v>
      </c>
      <c r="L322" s="251">
        <v>349</v>
      </c>
      <c r="M322" s="251">
        <v>8.7249999999999996</v>
      </c>
      <c r="N322" s="244">
        <v>18</v>
      </c>
      <c r="O322" s="251">
        <v>301</v>
      </c>
      <c r="P322" s="251">
        <v>7.5250000000000004</v>
      </c>
      <c r="Q322" s="244">
        <v>32</v>
      </c>
      <c r="R322" s="251">
        <v>650</v>
      </c>
      <c r="S322" s="251">
        <v>16.25</v>
      </c>
      <c r="T322" s="87" t="s">
        <v>1648</v>
      </c>
      <c r="U322" s="244">
        <v>1259</v>
      </c>
      <c r="V322" s="87" t="s">
        <v>1649</v>
      </c>
    </row>
    <row r="323" spans="1:22" ht="13.5" thickBot="1" x14ac:dyDescent="0.25">
      <c r="A323" s="48" t="s">
        <v>242</v>
      </c>
      <c r="B323" s="258" t="s">
        <v>241</v>
      </c>
      <c r="C323" s="255" t="s">
        <v>39</v>
      </c>
      <c r="D323" s="244">
        <v>32442</v>
      </c>
      <c r="E323" s="244">
        <v>6</v>
      </c>
      <c r="F323" s="251">
        <v>171.5</v>
      </c>
      <c r="G323" s="251">
        <v>4.2874999999999996</v>
      </c>
      <c r="H323" s="244">
        <v>0</v>
      </c>
      <c r="I323" s="252">
        <v>0</v>
      </c>
      <c r="J323" s="252">
        <v>0</v>
      </c>
      <c r="K323" s="244">
        <v>6</v>
      </c>
      <c r="L323" s="251">
        <v>171.5</v>
      </c>
      <c r="M323" s="251">
        <v>4.2874999999999996</v>
      </c>
      <c r="N323" s="244">
        <v>7</v>
      </c>
      <c r="O323" s="251">
        <v>180</v>
      </c>
      <c r="P323" s="251">
        <v>4.5</v>
      </c>
      <c r="Q323" s="244">
        <v>13</v>
      </c>
      <c r="R323" s="251">
        <v>351.5</v>
      </c>
      <c r="S323" s="251">
        <v>8.7874999999999996</v>
      </c>
      <c r="T323" s="87" t="s">
        <v>1648</v>
      </c>
      <c r="U323" s="244">
        <v>2044</v>
      </c>
      <c r="V323" s="87" t="s">
        <v>1649</v>
      </c>
    </row>
    <row r="324" spans="1:22" ht="13.5" thickBot="1" x14ac:dyDescent="0.25">
      <c r="A324" s="48" t="s">
        <v>300</v>
      </c>
      <c r="B324" s="258" t="s">
        <v>299</v>
      </c>
      <c r="C324" s="255" t="s">
        <v>39</v>
      </c>
      <c r="D324" s="244">
        <v>27692</v>
      </c>
      <c r="E324" s="244">
        <v>1</v>
      </c>
      <c r="F324" s="251">
        <v>40</v>
      </c>
      <c r="G324" s="251">
        <v>1</v>
      </c>
      <c r="H324" s="244">
        <v>2</v>
      </c>
      <c r="I324" s="253">
        <v>80</v>
      </c>
      <c r="J324" s="253">
        <v>2</v>
      </c>
      <c r="K324" s="244">
        <v>3</v>
      </c>
      <c r="L324" s="251">
        <v>120</v>
      </c>
      <c r="M324" s="251">
        <v>3</v>
      </c>
      <c r="N324" s="244">
        <v>7</v>
      </c>
      <c r="O324" s="251">
        <v>136</v>
      </c>
      <c r="P324" s="251">
        <v>3.4</v>
      </c>
      <c r="Q324" s="244">
        <v>10</v>
      </c>
      <c r="R324" s="251">
        <v>256</v>
      </c>
      <c r="S324" s="251">
        <v>6.4</v>
      </c>
      <c r="T324" s="87" t="s">
        <v>1649</v>
      </c>
      <c r="U324" s="244">
        <v>0</v>
      </c>
      <c r="V324" s="87" t="s">
        <v>1649</v>
      </c>
    </row>
    <row r="325" spans="1:22" ht="13.5" thickBot="1" x14ac:dyDescent="0.25">
      <c r="A325" s="48" t="s">
        <v>308</v>
      </c>
      <c r="B325" s="258" t="s">
        <v>307</v>
      </c>
      <c r="C325" s="255" t="s">
        <v>39</v>
      </c>
      <c r="D325" s="244">
        <v>46985</v>
      </c>
      <c r="E325" s="244">
        <v>3</v>
      </c>
      <c r="F325" s="251">
        <v>104</v>
      </c>
      <c r="G325" s="251">
        <v>2.6</v>
      </c>
      <c r="H325" s="244">
        <v>0</v>
      </c>
      <c r="I325" s="253">
        <v>0</v>
      </c>
      <c r="J325" s="253">
        <v>0</v>
      </c>
      <c r="K325" s="244">
        <v>3</v>
      </c>
      <c r="L325" s="251">
        <v>104</v>
      </c>
      <c r="M325" s="251">
        <v>2.6</v>
      </c>
      <c r="N325" s="244">
        <v>17</v>
      </c>
      <c r="O325" s="251">
        <v>515</v>
      </c>
      <c r="P325" s="251">
        <v>12.875</v>
      </c>
      <c r="Q325" s="244">
        <v>20</v>
      </c>
      <c r="R325" s="251">
        <v>619</v>
      </c>
      <c r="S325" s="251">
        <v>15.475</v>
      </c>
      <c r="T325" s="87" t="s">
        <v>1649</v>
      </c>
      <c r="U325" s="244">
        <v>0</v>
      </c>
      <c r="V325" s="87" t="s">
        <v>1649</v>
      </c>
    </row>
    <row r="326" spans="1:22" ht="13.5" thickBot="1" x14ac:dyDescent="0.25">
      <c r="A326" s="48" t="s">
        <v>328</v>
      </c>
      <c r="B326" s="258" t="s">
        <v>327</v>
      </c>
      <c r="C326" s="255" t="s">
        <v>39</v>
      </c>
      <c r="D326" s="244">
        <v>40898</v>
      </c>
      <c r="E326" s="244">
        <v>5</v>
      </c>
      <c r="F326" s="251">
        <v>200</v>
      </c>
      <c r="G326" s="251">
        <v>5</v>
      </c>
      <c r="H326" s="244">
        <v>0</v>
      </c>
      <c r="I326" s="253">
        <v>0</v>
      </c>
      <c r="J326" s="253">
        <v>0</v>
      </c>
      <c r="K326" s="244">
        <v>5</v>
      </c>
      <c r="L326" s="251">
        <v>200</v>
      </c>
      <c r="M326" s="251">
        <v>5</v>
      </c>
      <c r="N326" s="244">
        <v>20</v>
      </c>
      <c r="O326" s="251">
        <v>442.5</v>
      </c>
      <c r="P326" s="251">
        <v>11.0625</v>
      </c>
      <c r="Q326" s="244">
        <v>25</v>
      </c>
      <c r="R326" s="251">
        <v>642.5</v>
      </c>
      <c r="S326" s="251">
        <v>16.0625</v>
      </c>
      <c r="T326" s="87" t="s">
        <v>1648</v>
      </c>
      <c r="U326" s="244">
        <v>200</v>
      </c>
      <c r="V326" s="87" t="s">
        <v>1649</v>
      </c>
    </row>
    <row r="327" spans="1:22" ht="13.5" thickBot="1" x14ac:dyDescent="0.25">
      <c r="A327" s="48" t="s">
        <v>386</v>
      </c>
      <c r="B327" s="258" t="s">
        <v>385</v>
      </c>
      <c r="C327" s="255" t="s">
        <v>39</v>
      </c>
      <c r="D327" s="244">
        <v>41786</v>
      </c>
      <c r="E327" s="244">
        <v>3</v>
      </c>
      <c r="F327" s="251">
        <v>120</v>
      </c>
      <c r="G327" s="251">
        <v>3</v>
      </c>
      <c r="H327" s="244">
        <v>1</v>
      </c>
      <c r="I327" s="253">
        <v>40</v>
      </c>
      <c r="J327" s="253">
        <v>1</v>
      </c>
      <c r="K327" s="244">
        <v>4</v>
      </c>
      <c r="L327" s="251">
        <v>160</v>
      </c>
      <c r="M327" s="251">
        <v>4</v>
      </c>
      <c r="N327" s="244">
        <v>5</v>
      </c>
      <c r="O327" s="251">
        <v>160</v>
      </c>
      <c r="P327" s="251">
        <v>4</v>
      </c>
      <c r="Q327" s="244">
        <v>9</v>
      </c>
      <c r="R327" s="251">
        <v>320</v>
      </c>
      <c r="S327" s="251">
        <v>8</v>
      </c>
      <c r="T327" s="87" t="s">
        <v>1648</v>
      </c>
      <c r="U327" s="244">
        <v>2472</v>
      </c>
      <c r="V327" s="87" t="s">
        <v>1649</v>
      </c>
    </row>
    <row r="328" spans="1:22" ht="13.5" thickBot="1" x14ac:dyDescent="0.25">
      <c r="A328" s="48" t="s">
        <v>431</v>
      </c>
      <c r="B328" s="258" t="s">
        <v>430</v>
      </c>
      <c r="C328" s="255" t="s">
        <v>39</v>
      </c>
      <c r="D328" s="244">
        <v>40771</v>
      </c>
      <c r="E328" s="244">
        <v>4</v>
      </c>
      <c r="F328" s="251">
        <v>121</v>
      </c>
      <c r="G328" s="251">
        <v>3.0249999999999999</v>
      </c>
      <c r="H328" s="244">
        <v>14</v>
      </c>
      <c r="I328" s="253">
        <v>290</v>
      </c>
      <c r="J328" s="253">
        <v>7.25</v>
      </c>
      <c r="K328" s="244">
        <v>18</v>
      </c>
      <c r="L328" s="251">
        <v>450</v>
      </c>
      <c r="M328" s="251">
        <v>11.25</v>
      </c>
      <c r="N328" s="244">
        <v>3</v>
      </c>
      <c r="O328" s="251">
        <v>36</v>
      </c>
      <c r="P328" s="251">
        <v>0.9</v>
      </c>
      <c r="Q328" s="244">
        <v>21</v>
      </c>
      <c r="R328" s="251">
        <v>486</v>
      </c>
      <c r="S328" s="251">
        <v>12.15</v>
      </c>
      <c r="T328" s="87" t="s">
        <v>1649</v>
      </c>
      <c r="U328" s="244">
        <v>0</v>
      </c>
      <c r="V328" s="87" t="s">
        <v>1649</v>
      </c>
    </row>
    <row r="329" spans="1:22" ht="13.5" thickBot="1" x14ac:dyDescent="0.25">
      <c r="A329" s="48" t="s">
        <v>437</v>
      </c>
      <c r="B329" s="258" t="s">
        <v>436</v>
      </c>
      <c r="C329" s="255" t="s">
        <v>39</v>
      </c>
      <c r="D329" s="244">
        <v>38144</v>
      </c>
      <c r="E329" s="244">
        <v>2</v>
      </c>
      <c r="F329" s="251">
        <v>80</v>
      </c>
      <c r="G329" s="251">
        <v>2</v>
      </c>
      <c r="H329" s="244">
        <v>0</v>
      </c>
      <c r="I329" s="253">
        <v>0</v>
      </c>
      <c r="J329" s="253">
        <v>0</v>
      </c>
      <c r="K329" s="244">
        <v>2</v>
      </c>
      <c r="L329" s="251">
        <v>80</v>
      </c>
      <c r="M329" s="251">
        <v>2</v>
      </c>
      <c r="N329" s="244">
        <v>4</v>
      </c>
      <c r="O329" s="251">
        <v>100</v>
      </c>
      <c r="P329" s="251">
        <v>2.5</v>
      </c>
      <c r="Q329" s="244">
        <v>6</v>
      </c>
      <c r="R329" s="251">
        <v>180</v>
      </c>
      <c r="S329" s="251">
        <v>4.5</v>
      </c>
      <c r="T329" s="87" t="s">
        <v>1648</v>
      </c>
      <c r="U329" s="244">
        <v>480</v>
      </c>
      <c r="V329" s="87" t="s">
        <v>1649</v>
      </c>
    </row>
    <row r="330" spans="1:22" ht="13.5" thickBot="1" x14ac:dyDescent="0.25">
      <c r="A330" s="48" t="s">
        <v>448</v>
      </c>
      <c r="B330" s="258" t="s">
        <v>447</v>
      </c>
      <c r="C330" s="255" t="s">
        <v>39</v>
      </c>
      <c r="D330" s="244">
        <v>35540</v>
      </c>
      <c r="E330" s="244">
        <v>7</v>
      </c>
      <c r="F330" s="251">
        <v>272</v>
      </c>
      <c r="G330" s="251">
        <v>6.8</v>
      </c>
      <c r="H330" s="244">
        <v>3</v>
      </c>
      <c r="I330" s="253">
        <v>92</v>
      </c>
      <c r="J330" s="253">
        <v>2.2999999999999998</v>
      </c>
      <c r="K330" s="244">
        <v>10</v>
      </c>
      <c r="L330" s="251">
        <v>364</v>
      </c>
      <c r="M330" s="251">
        <v>9.1</v>
      </c>
      <c r="N330" s="244">
        <v>12</v>
      </c>
      <c r="O330" s="251">
        <v>374</v>
      </c>
      <c r="P330" s="251">
        <v>9.35</v>
      </c>
      <c r="Q330" s="244">
        <v>22</v>
      </c>
      <c r="R330" s="251">
        <v>738</v>
      </c>
      <c r="S330" s="251">
        <v>18.45</v>
      </c>
      <c r="T330" s="257" t="s">
        <v>1648</v>
      </c>
      <c r="U330" s="244">
        <v>435</v>
      </c>
      <c r="V330" s="87" t="s">
        <v>1649</v>
      </c>
    </row>
    <row r="331" spans="1:22" ht="13.5" thickBot="1" x14ac:dyDescent="0.25">
      <c r="A331" s="48" t="s">
        <v>464</v>
      </c>
      <c r="B331" s="258" t="s">
        <v>463</v>
      </c>
      <c r="C331" s="255" t="s">
        <v>39</v>
      </c>
      <c r="D331" s="244">
        <v>29694</v>
      </c>
      <c r="E331" s="244">
        <v>4</v>
      </c>
      <c r="F331" s="251">
        <v>115</v>
      </c>
      <c r="G331" s="251">
        <v>2.875</v>
      </c>
      <c r="H331" s="244">
        <v>1</v>
      </c>
      <c r="I331" s="253">
        <v>20</v>
      </c>
      <c r="J331" s="253">
        <v>0.5</v>
      </c>
      <c r="K331" s="244">
        <v>5</v>
      </c>
      <c r="L331" s="251">
        <v>135</v>
      </c>
      <c r="M331" s="251">
        <v>3.375</v>
      </c>
      <c r="N331" s="244">
        <v>8</v>
      </c>
      <c r="O331" s="251">
        <v>155.5</v>
      </c>
      <c r="P331" s="251">
        <v>3.8875000000000002</v>
      </c>
      <c r="Q331" s="244">
        <v>13</v>
      </c>
      <c r="R331" s="251">
        <v>290.5</v>
      </c>
      <c r="S331" s="251">
        <v>7.2625000000000002</v>
      </c>
      <c r="T331" s="87" t="s">
        <v>1648</v>
      </c>
      <c r="U331" s="244">
        <v>2674</v>
      </c>
      <c r="V331" s="87" t="s">
        <v>1649</v>
      </c>
    </row>
    <row r="332" spans="1:22" ht="13.5" thickBot="1" x14ac:dyDescent="0.25">
      <c r="A332" s="48" t="s">
        <v>484</v>
      </c>
      <c r="B332" s="258" t="s">
        <v>483</v>
      </c>
      <c r="C332" s="255" t="s">
        <v>39</v>
      </c>
      <c r="D332" s="244">
        <v>28646</v>
      </c>
      <c r="E332" s="244">
        <v>1</v>
      </c>
      <c r="F332" s="251">
        <v>40</v>
      </c>
      <c r="G332" s="251">
        <v>1</v>
      </c>
      <c r="H332" s="244">
        <v>3</v>
      </c>
      <c r="I332" s="253">
        <v>110</v>
      </c>
      <c r="J332" s="253">
        <v>2.75</v>
      </c>
      <c r="K332" s="244">
        <v>4</v>
      </c>
      <c r="L332" s="251">
        <v>150</v>
      </c>
      <c r="M332" s="251">
        <v>3.75</v>
      </c>
      <c r="N332" s="244">
        <v>31</v>
      </c>
      <c r="O332" s="251">
        <v>370</v>
      </c>
      <c r="P332" s="251">
        <v>9.25</v>
      </c>
      <c r="Q332" s="244">
        <v>35</v>
      </c>
      <c r="R332" s="251">
        <v>520</v>
      </c>
      <c r="S332" s="251">
        <v>13</v>
      </c>
      <c r="T332" s="87" t="s">
        <v>1649</v>
      </c>
      <c r="U332" s="244">
        <v>0</v>
      </c>
      <c r="V332" s="87" t="s">
        <v>1649</v>
      </c>
    </row>
    <row r="333" spans="1:22" ht="13.5" thickBot="1" x14ac:dyDescent="0.25">
      <c r="A333" s="48" t="s">
        <v>538</v>
      </c>
      <c r="B333" s="258" t="s">
        <v>537</v>
      </c>
      <c r="C333" s="255" t="s">
        <v>39</v>
      </c>
      <c r="D333" s="244">
        <v>34467</v>
      </c>
      <c r="E333" s="244">
        <v>19</v>
      </c>
      <c r="F333" s="251">
        <v>500</v>
      </c>
      <c r="G333" s="251">
        <v>12.5</v>
      </c>
      <c r="H333" s="244">
        <v>0</v>
      </c>
      <c r="I333" s="253">
        <v>0</v>
      </c>
      <c r="J333" s="253">
        <v>0</v>
      </c>
      <c r="K333" s="244">
        <v>19</v>
      </c>
      <c r="L333" s="251">
        <v>500</v>
      </c>
      <c r="M333" s="251">
        <v>12.5</v>
      </c>
      <c r="N333" s="244">
        <v>32</v>
      </c>
      <c r="O333" s="251">
        <v>610</v>
      </c>
      <c r="P333" s="251">
        <v>15.25</v>
      </c>
      <c r="Q333" s="244">
        <v>51</v>
      </c>
      <c r="R333" s="251">
        <v>1110</v>
      </c>
      <c r="S333" s="251">
        <v>27.75</v>
      </c>
      <c r="T333" s="87" t="s">
        <v>1649</v>
      </c>
      <c r="U333" s="244">
        <v>0</v>
      </c>
      <c r="V333" s="87" t="s">
        <v>1649</v>
      </c>
    </row>
    <row r="334" spans="1:22" ht="13.5" thickBot="1" x14ac:dyDescent="0.25">
      <c r="A334" s="48" t="s">
        <v>544</v>
      </c>
      <c r="B334" s="258" t="s">
        <v>543</v>
      </c>
      <c r="C334" s="255" t="s">
        <v>39</v>
      </c>
      <c r="D334" s="244">
        <v>29319</v>
      </c>
      <c r="E334" s="244">
        <v>7</v>
      </c>
      <c r="F334" s="251">
        <v>174</v>
      </c>
      <c r="G334" s="251">
        <v>4.3499999999999996</v>
      </c>
      <c r="H334" s="244">
        <v>1</v>
      </c>
      <c r="I334" s="253">
        <v>4</v>
      </c>
      <c r="J334" s="253">
        <v>0.1</v>
      </c>
      <c r="K334" s="244">
        <v>7</v>
      </c>
      <c r="L334" s="251">
        <v>178</v>
      </c>
      <c r="M334" s="251">
        <v>4.45</v>
      </c>
      <c r="N334" s="244">
        <v>13</v>
      </c>
      <c r="O334" s="251">
        <v>165</v>
      </c>
      <c r="P334" s="251">
        <v>4.125</v>
      </c>
      <c r="Q334" s="244">
        <v>20</v>
      </c>
      <c r="R334" s="251">
        <v>343</v>
      </c>
      <c r="S334" s="251">
        <v>8.5749999999999993</v>
      </c>
      <c r="T334" s="87" t="s">
        <v>1648</v>
      </c>
      <c r="U334" s="244">
        <v>17</v>
      </c>
      <c r="V334" s="87" t="s">
        <v>1649</v>
      </c>
    </row>
    <row r="335" spans="1:22" ht="13.5" thickBot="1" x14ac:dyDescent="0.25">
      <c r="A335" s="48" t="s">
        <v>550</v>
      </c>
      <c r="B335" s="258" t="s">
        <v>549</v>
      </c>
      <c r="C335" s="255" t="s">
        <v>39</v>
      </c>
      <c r="D335" s="244">
        <v>35394</v>
      </c>
      <c r="E335" s="244">
        <v>16</v>
      </c>
      <c r="F335" s="251">
        <v>402</v>
      </c>
      <c r="G335" s="251">
        <v>10.050000000000001</v>
      </c>
      <c r="H335" s="244">
        <v>1</v>
      </c>
      <c r="I335" s="253">
        <v>37.5</v>
      </c>
      <c r="J335" s="253">
        <v>0.9375</v>
      </c>
      <c r="K335" s="244">
        <v>17</v>
      </c>
      <c r="L335" s="251">
        <v>439.5</v>
      </c>
      <c r="M335" s="251">
        <v>10.987500000000001</v>
      </c>
      <c r="N335" s="244">
        <v>30</v>
      </c>
      <c r="O335" s="251">
        <v>697</v>
      </c>
      <c r="P335" s="251">
        <v>17.425000000000001</v>
      </c>
      <c r="Q335" s="244">
        <v>47</v>
      </c>
      <c r="R335" s="251">
        <v>1136.5</v>
      </c>
      <c r="S335" s="251">
        <v>28.412500000000001</v>
      </c>
      <c r="T335" s="87" t="s">
        <v>1649</v>
      </c>
      <c r="U335" s="244">
        <v>0</v>
      </c>
      <c r="V335" s="87" t="s">
        <v>1649</v>
      </c>
    </row>
    <row r="336" spans="1:22" ht="13.5" thickBot="1" x14ac:dyDescent="0.25">
      <c r="A336" s="48" t="s">
        <v>578</v>
      </c>
      <c r="B336" s="258" t="s">
        <v>577</v>
      </c>
      <c r="C336" s="255" t="s">
        <v>39</v>
      </c>
      <c r="D336" s="244">
        <v>36441</v>
      </c>
      <c r="E336" s="244">
        <v>5</v>
      </c>
      <c r="F336" s="251">
        <v>197</v>
      </c>
      <c r="G336" s="251">
        <v>4.9249999999999998</v>
      </c>
      <c r="H336" s="244">
        <v>18</v>
      </c>
      <c r="I336" s="253">
        <v>483</v>
      </c>
      <c r="J336" s="253">
        <v>12.074999999999999</v>
      </c>
      <c r="K336" s="244">
        <v>23</v>
      </c>
      <c r="L336" s="251">
        <v>680</v>
      </c>
      <c r="M336" s="251">
        <v>17</v>
      </c>
      <c r="N336" s="244">
        <v>12</v>
      </c>
      <c r="O336" s="251">
        <v>306</v>
      </c>
      <c r="P336" s="251">
        <v>7.65</v>
      </c>
      <c r="Q336" s="244">
        <v>34</v>
      </c>
      <c r="R336" s="251">
        <v>986</v>
      </c>
      <c r="S336" s="251">
        <v>24.65</v>
      </c>
      <c r="T336" s="87" t="s">
        <v>1649</v>
      </c>
      <c r="U336" s="244">
        <v>0</v>
      </c>
      <c r="V336" s="87" t="s">
        <v>1649</v>
      </c>
    </row>
    <row r="337" spans="1:22" ht="13.5" thickBot="1" x14ac:dyDescent="0.25">
      <c r="A337" s="48" t="s">
        <v>588</v>
      </c>
      <c r="B337" s="258" t="s">
        <v>587</v>
      </c>
      <c r="C337" s="255" t="s">
        <v>39</v>
      </c>
      <c r="D337" s="244">
        <v>36656</v>
      </c>
      <c r="E337" s="244">
        <v>16</v>
      </c>
      <c r="F337" s="251">
        <v>515</v>
      </c>
      <c r="G337" s="251">
        <v>12.875</v>
      </c>
      <c r="H337" s="244">
        <v>0</v>
      </c>
      <c r="I337" s="253">
        <v>0</v>
      </c>
      <c r="J337" s="253">
        <v>0</v>
      </c>
      <c r="K337" s="244">
        <v>16</v>
      </c>
      <c r="L337" s="251">
        <v>515</v>
      </c>
      <c r="M337" s="251">
        <v>12.875</v>
      </c>
      <c r="N337" s="244">
        <v>45</v>
      </c>
      <c r="O337" s="251">
        <v>815.63</v>
      </c>
      <c r="P337" s="251">
        <v>20.390750000000001</v>
      </c>
      <c r="Q337" s="244">
        <v>61</v>
      </c>
      <c r="R337" s="251">
        <v>1330.63</v>
      </c>
      <c r="S337" s="251">
        <v>33.265749999999997</v>
      </c>
      <c r="T337" s="87" t="s">
        <v>1648</v>
      </c>
      <c r="U337" s="244">
        <v>1</v>
      </c>
      <c r="V337" s="87" t="s">
        <v>1649</v>
      </c>
    </row>
    <row r="338" spans="1:22" ht="13.5" thickBot="1" x14ac:dyDescent="0.25">
      <c r="A338" s="48" t="s">
        <v>616</v>
      </c>
      <c r="B338" s="258" t="s">
        <v>615</v>
      </c>
      <c r="C338" s="255" t="s">
        <v>39</v>
      </c>
      <c r="D338" s="244">
        <v>48362</v>
      </c>
      <c r="E338" s="244">
        <v>14</v>
      </c>
      <c r="F338" s="251">
        <v>339.3</v>
      </c>
      <c r="G338" s="251">
        <v>8.4824999999999999</v>
      </c>
      <c r="H338" s="244">
        <v>4</v>
      </c>
      <c r="I338" s="253">
        <v>88</v>
      </c>
      <c r="J338" s="253">
        <v>2.2000000000000002</v>
      </c>
      <c r="K338" s="244">
        <v>18</v>
      </c>
      <c r="L338" s="251">
        <v>427.3</v>
      </c>
      <c r="M338" s="251">
        <v>10.682499999999999</v>
      </c>
      <c r="N338" s="244">
        <v>25</v>
      </c>
      <c r="O338" s="251">
        <v>498.5</v>
      </c>
      <c r="P338" s="251">
        <v>12.4625</v>
      </c>
      <c r="Q338" s="244">
        <v>43</v>
      </c>
      <c r="R338" s="251">
        <v>925.8</v>
      </c>
      <c r="S338" s="251">
        <v>23.145</v>
      </c>
      <c r="T338" s="87" t="s">
        <v>1649</v>
      </c>
      <c r="U338" s="244">
        <v>0</v>
      </c>
      <c r="V338" s="87" t="s">
        <v>1649</v>
      </c>
    </row>
    <row r="339" spans="1:22" ht="13.5" thickBot="1" x14ac:dyDescent="0.25">
      <c r="A339" s="48" t="s">
        <v>640</v>
      </c>
      <c r="B339" s="258" t="s">
        <v>639</v>
      </c>
      <c r="C339" s="255" t="s">
        <v>39</v>
      </c>
      <c r="D339" s="244">
        <v>33839</v>
      </c>
      <c r="E339" s="244">
        <v>11</v>
      </c>
      <c r="F339" s="251">
        <v>440</v>
      </c>
      <c r="G339" s="251">
        <v>11</v>
      </c>
      <c r="H339" s="244">
        <v>0</v>
      </c>
      <c r="I339" s="253">
        <v>0</v>
      </c>
      <c r="J339" s="253">
        <v>0</v>
      </c>
      <c r="K339" s="244">
        <v>11</v>
      </c>
      <c r="L339" s="251">
        <v>440</v>
      </c>
      <c r="M339" s="251">
        <v>11</v>
      </c>
      <c r="N339" s="244">
        <v>19</v>
      </c>
      <c r="O339" s="251">
        <v>362</v>
      </c>
      <c r="P339" s="251">
        <v>9.0500000000000007</v>
      </c>
      <c r="Q339" s="244">
        <v>30</v>
      </c>
      <c r="R339" s="251">
        <v>802</v>
      </c>
      <c r="S339" s="251">
        <v>20.05</v>
      </c>
      <c r="T339" s="87" t="s">
        <v>1649</v>
      </c>
      <c r="U339" s="244">
        <v>0</v>
      </c>
      <c r="V339" s="87" t="s">
        <v>1649</v>
      </c>
    </row>
    <row r="340" spans="1:22" ht="13.5" thickBot="1" x14ac:dyDescent="0.25">
      <c r="A340" s="48" t="s">
        <v>642</v>
      </c>
      <c r="B340" s="258" t="s">
        <v>641</v>
      </c>
      <c r="C340" s="255" t="s">
        <v>39</v>
      </c>
      <c r="D340" s="244">
        <v>39868</v>
      </c>
      <c r="E340" s="244">
        <v>3</v>
      </c>
      <c r="F340" s="251">
        <v>120</v>
      </c>
      <c r="G340" s="251">
        <v>3</v>
      </c>
      <c r="H340" s="244">
        <v>1</v>
      </c>
      <c r="I340" s="253">
        <v>29</v>
      </c>
      <c r="J340" s="253">
        <v>0.72499999999999998</v>
      </c>
      <c r="K340" s="244">
        <v>4</v>
      </c>
      <c r="L340" s="251">
        <v>149</v>
      </c>
      <c r="M340" s="251">
        <v>3.7250000000000001</v>
      </c>
      <c r="N340" s="244">
        <v>7</v>
      </c>
      <c r="O340" s="251">
        <v>195</v>
      </c>
      <c r="P340" s="251">
        <v>4.875</v>
      </c>
      <c r="Q340" s="244">
        <v>11</v>
      </c>
      <c r="R340" s="251">
        <v>344</v>
      </c>
      <c r="S340" s="251">
        <v>8.6</v>
      </c>
      <c r="T340" s="87" t="s">
        <v>1648</v>
      </c>
      <c r="U340" s="244">
        <v>2415</v>
      </c>
      <c r="V340" s="87" t="s">
        <v>1649</v>
      </c>
    </row>
    <row r="341" spans="1:22" ht="13.5" thickBot="1" x14ac:dyDescent="0.25">
      <c r="A341" s="48" t="s">
        <v>646</v>
      </c>
      <c r="B341" s="258" t="s">
        <v>645</v>
      </c>
      <c r="C341" s="255" t="s">
        <v>39</v>
      </c>
      <c r="D341" s="244">
        <v>47299</v>
      </c>
      <c r="E341" s="244">
        <v>11</v>
      </c>
      <c r="F341" s="251">
        <v>271</v>
      </c>
      <c r="G341" s="251">
        <v>6.7750000000000004</v>
      </c>
      <c r="H341" s="244">
        <v>2</v>
      </c>
      <c r="I341" s="253">
        <v>56</v>
      </c>
      <c r="J341" s="253">
        <v>1.4</v>
      </c>
      <c r="K341" s="244">
        <v>13</v>
      </c>
      <c r="L341" s="251">
        <v>377</v>
      </c>
      <c r="M341" s="251">
        <v>9.4250000000000007</v>
      </c>
      <c r="N341" s="244">
        <v>12</v>
      </c>
      <c r="O341" s="251">
        <v>236</v>
      </c>
      <c r="P341" s="251">
        <v>5.9</v>
      </c>
      <c r="Q341" s="244">
        <v>23</v>
      </c>
      <c r="R341" s="251">
        <v>613</v>
      </c>
      <c r="S341" s="251">
        <v>15.324999999999999</v>
      </c>
      <c r="T341" s="87" t="s">
        <v>1649</v>
      </c>
      <c r="U341" s="244">
        <v>0</v>
      </c>
      <c r="V341" s="87" t="s">
        <v>1649</v>
      </c>
    </row>
    <row r="342" spans="1:22" ht="13.5" thickBot="1" x14ac:dyDescent="0.25">
      <c r="A342" s="48" t="s">
        <v>664</v>
      </c>
      <c r="B342" s="258" t="s">
        <v>663</v>
      </c>
      <c r="C342" s="255" t="s">
        <v>39</v>
      </c>
      <c r="D342" s="244">
        <v>26376</v>
      </c>
      <c r="E342" s="244">
        <v>10</v>
      </c>
      <c r="F342" s="251">
        <v>295</v>
      </c>
      <c r="G342" s="251">
        <v>7.375</v>
      </c>
      <c r="H342" s="244">
        <v>0</v>
      </c>
      <c r="I342" s="253">
        <v>0</v>
      </c>
      <c r="J342" s="253">
        <v>0</v>
      </c>
      <c r="K342" s="244">
        <v>10</v>
      </c>
      <c r="L342" s="251">
        <v>295</v>
      </c>
      <c r="M342" s="251">
        <v>7.375</v>
      </c>
      <c r="N342" s="244">
        <v>33</v>
      </c>
      <c r="O342" s="251">
        <v>585</v>
      </c>
      <c r="P342" s="251">
        <v>14.625</v>
      </c>
      <c r="Q342" s="244">
        <v>43</v>
      </c>
      <c r="R342" s="251">
        <v>880</v>
      </c>
      <c r="S342" s="251">
        <v>22</v>
      </c>
      <c r="T342" s="87" t="s">
        <v>1649</v>
      </c>
      <c r="U342" s="244">
        <v>0</v>
      </c>
      <c r="V342" s="87" t="s">
        <v>1649</v>
      </c>
    </row>
    <row r="343" spans="1:22" ht="13.5" thickBot="1" x14ac:dyDescent="0.25">
      <c r="A343" s="48" t="s">
        <v>688</v>
      </c>
      <c r="B343" s="258" t="s">
        <v>687</v>
      </c>
      <c r="C343" s="255" t="s">
        <v>39</v>
      </c>
      <c r="D343" s="244">
        <v>27920</v>
      </c>
      <c r="E343" s="244">
        <v>2</v>
      </c>
      <c r="F343" s="251">
        <v>79</v>
      </c>
      <c r="G343" s="251">
        <v>1.9750000000000001</v>
      </c>
      <c r="H343" s="244">
        <v>4</v>
      </c>
      <c r="I343" s="253">
        <v>150</v>
      </c>
      <c r="J343" s="253">
        <v>3.75</v>
      </c>
      <c r="K343" s="244">
        <v>2</v>
      </c>
      <c r="L343" s="251">
        <v>229</v>
      </c>
      <c r="M343" s="251">
        <v>5.7249999999999996</v>
      </c>
      <c r="N343" s="244">
        <v>17</v>
      </c>
      <c r="O343" s="251">
        <v>456</v>
      </c>
      <c r="P343" s="251">
        <v>11.4</v>
      </c>
      <c r="Q343" s="244">
        <v>23</v>
      </c>
      <c r="R343" s="251">
        <v>685</v>
      </c>
      <c r="S343" s="251">
        <v>17.125</v>
      </c>
      <c r="T343" s="87" t="s">
        <v>1649</v>
      </c>
      <c r="U343" s="244">
        <v>0</v>
      </c>
      <c r="V343" s="87" t="s">
        <v>1649</v>
      </c>
    </row>
    <row r="344" spans="1:22" ht="13.5" thickBot="1" x14ac:dyDescent="0.25">
      <c r="A344" s="48" t="s">
        <v>698</v>
      </c>
      <c r="B344" s="258" t="s">
        <v>697</v>
      </c>
      <c r="C344" s="255" t="s">
        <v>39</v>
      </c>
      <c r="D344" s="244">
        <v>30047</v>
      </c>
      <c r="E344" s="244">
        <v>3</v>
      </c>
      <c r="F344" s="251">
        <v>120</v>
      </c>
      <c r="G344" s="251">
        <v>3</v>
      </c>
      <c r="H344" s="244">
        <v>0</v>
      </c>
      <c r="I344" s="253">
        <v>0</v>
      </c>
      <c r="J344" s="253">
        <v>0</v>
      </c>
      <c r="K344" s="244">
        <v>3</v>
      </c>
      <c r="L344" s="251">
        <v>120</v>
      </c>
      <c r="M344" s="251">
        <v>3</v>
      </c>
      <c r="N344" s="244">
        <v>6</v>
      </c>
      <c r="O344" s="251">
        <v>149</v>
      </c>
      <c r="P344" s="251">
        <v>3.7250000000000001</v>
      </c>
      <c r="Q344" s="244">
        <v>9</v>
      </c>
      <c r="R344" s="251">
        <v>269</v>
      </c>
      <c r="S344" s="251">
        <v>6.7249999999999996</v>
      </c>
      <c r="T344" s="87" t="s">
        <v>1648</v>
      </c>
      <c r="U344" s="244">
        <v>4740</v>
      </c>
      <c r="V344" s="87" t="s">
        <v>1649</v>
      </c>
    </row>
    <row r="345" spans="1:22" ht="13.5" thickBot="1" x14ac:dyDescent="0.25">
      <c r="A345" s="48" t="s">
        <v>716</v>
      </c>
      <c r="B345" s="258" t="s">
        <v>715</v>
      </c>
      <c r="C345" s="255" t="s">
        <v>39</v>
      </c>
      <c r="D345" s="244">
        <v>43031</v>
      </c>
      <c r="E345" s="244">
        <v>2</v>
      </c>
      <c r="F345" s="251">
        <v>68</v>
      </c>
      <c r="G345" s="251">
        <v>1.7</v>
      </c>
      <c r="H345" s="244">
        <v>17</v>
      </c>
      <c r="I345" s="253">
        <v>285</v>
      </c>
      <c r="J345" s="253">
        <v>7.125</v>
      </c>
      <c r="K345" s="244">
        <v>19</v>
      </c>
      <c r="L345" s="251">
        <v>345</v>
      </c>
      <c r="M345" s="251">
        <v>8.625</v>
      </c>
      <c r="N345" s="244">
        <v>22</v>
      </c>
      <c r="O345" s="251">
        <v>22</v>
      </c>
      <c r="P345" s="251">
        <v>0.55000000000000004</v>
      </c>
      <c r="Q345" s="244">
        <v>39</v>
      </c>
      <c r="R345" s="251">
        <v>367</v>
      </c>
      <c r="S345" s="251">
        <v>9.1750000000000007</v>
      </c>
      <c r="T345" s="87" t="s">
        <v>1649</v>
      </c>
      <c r="U345" s="244">
        <v>0</v>
      </c>
      <c r="V345" s="87" t="s">
        <v>1649</v>
      </c>
    </row>
    <row r="346" spans="1:22" ht="13.5" thickBot="1" x14ac:dyDescent="0.25">
      <c r="A346" s="48" t="s">
        <v>760</v>
      </c>
      <c r="B346" s="258" t="s">
        <v>759</v>
      </c>
      <c r="C346" s="255" t="s">
        <v>39</v>
      </c>
      <c r="D346" s="244">
        <v>44265</v>
      </c>
      <c r="E346" s="244">
        <v>5</v>
      </c>
      <c r="F346" s="251">
        <v>176</v>
      </c>
      <c r="G346" s="251">
        <v>4.4000000000000004</v>
      </c>
      <c r="H346" s="244">
        <v>6</v>
      </c>
      <c r="I346" s="253">
        <v>201</v>
      </c>
      <c r="J346" s="253">
        <v>5.0250000000000004</v>
      </c>
      <c r="K346" s="244">
        <v>11</v>
      </c>
      <c r="L346" s="251">
        <v>377</v>
      </c>
      <c r="M346" s="251">
        <v>9.4250000000000007</v>
      </c>
      <c r="N346" s="244">
        <v>45</v>
      </c>
      <c r="O346" s="251">
        <v>869.4</v>
      </c>
      <c r="P346" s="251">
        <v>21.734999999999999</v>
      </c>
      <c r="Q346" s="244">
        <v>56</v>
      </c>
      <c r="R346" s="251">
        <v>1246.4000000000001</v>
      </c>
      <c r="S346" s="251">
        <v>31.16</v>
      </c>
      <c r="T346" s="87" t="s">
        <v>1649</v>
      </c>
      <c r="U346" s="244">
        <v>0</v>
      </c>
      <c r="V346" s="87" t="s">
        <v>1649</v>
      </c>
    </row>
    <row r="347" spans="1:22" ht="13.5" thickBot="1" x14ac:dyDescent="0.25">
      <c r="A347" s="48" t="s">
        <v>800</v>
      </c>
      <c r="B347" s="258" t="s">
        <v>799</v>
      </c>
      <c r="C347" s="255" t="s">
        <v>39</v>
      </c>
      <c r="D347" s="244">
        <v>30019</v>
      </c>
      <c r="E347" s="244">
        <v>9</v>
      </c>
      <c r="F347" s="251">
        <v>288</v>
      </c>
      <c r="G347" s="251">
        <v>7.2</v>
      </c>
      <c r="H347" s="244">
        <v>2</v>
      </c>
      <c r="I347" s="253">
        <v>64</v>
      </c>
      <c r="J347" s="253">
        <v>1.6</v>
      </c>
      <c r="K347" s="244">
        <v>11</v>
      </c>
      <c r="L347" s="251">
        <v>332</v>
      </c>
      <c r="M347" s="251">
        <v>8.3000000000000007</v>
      </c>
      <c r="N347" s="244">
        <v>25</v>
      </c>
      <c r="O347" s="251">
        <v>230</v>
      </c>
      <c r="P347" s="251">
        <v>5.75</v>
      </c>
      <c r="Q347" s="244">
        <v>36</v>
      </c>
      <c r="R347" s="251">
        <v>562</v>
      </c>
      <c r="S347" s="251">
        <v>14.05</v>
      </c>
      <c r="T347" s="87" t="s">
        <v>1648</v>
      </c>
      <c r="U347" s="244">
        <v>500</v>
      </c>
      <c r="V347" s="87" t="s">
        <v>1649</v>
      </c>
    </row>
    <row r="348" spans="1:22" ht="13.5" thickBot="1" x14ac:dyDescent="0.25">
      <c r="A348" s="48" t="s">
        <v>53</v>
      </c>
      <c r="B348" s="258" t="s">
        <v>52</v>
      </c>
      <c r="C348" s="255" t="s">
        <v>54</v>
      </c>
      <c r="D348" s="244">
        <v>163590</v>
      </c>
      <c r="E348" s="244">
        <v>17</v>
      </c>
      <c r="F348" s="251">
        <v>680</v>
      </c>
      <c r="G348" s="251">
        <v>17</v>
      </c>
      <c r="H348" s="244">
        <v>0</v>
      </c>
      <c r="I348" s="253">
        <v>0</v>
      </c>
      <c r="J348" s="253">
        <v>0</v>
      </c>
      <c r="K348" s="244">
        <v>17</v>
      </c>
      <c r="L348" s="251">
        <v>680</v>
      </c>
      <c r="M348" s="251">
        <v>17</v>
      </c>
      <c r="N348" s="244">
        <v>200</v>
      </c>
      <c r="O348" s="251">
        <v>6160</v>
      </c>
      <c r="P348" s="251">
        <v>154</v>
      </c>
      <c r="Q348" s="244">
        <v>217</v>
      </c>
      <c r="R348" s="251">
        <v>6840</v>
      </c>
      <c r="S348" s="251">
        <v>171</v>
      </c>
      <c r="T348" s="87" t="s">
        <v>1649</v>
      </c>
      <c r="U348" s="244">
        <v>0</v>
      </c>
      <c r="V348" s="87" t="s">
        <v>1649</v>
      </c>
    </row>
    <row r="349" spans="1:22" ht="13.5" thickBot="1" x14ac:dyDescent="0.25">
      <c r="A349" s="48" t="s">
        <v>78</v>
      </c>
      <c r="B349" s="258" t="s">
        <v>77</v>
      </c>
      <c r="C349" s="255" t="s">
        <v>54</v>
      </c>
      <c r="D349" s="244">
        <v>107681</v>
      </c>
      <c r="E349" s="244">
        <v>10</v>
      </c>
      <c r="F349" s="251">
        <v>400</v>
      </c>
      <c r="G349" s="251">
        <v>10</v>
      </c>
      <c r="H349" s="244">
        <v>4</v>
      </c>
      <c r="I349" s="253">
        <v>17</v>
      </c>
      <c r="J349" s="253">
        <v>0.42499999999999999</v>
      </c>
      <c r="K349" s="244">
        <v>14</v>
      </c>
      <c r="L349" s="251">
        <v>417</v>
      </c>
      <c r="M349" s="251">
        <v>10.425000000000001</v>
      </c>
      <c r="N349" s="244">
        <v>102</v>
      </c>
      <c r="O349" s="251">
        <v>2167</v>
      </c>
      <c r="P349" s="251">
        <v>54.174999999999997</v>
      </c>
      <c r="Q349" s="244">
        <v>116</v>
      </c>
      <c r="R349" s="251">
        <v>2584</v>
      </c>
      <c r="S349" s="251">
        <v>64.599999999999994</v>
      </c>
      <c r="T349" s="87" t="s">
        <v>1649</v>
      </c>
      <c r="U349" s="244">
        <v>0</v>
      </c>
      <c r="V349" s="87" t="s">
        <v>1649</v>
      </c>
    </row>
    <row r="350" spans="1:22" ht="13.5" thickBot="1" x14ac:dyDescent="0.25">
      <c r="A350" s="48" t="s">
        <v>140</v>
      </c>
      <c r="B350" s="258" t="s">
        <v>139</v>
      </c>
      <c r="C350" s="255" t="s">
        <v>54</v>
      </c>
      <c r="D350" s="244">
        <v>90173</v>
      </c>
      <c r="E350" s="244">
        <v>32</v>
      </c>
      <c r="F350" s="251">
        <v>812</v>
      </c>
      <c r="G350" s="251">
        <v>20.3</v>
      </c>
      <c r="H350" s="244">
        <v>0</v>
      </c>
      <c r="I350" s="253">
        <v>0</v>
      </c>
      <c r="J350" s="253">
        <v>0</v>
      </c>
      <c r="K350" s="244">
        <v>32</v>
      </c>
      <c r="L350" s="251">
        <v>812</v>
      </c>
      <c r="M350" s="251">
        <v>20.3</v>
      </c>
      <c r="N350" s="244">
        <v>64</v>
      </c>
      <c r="O350" s="251">
        <v>1384.1</v>
      </c>
      <c r="P350" s="251">
        <v>34.602499999999999</v>
      </c>
      <c r="Q350" s="244">
        <v>96</v>
      </c>
      <c r="R350" s="251">
        <v>2196.1</v>
      </c>
      <c r="S350" s="251">
        <v>54.902500000000003</v>
      </c>
      <c r="T350" s="87" t="s">
        <v>1649</v>
      </c>
      <c r="U350" s="244">
        <v>0</v>
      </c>
      <c r="V350" s="87" t="s">
        <v>1649</v>
      </c>
    </row>
    <row r="351" spans="1:22" ht="13.5" thickBot="1" x14ac:dyDescent="0.25">
      <c r="A351" s="48" t="s">
        <v>142</v>
      </c>
      <c r="B351" s="258" t="s">
        <v>141</v>
      </c>
      <c r="C351" s="255" t="s">
        <v>54</v>
      </c>
      <c r="D351" s="244">
        <v>238859</v>
      </c>
      <c r="E351" s="244">
        <v>40</v>
      </c>
      <c r="F351" s="251">
        <v>1555</v>
      </c>
      <c r="G351" s="251">
        <v>38.875</v>
      </c>
      <c r="H351" s="244">
        <v>0</v>
      </c>
      <c r="I351" s="253">
        <v>0</v>
      </c>
      <c r="J351" s="253">
        <v>0</v>
      </c>
      <c r="K351" s="244">
        <v>40</v>
      </c>
      <c r="L351" s="251">
        <v>1555</v>
      </c>
      <c r="M351" s="251">
        <v>38.875</v>
      </c>
      <c r="N351" s="244">
        <v>187</v>
      </c>
      <c r="O351" s="251">
        <v>3874</v>
      </c>
      <c r="P351" s="251">
        <v>96.85</v>
      </c>
      <c r="Q351" s="244">
        <v>227</v>
      </c>
      <c r="R351" s="251">
        <v>5429</v>
      </c>
      <c r="S351" s="251">
        <v>135.72499999999999</v>
      </c>
      <c r="T351" s="87" t="s">
        <v>1649</v>
      </c>
      <c r="U351" s="244">
        <v>0</v>
      </c>
      <c r="V351" s="87" t="s">
        <v>1649</v>
      </c>
    </row>
    <row r="352" spans="1:22" ht="13.5" thickBot="1" x14ac:dyDescent="0.25">
      <c r="A352" s="48" t="s">
        <v>172</v>
      </c>
      <c r="B352" s="258" t="s">
        <v>171</v>
      </c>
      <c r="C352" s="255" t="s">
        <v>54</v>
      </c>
      <c r="D352" s="244">
        <v>51640</v>
      </c>
      <c r="E352" s="244">
        <v>6</v>
      </c>
      <c r="F352" s="251">
        <v>240</v>
      </c>
      <c r="G352" s="251">
        <v>6</v>
      </c>
      <c r="H352" s="244">
        <v>3</v>
      </c>
      <c r="I352" s="253">
        <v>120</v>
      </c>
      <c r="J352" s="253">
        <v>3</v>
      </c>
      <c r="K352" s="244">
        <v>9</v>
      </c>
      <c r="L352" s="251">
        <v>360</v>
      </c>
      <c r="M352" s="251">
        <v>9</v>
      </c>
      <c r="N352" s="244">
        <v>31</v>
      </c>
      <c r="O352" s="251">
        <v>752</v>
      </c>
      <c r="P352" s="251">
        <v>18.8</v>
      </c>
      <c r="Q352" s="244">
        <v>40</v>
      </c>
      <c r="R352" s="251">
        <v>1112</v>
      </c>
      <c r="S352" s="251">
        <v>27.8</v>
      </c>
      <c r="T352" s="87" t="s">
        <v>1649</v>
      </c>
      <c r="U352" s="244">
        <v>0</v>
      </c>
      <c r="V352" s="87" t="s">
        <v>1649</v>
      </c>
    </row>
    <row r="353" spans="1:22" ht="13.5" thickBot="1" x14ac:dyDescent="0.25">
      <c r="A353" s="48" t="s">
        <v>178</v>
      </c>
      <c r="B353" s="258" t="s">
        <v>177</v>
      </c>
      <c r="C353" s="255" t="s">
        <v>54</v>
      </c>
      <c r="D353" s="244">
        <v>169833</v>
      </c>
      <c r="E353" s="244">
        <v>55</v>
      </c>
      <c r="F353" s="251">
        <v>1002</v>
      </c>
      <c r="G353" s="251">
        <v>25.05</v>
      </c>
      <c r="H353" s="244">
        <v>0</v>
      </c>
      <c r="I353" s="253">
        <v>0</v>
      </c>
      <c r="J353" s="253">
        <v>0</v>
      </c>
      <c r="K353" s="244">
        <v>55</v>
      </c>
      <c r="L353" s="251">
        <v>1002</v>
      </c>
      <c r="M353" s="251">
        <v>25.05</v>
      </c>
      <c r="N353" s="244">
        <v>95</v>
      </c>
      <c r="O353" s="251">
        <v>1414</v>
      </c>
      <c r="P353" s="251">
        <v>35.35</v>
      </c>
      <c r="Q353" s="244">
        <v>150</v>
      </c>
      <c r="R353" s="251">
        <v>2416</v>
      </c>
      <c r="S353" s="251">
        <v>60.4</v>
      </c>
      <c r="T353" s="87" t="s">
        <v>1649</v>
      </c>
      <c r="U353" s="244">
        <v>0</v>
      </c>
      <c r="V353" s="87" t="s">
        <v>1649</v>
      </c>
    </row>
    <row r="354" spans="1:22" ht="13.5" thickBot="1" x14ac:dyDescent="0.25">
      <c r="A354" s="48" t="s">
        <v>212</v>
      </c>
      <c r="B354" s="258" t="s">
        <v>211</v>
      </c>
      <c r="C354" s="255" t="s">
        <v>54</v>
      </c>
      <c r="D354" s="244">
        <v>57774</v>
      </c>
      <c r="E354" s="244">
        <v>13</v>
      </c>
      <c r="F354" s="251">
        <v>410</v>
      </c>
      <c r="G354" s="251">
        <v>10.25</v>
      </c>
      <c r="H354" s="244">
        <v>0</v>
      </c>
      <c r="I354" s="253">
        <v>0</v>
      </c>
      <c r="J354" s="253">
        <v>0</v>
      </c>
      <c r="K354" s="244">
        <v>13</v>
      </c>
      <c r="L354" s="251">
        <v>410</v>
      </c>
      <c r="M354" s="251">
        <v>10.25</v>
      </c>
      <c r="N354" s="244">
        <v>35</v>
      </c>
      <c r="O354" s="251">
        <v>475</v>
      </c>
      <c r="P354" s="251">
        <v>11.875</v>
      </c>
      <c r="Q354" s="244">
        <v>48</v>
      </c>
      <c r="R354" s="251">
        <v>885</v>
      </c>
      <c r="S354" s="251">
        <v>22.125</v>
      </c>
      <c r="T354" s="87" t="s">
        <v>1649</v>
      </c>
      <c r="U354" s="244">
        <v>0</v>
      </c>
      <c r="V354" s="87" t="s">
        <v>1648</v>
      </c>
    </row>
    <row r="355" spans="1:22" ht="13.5" thickBot="1" x14ac:dyDescent="0.25">
      <c r="A355" s="48" t="s">
        <v>214</v>
      </c>
      <c r="B355" s="258" t="s">
        <v>213</v>
      </c>
      <c r="C355" s="255" t="s">
        <v>54</v>
      </c>
      <c r="D355" s="244">
        <v>98153</v>
      </c>
      <c r="E355" s="244">
        <v>16</v>
      </c>
      <c r="F355" s="251">
        <v>612</v>
      </c>
      <c r="G355" s="251">
        <v>15.3</v>
      </c>
      <c r="H355" s="244">
        <v>0</v>
      </c>
      <c r="I355" s="253">
        <v>0</v>
      </c>
      <c r="J355" s="253">
        <v>0</v>
      </c>
      <c r="K355" s="244">
        <v>16</v>
      </c>
      <c r="L355" s="251">
        <v>612</v>
      </c>
      <c r="M355" s="251">
        <v>15.3</v>
      </c>
      <c r="N355" s="244">
        <v>64</v>
      </c>
      <c r="O355" s="251">
        <v>1466</v>
      </c>
      <c r="P355" s="251">
        <v>36.65</v>
      </c>
      <c r="Q355" s="244">
        <v>80</v>
      </c>
      <c r="R355" s="251">
        <v>2078</v>
      </c>
      <c r="S355" s="251">
        <v>51.95</v>
      </c>
      <c r="T355" s="87" t="s">
        <v>1648</v>
      </c>
      <c r="U355" s="244">
        <v>128</v>
      </c>
      <c r="V355" s="87" t="s">
        <v>1649</v>
      </c>
    </row>
    <row r="356" spans="1:22" ht="13.5" thickBot="1" x14ac:dyDescent="0.25">
      <c r="A356" s="48" t="s">
        <v>222</v>
      </c>
      <c r="B356" s="258" t="s">
        <v>221</v>
      </c>
      <c r="C356" s="255" t="s">
        <v>54</v>
      </c>
      <c r="D356" s="244">
        <v>713777</v>
      </c>
      <c r="E356" s="244">
        <v>73</v>
      </c>
      <c r="F356" s="251">
        <v>2920</v>
      </c>
      <c r="G356" s="251">
        <v>73</v>
      </c>
      <c r="H356" s="244">
        <v>0</v>
      </c>
      <c r="I356" s="253">
        <v>0</v>
      </c>
      <c r="J356" s="253">
        <v>0</v>
      </c>
      <c r="K356" s="244">
        <v>73</v>
      </c>
      <c r="L356" s="251">
        <v>2920</v>
      </c>
      <c r="M356" s="251">
        <v>73</v>
      </c>
      <c r="N356" s="244">
        <v>229</v>
      </c>
      <c r="O356" s="251">
        <v>8160</v>
      </c>
      <c r="P356" s="251">
        <v>204</v>
      </c>
      <c r="Q356" s="244">
        <v>302</v>
      </c>
      <c r="R356" s="251">
        <v>11080</v>
      </c>
      <c r="S356" s="251">
        <v>277</v>
      </c>
      <c r="T356" s="87" t="s">
        <v>1648</v>
      </c>
      <c r="U356" s="244">
        <v>61600</v>
      </c>
      <c r="V356" s="87" t="s">
        <v>1649</v>
      </c>
    </row>
    <row r="357" spans="1:22" ht="13.5" thickBot="1" x14ac:dyDescent="0.25">
      <c r="A357" s="48" t="s">
        <v>266</v>
      </c>
      <c r="B357" s="258" t="s">
        <v>265</v>
      </c>
      <c r="C357" s="255" t="s">
        <v>54</v>
      </c>
      <c r="D357" s="244">
        <v>90112</v>
      </c>
      <c r="E357" s="244">
        <v>8</v>
      </c>
      <c r="F357" s="251">
        <v>264</v>
      </c>
      <c r="G357" s="251">
        <v>6.6</v>
      </c>
      <c r="H357" s="244">
        <v>12</v>
      </c>
      <c r="I357" s="253">
        <v>383</v>
      </c>
      <c r="J357" s="253">
        <v>9.5749999999999993</v>
      </c>
      <c r="K357" s="244">
        <v>20</v>
      </c>
      <c r="L357" s="251">
        <v>647</v>
      </c>
      <c r="M357" s="251">
        <v>16.175000000000001</v>
      </c>
      <c r="N357" s="244">
        <v>20</v>
      </c>
      <c r="O357" s="251">
        <v>656</v>
      </c>
      <c r="P357" s="251">
        <v>16.399999999999999</v>
      </c>
      <c r="Q357" s="244">
        <v>40</v>
      </c>
      <c r="R357" s="251">
        <v>1303</v>
      </c>
      <c r="S357" s="251">
        <v>32.575000000000003</v>
      </c>
      <c r="T357" s="87" t="s">
        <v>1648</v>
      </c>
      <c r="U357" s="244">
        <v>942</v>
      </c>
      <c r="V357" s="87" t="s">
        <v>1649</v>
      </c>
    </row>
    <row r="358" spans="1:22" ht="13.5" thickBot="1" x14ac:dyDescent="0.25">
      <c r="A358" s="48" t="s">
        <v>278</v>
      </c>
      <c r="B358" s="258" t="s">
        <v>277</v>
      </c>
      <c r="C358" s="255" t="s">
        <v>54</v>
      </c>
      <c r="D358" s="244">
        <v>102434</v>
      </c>
      <c r="E358" s="244">
        <v>14</v>
      </c>
      <c r="F358" s="251">
        <v>544</v>
      </c>
      <c r="G358" s="251">
        <v>13.6</v>
      </c>
      <c r="H358" s="244">
        <v>2</v>
      </c>
      <c r="I358" s="253">
        <v>80</v>
      </c>
      <c r="J358" s="253">
        <v>2</v>
      </c>
      <c r="K358" s="244">
        <v>16</v>
      </c>
      <c r="L358" s="251">
        <v>624</v>
      </c>
      <c r="M358" s="251">
        <v>15.6</v>
      </c>
      <c r="N358" s="244">
        <v>24</v>
      </c>
      <c r="O358" s="251">
        <v>678</v>
      </c>
      <c r="P358" s="251">
        <v>16.95</v>
      </c>
      <c r="Q358" s="244">
        <v>40</v>
      </c>
      <c r="R358" s="251">
        <v>1302</v>
      </c>
      <c r="S358" s="251">
        <v>32.549999999999997</v>
      </c>
      <c r="T358" s="87" t="s">
        <v>1649</v>
      </c>
      <c r="U358" s="244">
        <v>0</v>
      </c>
      <c r="V358" s="87" t="s">
        <v>1649</v>
      </c>
    </row>
    <row r="359" spans="1:22" ht="13.5" thickBot="1" x14ac:dyDescent="0.25">
      <c r="A359" s="48" t="s">
        <v>304</v>
      </c>
      <c r="B359" s="258" t="s">
        <v>303</v>
      </c>
      <c r="C359" s="255" t="s">
        <v>54</v>
      </c>
      <c r="D359" s="244">
        <v>332567</v>
      </c>
      <c r="E359" s="244">
        <v>26</v>
      </c>
      <c r="F359" s="251">
        <v>1040</v>
      </c>
      <c r="G359" s="251">
        <v>26</v>
      </c>
      <c r="H359" s="244">
        <v>0</v>
      </c>
      <c r="I359" s="253">
        <v>0</v>
      </c>
      <c r="J359" s="253">
        <v>0</v>
      </c>
      <c r="K359" s="244">
        <v>26</v>
      </c>
      <c r="L359" s="251">
        <v>1040</v>
      </c>
      <c r="M359" s="251">
        <v>26</v>
      </c>
      <c r="N359" s="244">
        <v>110</v>
      </c>
      <c r="O359" s="251">
        <v>2282</v>
      </c>
      <c r="P359" s="251">
        <v>57.05</v>
      </c>
      <c r="Q359" s="244">
        <v>136</v>
      </c>
      <c r="R359" s="251">
        <v>3322</v>
      </c>
      <c r="S359" s="251">
        <v>83.05</v>
      </c>
      <c r="T359" s="87" t="s">
        <v>1649</v>
      </c>
      <c r="U359" s="244">
        <v>0</v>
      </c>
      <c r="V359" s="87" t="s">
        <v>1649</v>
      </c>
    </row>
    <row r="360" spans="1:22" ht="13.5" thickBot="1" x14ac:dyDescent="0.25">
      <c r="A360" s="48" t="s">
        <v>318</v>
      </c>
      <c r="B360" s="258" t="s">
        <v>317</v>
      </c>
      <c r="C360" s="255" t="s">
        <v>54</v>
      </c>
      <c r="D360" s="244">
        <v>76707</v>
      </c>
      <c r="E360" s="244">
        <v>14</v>
      </c>
      <c r="F360" s="251">
        <v>440</v>
      </c>
      <c r="G360" s="251">
        <v>11</v>
      </c>
      <c r="H360" s="244">
        <v>5</v>
      </c>
      <c r="I360" s="253">
        <v>104</v>
      </c>
      <c r="J360" s="253">
        <v>2.6</v>
      </c>
      <c r="K360" s="244">
        <v>19</v>
      </c>
      <c r="L360" s="251">
        <v>544</v>
      </c>
      <c r="M360" s="251">
        <v>13.6</v>
      </c>
      <c r="N360" s="244">
        <v>31</v>
      </c>
      <c r="O360" s="251">
        <v>599</v>
      </c>
      <c r="P360" s="251">
        <v>14.975</v>
      </c>
      <c r="Q360" s="244">
        <v>49</v>
      </c>
      <c r="R360" s="251">
        <v>1143</v>
      </c>
      <c r="S360" s="251">
        <v>28.574999999999999</v>
      </c>
      <c r="T360" s="257" t="s">
        <v>1649</v>
      </c>
      <c r="U360" s="244">
        <v>0</v>
      </c>
      <c r="V360" s="87" t="s">
        <v>1649</v>
      </c>
    </row>
    <row r="361" spans="1:22" ht="13.5" thickBot="1" x14ac:dyDescent="0.25">
      <c r="A361" s="48" t="s">
        <v>322</v>
      </c>
      <c r="B361" s="258" t="s">
        <v>321</v>
      </c>
      <c r="C361" s="255" t="s">
        <v>54</v>
      </c>
      <c r="D361" s="244">
        <v>188040</v>
      </c>
      <c r="E361" s="244">
        <v>20</v>
      </c>
      <c r="F361" s="251">
        <v>800</v>
      </c>
      <c r="G361" s="251">
        <v>20</v>
      </c>
      <c r="H361" s="244">
        <v>5</v>
      </c>
      <c r="I361" s="253">
        <v>200</v>
      </c>
      <c r="J361" s="253">
        <v>5</v>
      </c>
      <c r="K361" s="244">
        <v>25</v>
      </c>
      <c r="L361" s="251">
        <v>1000</v>
      </c>
      <c r="M361" s="251">
        <v>25</v>
      </c>
      <c r="N361" s="244">
        <v>137</v>
      </c>
      <c r="O361" s="251">
        <v>3260</v>
      </c>
      <c r="P361" s="251">
        <v>81.5</v>
      </c>
      <c r="Q361" s="244">
        <v>162</v>
      </c>
      <c r="R361" s="251">
        <v>4260</v>
      </c>
      <c r="S361" s="251">
        <v>106.5</v>
      </c>
      <c r="T361" s="87" t="s">
        <v>1649</v>
      </c>
      <c r="U361" s="244">
        <v>0</v>
      </c>
      <c r="V361" s="87" t="s">
        <v>1649</v>
      </c>
    </row>
    <row r="362" spans="1:22" ht="13.5" thickBot="1" x14ac:dyDescent="0.25">
      <c r="A362" s="48" t="s">
        <v>326</v>
      </c>
      <c r="B362" s="258" t="s">
        <v>325</v>
      </c>
      <c r="C362" s="255" t="s">
        <v>54</v>
      </c>
      <c r="D362" s="244">
        <v>51133</v>
      </c>
      <c r="E362" s="244">
        <v>18</v>
      </c>
      <c r="F362" s="251">
        <v>657</v>
      </c>
      <c r="G362" s="251">
        <v>16.425000000000001</v>
      </c>
      <c r="H362" s="244">
        <v>12</v>
      </c>
      <c r="I362" s="253">
        <v>16</v>
      </c>
      <c r="J362" s="253">
        <v>0.4</v>
      </c>
      <c r="K362" s="244">
        <v>18</v>
      </c>
      <c r="L362" s="251">
        <v>657</v>
      </c>
      <c r="M362" s="251">
        <v>16.425000000000001</v>
      </c>
      <c r="N362" s="244">
        <v>90</v>
      </c>
      <c r="O362" s="251">
        <v>1152.3800000000001</v>
      </c>
      <c r="P362" s="251">
        <v>28.8095</v>
      </c>
      <c r="Q362" s="244">
        <v>108</v>
      </c>
      <c r="R362" s="251">
        <v>1809.38</v>
      </c>
      <c r="S362" s="251">
        <v>45.234499999999997</v>
      </c>
      <c r="T362" s="87" t="s">
        <v>1649</v>
      </c>
      <c r="U362" s="244">
        <v>0</v>
      </c>
      <c r="V362" s="87" t="s">
        <v>1649</v>
      </c>
    </row>
    <row r="363" spans="1:22" ht="13.5" thickBot="1" x14ac:dyDescent="0.25">
      <c r="A363" s="48" t="s">
        <v>352</v>
      </c>
      <c r="B363" s="258" t="s">
        <v>351</v>
      </c>
      <c r="C363" s="255" t="s">
        <v>54</v>
      </c>
      <c r="D363" s="244">
        <v>102423</v>
      </c>
      <c r="E363" s="244">
        <v>13</v>
      </c>
      <c r="F363" s="251">
        <v>479.92</v>
      </c>
      <c r="G363" s="251">
        <v>11.997999999999999</v>
      </c>
      <c r="H363" s="244">
        <v>2</v>
      </c>
      <c r="I363" s="253">
        <v>80</v>
      </c>
      <c r="J363" s="253">
        <v>2</v>
      </c>
      <c r="K363" s="244">
        <v>15</v>
      </c>
      <c r="L363" s="251">
        <v>559.91999999999996</v>
      </c>
      <c r="M363" s="251">
        <v>13.997999999999999</v>
      </c>
      <c r="N363" s="244">
        <v>64</v>
      </c>
      <c r="O363" s="251">
        <v>1496.6</v>
      </c>
      <c r="P363" s="251">
        <v>37.414999999999999</v>
      </c>
      <c r="Q363" s="244">
        <v>79</v>
      </c>
      <c r="R363" s="251">
        <v>2056.52</v>
      </c>
      <c r="S363" s="251">
        <v>51.412999999999997</v>
      </c>
      <c r="T363" s="87" t="s">
        <v>1649</v>
      </c>
      <c r="U363" s="244">
        <v>0</v>
      </c>
      <c r="V363" s="87" t="s">
        <v>1649</v>
      </c>
    </row>
    <row r="364" spans="1:22" ht="13.5" thickBot="1" x14ac:dyDescent="0.25">
      <c r="A364" s="48" t="s">
        <v>374</v>
      </c>
      <c r="B364" s="258" t="s">
        <v>373</v>
      </c>
      <c r="C364" s="255" t="s">
        <v>54</v>
      </c>
      <c r="D364" s="244">
        <v>52529</v>
      </c>
      <c r="E364" s="244">
        <v>5</v>
      </c>
      <c r="F364" s="251">
        <v>170</v>
      </c>
      <c r="G364" s="251">
        <v>4.25</v>
      </c>
      <c r="H364" s="244">
        <v>0</v>
      </c>
      <c r="I364" s="253">
        <v>0</v>
      </c>
      <c r="J364" s="253">
        <v>0</v>
      </c>
      <c r="K364" s="244">
        <v>5</v>
      </c>
      <c r="L364" s="251">
        <v>170</v>
      </c>
      <c r="M364" s="251">
        <v>4.25</v>
      </c>
      <c r="N364" s="244">
        <v>36</v>
      </c>
      <c r="O364" s="251">
        <v>796.75</v>
      </c>
      <c r="P364" s="251">
        <v>19.918749999999999</v>
      </c>
      <c r="Q364" s="244">
        <v>41</v>
      </c>
      <c r="R364" s="251">
        <v>966.75</v>
      </c>
      <c r="S364" s="251">
        <v>24.168749999999999</v>
      </c>
      <c r="T364" s="87" t="s">
        <v>1649</v>
      </c>
      <c r="U364" s="244">
        <v>0</v>
      </c>
      <c r="V364" s="87" t="s">
        <v>1649</v>
      </c>
    </row>
    <row r="365" spans="1:22" ht="13.5" thickBot="1" x14ac:dyDescent="0.25">
      <c r="A365" s="48" t="s">
        <v>394</v>
      </c>
      <c r="B365" s="258" t="s">
        <v>393</v>
      </c>
      <c r="C365" s="255" t="s">
        <v>54</v>
      </c>
      <c r="D365" s="244">
        <v>160248</v>
      </c>
      <c r="E365" s="244">
        <v>19</v>
      </c>
      <c r="F365" s="251">
        <v>760</v>
      </c>
      <c r="G365" s="251">
        <v>19</v>
      </c>
      <c r="H365" s="244">
        <v>5</v>
      </c>
      <c r="I365" s="253">
        <v>200</v>
      </c>
      <c r="J365" s="253">
        <v>5</v>
      </c>
      <c r="K365" s="244">
        <v>24</v>
      </c>
      <c r="L365" s="251">
        <v>960</v>
      </c>
      <c r="M365" s="251">
        <v>24</v>
      </c>
      <c r="N365" s="244">
        <v>133</v>
      </c>
      <c r="O365" s="251">
        <v>3203</v>
      </c>
      <c r="P365" s="251">
        <v>80.075000000000003</v>
      </c>
      <c r="Q365" s="244">
        <v>157</v>
      </c>
      <c r="R365" s="251">
        <v>4163</v>
      </c>
      <c r="S365" s="251">
        <v>104.075</v>
      </c>
      <c r="T365" s="87" t="s">
        <v>1649</v>
      </c>
      <c r="U365" s="244">
        <v>0</v>
      </c>
      <c r="V365" s="87" t="s">
        <v>1649</v>
      </c>
    </row>
    <row r="366" spans="1:22" ht="13.5" thickBot="1" x14ac:dyDescent="0.25">
      <c r="A366" s="48" t="s">
        <v>402</v>
      </c>
      <c r="B366" s="258" t="s">
        <v>401</v>
      </c>
      <c r="C366" s="255" t="s">
        <v>54</v>
      </c>
      <c r="D366" s="244">
        <v>123979</v>
      </c>
      <c r="E366" s="244">
        <v>25</v>
      </c>
      <c r="F366" s="251">
        <v>980</v>
      </c>
      <c r="G366" s="251">
        <v>24.5</v>
      </c>
      <c r="H366" s="244">
        <v>2</v>
      </c>
      <c r="I366" s="253">
        <v>70</v>
      </c>
      <c r="J366" s="253">
        <v>1.75</v>
      </c>
      <c r="K366" s="244">
        <v>28</v>
      </c>
      <c r="L366" s="251">
        <v>1130</v>
      </c>
      <c r="M366" s="251">
        <v>28.25</v>
      </c>
      <c r="N366" s="244">
        <v>147</v>
      </c>
      <c r="O366" s="251">
        <v>4105</v>
      </c>
      <c r="P366" s="251">
        <v>102.625</v>
      </c>
      <c r="Q366" s="244">
        <v>174</v>
      </c>
      <c r="R366" s="251">
        <v>5235</v>
      </c>
      <c r="S366" s="251">
        <v>130.875</v>
      </c>
      <c r="T366" s="257" t="s">
        <v>1648</v>
      </c>
      <c r="U366" s="244">
        <v>24</v>
      </c>
      <c r="V366" s="87" t="s">
        <v>1649</v>
      </c>
    </row>
    <row r="367" spans="1:22" ht="13.5" thickBot="1" x14ac:dyDescent="0.25">
      <c r="A367" s="48" t="s">
        <v>406</v>
      </c>
      <c r="B367" s="258" t="s">
        <v>405</v>
      </c>
      <c r="C367" s="255" t="s">
        <v>54</v>
      </c>
      <c r="D367" s="244">
        <v>395660</v>
      </c>
      <c r="E367" s="244">
        <v>71</v>
      </c>
      <c r="F367" s="251">
        <v>2608</v>
      </c>
      <c r="G367" s="251">
        <v>65.2</v>
      </c>
      <c r="H367" s="244">
        <v>2</v>
      </c>
      <c r="I367" s="253">
        <v>80</v>
      </c>
      <c r="J367" s="253">
        <v>2</v>
      </c>
      <c r="K367" s="244">
        <v>73</v>
      </c>
      <c r="L367" s="251">
        <v>2688</v>
      </c>
      <c r="M367" s="251">
        <v>67.2</v>
      </c>
      <c r="N367" s="244">
        <v>249</v>
      </c>
      <c r="O367" s="251">
        <v>6767</v>
      </c>
      <c r="P367" s="251">
        <v>169.17500000000001</v>
      </c>
      <c r="Q367" s="244">
        <v>322</v>
      </c>
      <c r="R367" s="251">
        <v>9455</v>
      </c>
      <c r="S367" s="251">
        <v>236.375</v>
      </c>
      <c r="T367" s="87" t="s">
        <v>1649</v>
      </c>
      <c r="U367" s="244">
        <v>0</v>
      </c>
      <c r="V367" s="87" t="s">
        <v>1649</v>
      </c>
    </row>
    <row r="368" spans="1:22" ht="13.5" thickBot="1" x14ac:dyDescent="0.25">
      <c r="A368" s="48" t="s">
        <v>417</v>
      </c>
      <c r="B368" s="258" t="s">
        <v>416</v>
      </c>
      <c r="C368" s="255" t="s">
        <v>54</v>
      </c>
      <c r="D368" s="244">
        <v>60006</v>
      </c>
      <c r="E368" s="244">
        <v>5</v>
      </c>
      <c r="F368" s="251">
        <v>200</v>
      </c>
      <c r="G368" s="251">
        <v>5</v>
      </c>
      <c r="H368" s="244">
        <v>14</v>
      </c>
      <c r="I368" s="253">
        <v>340</v>
      </c>
      <c r="J368" s="253">
        <v>8.5</v>
      </c>
      <c r="K368" s="244">
        <v>19</v>
      </c>
      <c r="L368" s="251">
        <v>540</v>
      </c>
      <c r="M368" s="251">
        <v>13.5</v>
      </c>
      <c r="N368" s="244">
        <v>20</v>
      </c>
      <c r="O368" s="251">
        <v>291</v>
      </c>
      <c r="P368" s="251">
        <v>7.2750000000000004</v>
      </c>
      <c r="Q368" s="244">
        <v>39</v>
      </c>
      <c r="R368" s="251">
        <v>831</v>
      </c>
      <c r="S368" s="251">
        <v>20.774999999999999</v>
      </c>
      <c r="T368" s="87" t="s">
        <v>1648</v>
      </c>
      <c r="U368" s="244">
        <v>1260</v>
      </c>
      <c r="V368" s="87" t="s">
        <v>1649</v>
      </c>
    </row>
    <row r="369" spans="1:22" ht="13.5" thickBot="1" x14ac:dyDescent="0.25">
      <c r="A369" s="48" t="s">
        <v>443</v>
      </c>
      <c r="B369" s="258" t="s">
        <v>442</v>
      </c>
      <c r="C369" s="255" t="s">
        <v>54</v>
      </c>
      <c r="D369" s="244">
        <v>96942</v>
      </c>
      <c r="E369" s="244">
        <v>18</v>
      </c>
      <c r="F369" s="251">
        <v>640</v>
      </c>
      <c r="G369" s="251">
        <v>16</v>
      </c>
      <c r="H369" s="244">
        <v>2</v>
      </c>
      <c r="I369" s="253">
        <v>40</v>
      </c>
      <c r="J369" s="253">
        <v>1</v>
      </c>
      <c r="K369" s="244">
        <v>18</v>
      </c>
      <c r="L369" s="251">
        <v>640</v>
      </c>
      <c r="M369" s="251">
        <v>16</v>
      </c>
      <c r="N369" s="244">
        <v>33</v>
      </c>
      <c r="O369" s="251">
        <v>819</v>
      </c>
      <c r="P369" s="251">
        <v>20.475000000000001</v>
      </c>
      <c r="Q369" s="244">
        <v>51</v>
      </c>
      <c r="R369" s="251">
        <v>1459</v>
      </c>
      <c r="S369" s="251">
        <v>36.475000000000001</v>
      </c>
      <c r="T369" s="87" t="s">
        <v>1648</v>
      </c>
      <c r="U369" s="244">
        <v>6624</v>
      </c>
      <c r="V369" s="87" t="s">
        <v>1649</v>
      </c>
    </row>
    <row r="370" spans="1:22" ht="13.5" thickBot="1" x14ac:dyDescent="0.25">
      <c r="A370" s="48" t="s">
        <v>508</v>
      </c>
      <c r="B370" s="258" t="s">
        <v>507</v>
      </c>
      <c r="C370" s="255" t="s">
        <v>54</v>
      </c>
      <c r="D370" s="244">
        <v>149955</v>
      </c>
      <c r="E370" s="244">
        <v>22</v>
      </c>
      <c r="F370" s="251">
        <v>799</v>
      </c>
      <c r="G370" s="251">
        <v>19.975000000000001</v>
      </c>
      <c r="H370" s="244">
        <v>1</v>
      </c>
      <c r="I370" s="253">
        <v>40</v>
      </c>
      <c r="J370" s="253">
        <v>1</v>
      </c>
      <c r="K370" s="244">
        <v>23</v>
      </c>
      <c r="L370" s="251">
        <v>839</v>
      </c>
      <c r="M370" s="251">
        <v>20.975000000000001</v>
      </c>
      <c r="N370" s="244">
        <v>126</v>
      </c>
      <c r="O370" s="251">
        <v>3068.5</v>
      </c>
      <c r="P370" s="251">
        <v>76.712500000000006</v>
      </c>
      <c r="Q370" s="244">
        <v>149</v>
      </c>
      <c r="R370" s="251">
        <v>3907.5</v>
      </c>
      <c r="S370" s="251">
        <v>97.6875</v>
      </c>
      <c r="T370" s="87" t="s">
        <v>1648</v>
      </c>
      <c r="U370" s="244">
        <v>5800</v>
      </c>
      <c r="V370" s="87" t="s">
        <v>1648</v>
      </c>
    </row>
    <row r="371" spans="1:22" ht="13.5" thickBot="1" x14ac:dyDescent="0.25">
      <c r="A371" s="48" t="s">
        <v>522</v>
      </c>
      <c r="B371" s="258" t="s">
        <v>521</v>
      </c>
      <c r="C371" s="255" t="s">
        <v>54</v>
      </c>
      <c r="D371" s="244">
        <v>105852</v>
      </c>
      <c r="E371" s="244">
        <v>14</v>
      </c>
      <c r="F371" s="251">
        <v>520</v>
      </c>
      <c r="G371" s="251">
        <v>13</v>
      </c>
      <c r="H371" s="244">
        <v>3</v>
      </c>
      <c r="I371" s="253">
        <v>120</v>
      </c>
      <c r="J371" s="253">
        <v>3</v>
      </c>
      <c r="K371" s="244">
        <v>16</v>
      </c>
      <c r="L371" s="251">
        <v>640</v>
      </c>
      <c r="M371" s="251">
        <v>16</v>
      </c>
      <c r="N371" s="244">
        <v>50</v>
      </c>
      <c r="O371" s="251">
        <v>1168</v>
      </c>
      <c r="P371" s="251">
        <v>29.2</v>
      </c>
      <c r="Q371" s="244">
        <v>66</v>
      </c>
      <c r="R371" s="251">
        <v>1808</v>
      </c>
      <c r="S371" s="251">
        <v>45.2</v>
      </c>
      <c r="T371" s="87" t="s">
        <v>1649</v>
      </c>
      <c r="U371" s="244">
        <v>0</v>
      </c>
      <c r="V371" s="87" t="s">
        <v>1649</v>
      </c>
    </row>
    <row r="372" spans="1:22" ht="13.5" thickBot="1" x14ac:dyDescent="0.25">
      <c r="A372" s="48" t="s">
        <v>542</v>
      </c>
      <c r="B372" s="258" t="s">
        <v>541</v>
      </c>
      <c r="C372" s="255" t="s">
        <v>54</v>
      </c>
      <c r="D372" s="244">
        <v>55374</v>
      </c>
      <c r="E372" s="244">
        <v>18</v>
      </c>
      <c r="F372" s="251">
        <v>544</v>
      </c>
      <c r="G372" s="251">
        <v>13.6</v>
      </c>
      <c r="H372" s="244">
        <v>0</v>
      </c>
      <c r="I372" s="253">
        <v>0</v>
      </c>
      <c r="J372" s="253">
        <v>0</v>
      </c>
      <c r="K372" s="244">
        <v>18</v>
      </c>
      <c r="L372" s="251">
        <v>544</v>
      </c>
      <c r="M372" s="251">
        <v>13.6</v>
      </c>
      <c r="N372" s="244">
        <v>41</v>
      </c>
      <c r="O372" s="251">
        <v>992</v>
      </c>
      <c r="P372" s="251">
        <v>24.8</v>
      </c>
      <c r="Q372" s="244">
        <v>59</v>
      </c>
      <c r="R372" s="251">
        <v>1536</v>
      </c>
      <c r="S372" s="251">
        <v>38.4</v>
      </c>
      <c r="T372" s="87" t="s">
        <v>1649</v>
      </c>
      <c r="U372" s="244">
        <v>0</v>
      </c>
      <c r="V372" s="87" t="s">
        <v>1649</v>
      </c>
    </row>
    <row r="373" spans="1:22" ht="13.5" thickBot="1" x14ac:dyDescent="0.25">
      <c r="A373" s="48" t="s">
        <v>590</v>
      </c>
      <c r="B373" s="258" t="s">
        <v>589</v>
      </c>
      <c r="C373" s="255" t="s">
        <v>54</v>
      </c>
      <c r="D373" s="244">
        <v>59515</v>
      </c>
      <c r="E373" s="244">
        <v>5</v>
      </c>
      <c r="F373" s="251">
        <v>200</v>
      </c>
      <c r="G373" s="251">
        <v>5</v>
      </c>
      <c r="H373" s="244">
        <v>1</v>
      </c>
      <c r="I373" s="253">
        <v>40</v>
      </c>
      <c r="J373" s="253">
        <v>1</v>
      </c>
      <c r="K373" s="244">
        <v>6</v>
      </c>
      <c r="L373" s="251">
        <v>240</v>
      </c>
      <c r="M373" s="251">
        <v>6</v>
      </c>
      <c r="N373" s="244">
        <v>5</v>
      </c>
      <c r="O373" s="251">
        <v>150</v>
      </c>
      <c r="P373" s="251">
        <v>3.75</v>
      </c>
      <c r="Q373" s="244">
        <v>11</v>
      </c>
      <c r="R373" s="251">
        <v>390</v>
      </c>
      <c r="S373" s="251">
        <v>9.75</v>
      </c>
      <c r="T373" s="87" t="s">
        <v>1649</v>
      </c>
      <c r="U373" s="244">
        <v>0</v>
      </c>
      <c r="V373" s="87" t="s">
        <v>1648</v>
      </c>
    </row>
    <row r="374" spans="1:22" ht="13.5" thickBot="1" x14ac:dyDescent="0.25">
      <c r="A374" s="48" t="s">
        <v>594</v>
      </c>
      <c r="B374" s="258" t="s">
        <v>593</v>
      </c>
      <c r="C374" s="255" t="s">
        <v>54</v>
      </c>
      <c r="D374" s="244">
        <v>52170</v>
      </c>
      <c r="E374" s="244">
        <v>14</v>
      </c>
      <c r="F374" s="251">
        <v>470</v>
      </c>
      <c r="G374" s="251">
        <v>11.75</v>
      </c>
      <c r="H374" s="244">
        <v>5</v>
      </c>
      <c r="I374" s="253">
        <v>110</v>
      </c>
      <c r="J374" s="253">
        <v>2.75</v>
      </c>
      <c r="K374" s="244">
        <v>19</v>
      </c>
      <c r="L374" s="251">
        <v>580</v>
      </c>
      <c r="M374" s="251">
        <v>14.5</v>
      </c>
      <c r="N374" s="244">
        <v>27</v>
      </c>
      <c r="O374" s="251">
        <v>645.33000000000004</v>
      </c>
      <c r="P374" s="251">
        <v>16.13325</v>
      </c>
      <c r="Q374" s="244">
        <v>46</v>
      </c>
      <c r="R374" s="251">
        <v>1225.33</v>
      </c>
      <c r="S374" s="251">
        <v>30.63325</v>
      </c>
      <c r="T374" s="87" t="s">
        <v>1649</v>
      </c>
      <c r="U374" s="244">
        <v>0</v>
      </c>
      <c r="V374" s="87" t="s">
        <v>1649</v>
      </c>
    </row>
    <row r="375" spans="1:22" ht="13.5" thickBot="1" x14ac:dyDescent="0.25">
      <c r="A375" s="48" t="s">
        <v>604</v>
      </c>
      <c r="B375" s="258" t="s">
        <v>603</v>
      </c>
      <c r="C375" s="255" t="s">
        <v>54</v>
      </c>
      <c r="D375" s="244">
        <v>124690</v>
      </c>
      <c r="E375" s="244">
        <v>10</v>
      </c>
      <c r="F375" s="251">
        <v>385</v>
      </c>
      <c r="G375" s="251">
        <v>9.625</v>
      </c>
      <c r="H375" s="244">
        <v>0</v>
      </c>
      <c r="I375" s="253">
        <v>0</v>
      </c>
      <c r="J375" s="253">
        <v>0</v>
      </c>
      <c r="K375" s="244">
        <v>10</v>
      </c>
      <c r="L375" s="251">
        <v>385</v>
      </c>
      <c r="M375" s="251">
        <v>9.625</v>
      </c>
      <c r="N375" s="244">
        <v>70</v>
      </c>
      <c r="O375" s="251">
        <v>1300</v>
      </c>
      <c r="P375" s="251">
        <v>32.5</v>
      </c>
      <c r="Q375" s="244">
        <v>80</v>
      </c>
      <c r="R375" s="251">
        <v>1685</v>
      </c>
      <c r="S375" s="251">
        <v>42.125</v>
      </c>
      <c r="T375" s="87" t="s">
        <v>1648</v>
      </c>
      <c r="U375" s="244">
        <v>10</v>
      </c>
      <c r="V375" s="87" t="s">
        <v>1649</v>
      </c>
    </row>
    <row r="376" spans="1:22" ht="13.5" thickBot="1" x14ac:dyDescent="0.25">
      <c r="A376" s="48" t="s">
        <v>638</v>
      </c>
      <c r="B376" s="258" t="s">
        <v>637</v>
      </c>
      <c r="C376" s="255" t="s">
        <v>54</v>
      </c>
      <c r="D376" s="244">
        <v>100485</v>
      </c>
      <c r="E376" s="244">
        <v>54</v>
      </c>
      <c r="F376" s="251">
        <v>911</v>
      </c>
      <c r="G376" s="251">
        <v>22.774999999999999</v>
      </c>
      <c r="H376" s="244">
        <v>1</v>
      </c>
      <c r="I376" s="253">
        <v>38</v>
      </c>
      <c r="J376" s="253">
        <v>0.95</v>
      </c>
      <c r="K376" s="244">
        <v>55</v>
      </c>
      <c r="L376" s="251">
        <v>948</v>
      </c>
      <c r="M376" s="251">
        <v>23.7</v>
      </c>
      <c r="N376" s="244">
        <v>88</v>
      </c>
      <c r="O376" s="251">
        <v>1703.5</v>
      </c>
      <c r="P376" s="251">
        <v>42.587499999999999</v>
      </c>
      <c r="Q376" s="244">
        <v>143</v>
      </c>
      <c r="R376" s="251">
        <v>2651.5</v>
      </c>
      <c r="S376" s="251">
        <v>66.287499999999994</v>
      </c>
      <c r="T376" s="87" t="s">
        <v>1648</v>
      </c>
      <c r="U376" s="244">
        <v>245</v>
      </c>
      <c r="V376" s="87" t="s">
        <v>1649</v>
      </c>
    </row>
    <row r="377" spans="1:22" ht="13.5" thickBot="1" x14ac:dyDescent="0.25">
      <c r="A377" s="48" t="s">
        <v>648</v>
      </c>
      <c r="B377" s="258" t="s">
        <v>647</v>
      </c>
      <c r="C377" s="255" t="s">
        <v>54</v>
      </c>
      <c r="D377" s="244">
        <v>57236</v>
      </c>
      <c r="E377" s="244">
        <v>17</v>
      </c>
      <c r="F377" s="251">
        <v>435</v>
      </c>
      <c r="G377" s="251">
        <v>10.875</v>
      </c>
      <c r="H377" s="244">
        <v>0</v>
      </c>
      <c r="I377" s="253">
        <v>0</v>
      </c>
      <c r="J377" s="253">
        <v>0</v>
      </c>
      <c r="K377" s="244">
        <v>17</v>
      </c>
      <c r="L377" s="251">
        <v>435</v>
      </c>
      <c r="M377" s="251">
        <v>10.875</v>
      </c>
      <c r="N377" s="244">
        <v>30</v>
      </c>
      <c r="O377" s="251">
        <v>484</v>
      </c>
      <c r="P377" s="251">
        <v>12.1</v>
      </c>
      <c r="Q377" s="244">
        <v>47</v>
      </c>
      <c r="R377" s="251">
        <v>919</v>
      </c>
      <c r="S377" s="251">
        <v>22.975000000000001</v>
      </c>
      <c r="T377" s="87" t="s">
        <v>1649</v>
      </c>
      <c r="U377" s="244">
        <v>0</v>
      </c>
      <c r="V377" s="87" t="s">
        <v>1649</v>
      </c>
    </row>
    <row r="378" spans="1:22" ht="13.5" thickBot="1" x14ac:dyDescent="0.25">
      <c r="A378" s="48" t="s">
        <v>654</v>
      </c>
      <c r="B378" s="258" t="s">
        <v>653</v>
      </c>
      <c r="C378" s="255" t="s">
        <v>54</v>
      </c>
      <c r="D378" s="244">
        <v>160312</v>
      </c>
      <c r="E378" s="244">
        <v>15</v>
      </c>
      <c r="F378" s="251">
        <v>487.5</v>
      </c>
      <c r="G378" s="251">
        <v>12.1875</v>
      </c>
      <c r="H378" s="244">
        <v>9</v>
      </c>
      <c r="I378" s="253">
        <v>337.5</v>
      </c>
      <c r="J378" s="253">
        <v>8.4375</v>
      </c>
      <c r="K378" s="244">
        <v>24</v>
      </c>
      <c r="L378" s="251">
        <v>825</v>
      </c>
      <c r="M378" s="251">
        <v>20.625</v>
      </c>
      <c r="N378" s="244">
        <v>91</v>
      </c>
      <c r="O378" s="251">
        <v>1946</v>
      </c>
      <c r="P378" s="251">
        <v>48.65</v>
      </c>
      <c r="Q378" s="244">
        <v>114</v>
      </c>
      <c r="R378" s="251">
        <v>2771</v>
      </c>
      <c r="S378" s="251">
        <v>69.275000000000006</v>
      </c>
      <c r="T378" s="87" t="s">
        <v>1648</v>
      </c>
      <c r="U378" s="244">
        <v>20250</v>
      </c>
      <c r="V378" s="87" t="s">
        <v>1649</v>
      </c>
    </row>
    <row r="379" spans="1:22" ht="13.5" thickBot="1" x14ac:dyDescent="0.25">
      <c r="A379" s="48" t="s">
        <v>656</v>
      </c>
      <c r="B379" s="258" t="s">
        <v>655</v>
      </c>
      <c r="C379" s="255" t="s">
        <v>54</v>
      </c>
      <c r="D379" s="244">
        <v>59715</v>
      </c>
      <c r="E379" s="244">
        <v>7</v>
      </c>
      <c r="F379" s="251">
        <v>250</v>
      </c>
      <c r="G379" s="251">
        <v>6.25</v>
      </c>
      <c r="H379" s="244">
        <v>1</v>
      </c>
      <c r="I379" s="253">
        <v>15</v>
      </c>
      <c r="J379" s="253">
        <v>0.375</v>
      </c>
      <c r="K379" s="244">
        <v>8</v>
      </c>
      <c r="L379" s="251">
        <v>265</v>
      </c>
      <c r="M379" s="251">
        <v>6.625</v>
      </c>
      <c r="N379" s="244">
        <v>14</v>
      </c>
      <c r="O379" s="251">
        <v>390</v>
      </c>
      <c r="P379" s="251">
        <v>9.75</v>
      </c>
      <c r="Q379" s="244">
        <v>21</v>
      </c>
      <c r="R379" s="251">
        <v>655</v>
      </c>
      <c r="S379" s="251">
        <v>16.375</v>
      </c>
      <c r="T379" s="87" t="s">
        <v>1649</v>
      </c>
      <c r="U379" s="244">
        <v>0</v>
      </c>
      <c r="V379" s="87" t="s">
        <v>1649</v>
      </c>
    </row>
    <row r="380" spans="1:22" ht="13.5" thickBot="1" x14ac:dyDescent="0.25">
      <c r="A380" s="48" t="s">
        <v>684</v>
      </c>
      <c r="B380" s="258" t="s">
        <v>683</v>
      </c>
      <c r="C380" s="255" t="s">
        <v>54</v>
      </c>
      <c r="D380" s="244">
        <v>73804</v>
      </c>
      <c r="E380" s="244">
        <v>5</v>
      </c>
      <c r="F380" s="251">
        <v>187.5</v>
      </c>
      <c r="G380" s="251">
        <v>4.6875</v>
      </c>
      <c r="H380" s="244">
        <v>6</v>
      </c>
      <c r="I380" s="253">
        <v>10</v>
      </c>
      <c r="J380" s="253">
        <v>0.25</v>
      </c>
      <c r="K380" s="244">
        <v>11</v>
      </c>
      <c r="L380" s="251">
        <v>197.5</v>
      </c>
      <c r="M380" s="251">
        <v>4.9375</v>
      </c>
      <c r="N380" s="244">
        <v>13</v>
      </c>
      <c r="O380" s="251">
        <v>292</v>
      </c>
      <c r="P380" s="251">
        <v>7.3</v>
      </c>
      <c r="Q380" s="244">
        <v>24</v>
      </c>
      <c r="R380" s="251">
        <v>489.5</v>
      </c>
      <c r="S380" s="251">
        <v>12.237500000000001</v>
      </c>
      <c r="T380" s="87" t="s">
        <v>1649</v>
      </c>
      <c r="U380" s="244">
        <v>0</v>
      </c>
      <c r="V380" s="87" t="s">
        <v>1649</v>
      </c>
    </row>
    <row r="381" spans="1:22" ht="13.5" thickBot="1" x14ac:dyDescent="0.25">
      <c r="A381" s="48" t="s">
        <v>696</v>
      </c>
      <c r="B381" s="258" t="s">
        <v>695</v>
      </c>
      <c r="C381" s="255" t="s">
        <v>54</v>
      </c>
      <c r="D381" s="244">
        <v>75814</v>
      </c>
      <c r="E381" s="244">
        <v>18</v>
      </c>
      <c r="F381" s="251">
        <v>720</v>
      </c>
      <c r="G381" s="251">
        <v>18</v>
      </c>
      <c r="H381" s="244">
        <v>0</v>
      </c>
      <c r="I381" s="253">
        <v>0</v>
      </c>
      <c r="J381" s="253">
        <v>0</v>
      </c>
      <c r="K381" s="244">
        <v>18</v>
      </c>
      <c r="L381" s="251">
        <v>720</v>
      </c>
      <c r="M381" s="251">
        <v>18</v>
      </c>
      <c r="N381" s="244">
        <v>88</v>
      </c>
      <c r="O381" s="251">
        <v>1350</v>
      </c>
      <c r="P381" s="251">
        <v>33.75</v>
      </c>
      <c r="Q381" s="244">
        <v>106</v>
      </c>
      <c r="R381" s="251">
        <v>2070</v>
      </c>
      <c r="S381" s="251">
        <v>51.75</v>
      </c>
      <c r="T381" s="257" t="s">
        <v>1649</v>
      </c>
      <c r="U381" s="244">
        <v>0</v>
      </c>
      <c r="V381" s="87" t="s">
        <v>1649</v>
      </c>
    </row>
    <row r="382" spans="1:22" ht="13.5" thickBot="1" x14ac:dyDescent="0.25">
      <c r="A382" s="48" t="s">
        <v>710</v>
      </c>
      <c r="B382" s="258" t="s">
        <v>709</v>
      </c>
      <c r="C382" s="255" t="s">
        <v>54</v>
      </c>
      <c r="D382" s="244">
        <v>129699</v>
      </c>
      <c r="E382" s="244">
        <v>15</v>
      </c>
      <c r="F382" s="251">
        <v>458</v>
      </c>
      <c r="G382" s="251">
        <v>11.45</v>
      </c>
      <c r="H382" s="244">
        <v>0</v>
      </c>
      <c r="I382" s="253">
        <v>0</v>
      </c>
      <c r="J382" s="253">
        <v>0</v>
      </c>
      <c r="K382" s="244">
        <v>15</v>
      </c>
      <c r="L382" s="251">
        <v>458</v>
      </c>
      <c r="M382" s="251">
        <v>11.45</v>
      </c>
      <c r="N382" s="244">
        <v>22</v>
      </c>
      <c r="O382" s="251">
        <v>605</v>
      </c>
      <c r="P382" s="251">
        <v>15.125</v>
      </c>
      <c r="Q382" s="244">
        <v>37</v>
      </c>
      <c r="R382" s="251">
        <v>1063</v>
      </c>
      <c r="S382" s="251">
        <v>26.574999999999999</v>
      </c>
      <c r="T382" s="87" t="s">
        <v>1649</v>
      </c>
      <c r="U382" s="244">
        <v>0</v>
      </c>
      <c r="V382" s="87" t="s">
        <v>1649</v>
      </c>
    </row>
    <row r="383" spans="1:22" ht="13.5" thickBot="1" x14ac:dyDescent="0.25">
      <c r="A383" s="48" t="s">
        <v>726</v>
      </c>
      <c r="B383" s="258" t="s">
        <v>725</v>
      </c>
      <c r="C383" s="255" t="s">
        <v>54</v>
      </c>
      <c r="D383" s="244">
        <v>63131</v>
      </c>
      <c r="E383" s="244">
        <v>5</v>
      </c>
      <c r="F383" s="251">
        <v>200</v>
      </c>
      <c r="G383" s="251">
        <v>5</v>
      </c>
      <c r="H383" s="244">
        <v>0</v>
      </c>
      <c r="I383" s="253">
        <v>0</v>
      </c>
      <c r="J383" s="253">
        <v>0</v>
      </c>
      <c r="K383" s="244">
        <v>5</v>
      </c>
      <c r="L383" s="251">
        <v>200</v>
      </c>
      <c r="M383" s="251">
        <v>5</v>
      </c>
      <c r="N383" s="244">
        <v>16</v>
      </c>
      <c r="O383" s="251">
        <v>358</v>
      </c>
      <c r="P383" s="251">
        <v>8.9499999999999993</v>
      </c>
      <c r="Q383" s="244">
        <v>21</v>
      </c>
      <c r="R383" s="251">
        <v>558</v>
      </c>
      <c r="S383" s="251">
        <v>13.95</v>
      </c>
      <c r="T383" s="87" t="s">
        <v>1649</v>
      </c>
      <c r="U383" s="244">
        <v>0</v>
      </c>
      <c r="V383" s="87" t="s">
        <v>1649</v>
      </c>
    </row>
    <row r="384" spans="1:22" ht="13.5" thickBot="1" x14ac:dyDescent="0.25">
      <c r="A384" s="48" t="s">
        <v>752</v>
      </c>
      <c r="B384" s="258" t="s">
        <v>751</v>
      </c>
      <c r="C384" s="255" t="s">
        <v>54</v>
      </c>
      <c r="D384" s="244">
        <v>97396</v>
      </c>
      <c r="E384" s="244">
        <v>8</v>
      </c>
      <c r="F384" s="251">
        <v>320</v>
      </c>
      <c r="G384" s="251">
        <v>8</v>
      </c>
      <c r="H384" s="244">
        <v>1</v>
      </c>
      <c r="I384" s="253">
        <v>40</v>
      </c>
      <c r="J384" s="253">
        <v>1</v>
      </c>
      <c r="K384" s="244">
        <v>9</v>
      </c>
      <c r="L384" s="251">
        <v>360</v>
      </c>
      <c r="M384" s="251">
        <v>9</v>
      </c>
      <c r="N384" s="244">
        <v>72</v>
      </c>
      <c r="O384" s="251">
        <v>1742</v>
      </c>
      <c r="P384" s="251">
        <v>43.55</v>
      </c>
      <c r="Q384" s="244">
        <v>80</v>
      </c>
      <c r="R384" s="251">
        <v>2102</v>
      </c>
      <c r="S384" s="251">
        <v>52.55</v>
      </c>
      <c r="T384" s="257" t="s">
        <v>1648</v>
      </c>
      <c r="U384" s="244">
        <v>2256</v>
      </c>
      <c r="V384" s="87" t="s">
        <v>1649</v>
      </c>
    </row>
    <row r="385" spans="1:22" ht="13.5" thickBot="1" x14ac:dyDescent="0.25">
      <c r="A385" s="48" t="s">
        <v>754</v>
      </c>
      <c r="B385" s="258" t="s">
        <v>1614</v>
      </c>
      <c r="C385" s="255" t="s">
        <v>54</v>
      </c>
      <c r="D385" s="244">
        <v>72726</v>
      </c>
      <c r="E385" s="244">
        <v>4</v>
      </c>
      <c r="F385" s="251">
        <v>160</v>
      </c>
      <c r="G385" s="251">
        <v>4</v>
      </c>
      <c r="H385" s="244">
        <v>1</v>
      </c>
      <c r="I385" s="253">
        <v>40</v>
      </c>
      <c r="J385" s="253">
        <v>1</v>
      </c>
      <c r="K385" s="244">
        <v>5</v>
      </c>
      <c r="L385" s="251">
        <v>200</v>
      </c>
      <c r="M385" s="251">
        <v>5</v>
      </c>
      <c r="N385" s="244">
        <v>9</v>
      </c>
      <c r="O385" s="251">
        <v>186</v>
      </c>
      <c r="P385" s="251">
        <v>4.6500000000000004</v>
      </c>
      <c r="Q385" s="244">
        <v>14</v>
      </c>
      <c r="R385" s="251">
        <v>386</v>
      </c>
      <c r="S385" s="251">
        <v>9.65</v>
      </c>
      <c r="T385" s="87" t="s">
        <v>1648</v>
      </c>
      <c r="U385" s="244">
        <v>2232</v>
      </c>
      <c r="V385" s="87" t="s">
        <v>1649</v>
      </c>
    </row>
    <row r="386" spans="1:22" ht="13.5" thickBot="1" x14ac:dyDescent="0.25">
      <c r="A386" s="48" t="s">
        <v>756</v>
      </c>
      <c r="B386" s="258" t="s">
        <v>755</v>
      </c>
      <c r="C386" s="255" t="s">
        <v>54</v>
      </c>
      <c r="D386" s="244">
        <v>80980</v>
      </c>
      <c r="E386" s="244">
        <v>24</v>
      </c>
      <c r="F386" s="251">
        <v>620</v>
      </c>
      <c r="G386" s="251">
        <v>15.5</v>
      </c>
      <c r="H386" s="244">
        <v>1</v>
      </c>
      <c r="I386" s="253">
        <v>40</v>
      </c>
      <c r="J386" s="253">
        <v>1</v>
      </c>
      <c r="K386" s="244">
        <v>25</v>
      </c>
      <c r="L386" s="251">
        <v>660</v>
      </c>
      <c r="M386" s="251">
        <v>16.5</v>
      </c>
      <c r="N386" s="244">
        <v>53</v>
      </c>
      <c r="O386" s="251">
        <v>1325</v>
      </c>
      <c r="P386" s="251">
        <v>33.125</v>
      </c>
      <c r="Q386" s="244">
        <v>78</v>
      </c>
      <c r="R386" s="251">
        <v>1985</v>
      </c>
      <c r="S386" s="251">
        <v>49.625</v>
      </c>
      <c r="T386" s="87" t="s">
        <v>1649</v>
      </c>
      <c r="U386" s="244">
        <v>0</v>
      </c>
      <c r="V386" s="87" t="s">
        <v>1649</v>
      </c>
    </row>
    <row r="387" spans="1:22" ht="13.5" thickBot="1" x14ac:dyDescent="0.25">
      <c r="A387" s="48" t="s">
        <v>778</v>
      </c>
      <c r="B387" s="258" t="s">
        <v>777</v>
      </c>
      <c r="C387" s="255" t="s">
        <v>54</v>
      </c>
      <c r="D387" s="244">
        <v>134056</v>
      </c>
      <c r="E387" s="244">
        <v>12</v>
      </c>
      <c r="F387" s="251">
        <v>421</v>
      </c>
      <c r="G387" s="251">
        <v>10.525</v>
      </c>
      <c r="H387" s="244">
        <v>5</v>
      </c>
      <c r="I387" s="253">
        <v>181</v>
      </c>
      <c r="J387" s="253">
        <v>4.5250000000000004</v>
      </c>
      <c r="K387" s="244">
        <v>17</v>
      </c>
      <c r="L387" s="251">
        <v>602</v>
      </c>
      <c r="M387" s="251">
        <v>15.05</v>
      </c>
      <c r="N387" s="244">
        <v>32</v>
      </c>
      <c r="O387" s="251">
        <v>474</v>
      </c>
      <c r="P387" s="251">
        <v>11.85</v>
      </c>
      <c r="Q387" s="244">
        <v>49</v>
      </c>
      <c r="R387" s="251">
        <v>1076</v>
      </c>
      <c r="S387" s="251">
        <v>26.9</v>
      </c>
      <c r="T387" s="87" t="s">
        <v>1648</v>
      </c>
      <c r="U387" s="244">
        <v>6850</v>
      </c>
      <c r="V387" s="87" t="s">
        <v>1649</v>
      </c>
    </row>
    <row r="388" spans="1:22" ht="13.5" thickBot="1" x14ac:dyDescent="0.25">
      <c r="A388" s="48" t="s">
        <v>780</v>
      </c>
      <c r="B388" s="258" t="s">
        <v>779</v>
      </c>
      <c r="C388" s="255" t="s">
        <v>54</v>
      </c>
      <c r="D388" s="244">
        <v>71997</v>
      </c>
      <c r="E388" s="244">
        <v>10</v>
      </c>
      <c r="F388" s="251">
        <v>400</v>
      </c>
      <c r="G388" s="251">
        <v>10</v>
      </c>
      <c r="H388" s="244">
        <v>0</v>
      </c>
      <c r="I388" s="252">
        <v>0</v>
      </c>
      <c r="J388" s="252">
        <v>0</v>
      </c>
      <c r="K388" s="244">
        <v>10</v>
      </c>
      <c r="L388" s="251">
        <v>400</v>
      </c>
      <c r="M388" s="251">
        <v>10</v>
      </c>
      <c r="N388" s="244">
        <v>21</v>
      </c>
      <c r="O388" s="251">
        <v>484</v>
      </c>
      <c r="P388" s="251">
        <v>12.1</v>
      </c>
      <c r="Q388" s="244">
        <v>31</v>
      </c>
      <c r="R388" s="251">
        <v>884</v>
      </c>
      <c r="S388" s="251">
        <v>22.1</v>
      </c>
      <c r="T388" s="87" t="s">
        <v>1648</v>
      </c>
      <c r="U388" s="244">
        <v>3248</v>
      </c>
      <c r="V388" s="87" t="s">
        <v>1649</v>
      </c>
    </row>
    <row r="389" spans="1:22" ht="13.5" thickBot="1" x14ac:dyDescent="0.25">
      <c r="A389" s="48" t="s">
        <v>788</v>
      </c>
      <c r="B389" s="258" t="s">
        <v>787</v>
      </c>
      <c r="C389" s="255" t="s">
        <v>54</v>
      </c>
      <c r="D389" s="244">
        <v>71755</v>
      </c>
      <c r="E389" s="244">
        <v>18</v>
      </c>
      <c r="F389" s="251">
        <v>585</v>
      </c>
      <c r="G389" s="251">
        <v>14.625</v>
      </c>
      <c r="H389" s="244">
        <v>2</v>
      </c>
      <c r="I389" s="253">
        <v>59</v>
      </c>
      <c r="J389" s="253">
        <v>1.4750000000000001</v>
      </c>
      <c r="K389" s="244">
        <v>20</v>
      </c>
      <c r="L389" s="251">
        <v>644</v>
      </c>
      <c r="M389" s="251">
        <v>16.100000000000001</v>
      </c>
      <c r="N389" s="244">
        <v>45</v>
      </c>
      <c r="O389" s="251">
        <v>814</v>
      </c>
      <c r="P389" s="251">
        <v>20.350000000000001</v>
      </c>
      <c r="Q389" s="244">
        <v>65</v>
      </c>
      <c r="R389" s="251">
        <v>1458</v>
      </c>
      <c r="S389" s="251">
        <v>36.450000000000003</v>
      </c>
      <c r="T389" s="87" t="s">
        <v>1649</v>
      </c>
      <c r="U389" s="244">
        <v>0</v>
      </c>
      <c r="V389" s="87" t="s">
        <v>1649</v>
      </c>
    </row>
    <row r="390" spans="1:22" ht="13.5" thickBot="1" x14ac:dyDescent="0.25">
      <c r="A390" s="48" t="s">
        <v>808</v>
      </c>
      <c r="B390" s="258" t="s">
        <v>807</v>
      </c>
      <c r="C390" s="255" t="s">
        <v>54</v>
      </c>
      <c r="D390" s="244">
        <v>89779</v>
      </c>
      <c r="E390" s="244">
        <v>9</v>
      </c>
      <c r="F390" s="251">
        <v>360</v>
      </c>
      <c r="G390" s="251">
        <v>9</v>
      </c>
      <c r="H390" s="244">
        <v>11</v>
      </c>
      <c r="I390" s="253">
        <v>440</v>
      </c>
      <c r="J390" s="253">
        <v>11</v>
      </c>
      <c r="K390" s="244">
        <v>20</v>
      </c>
      <c r="L390" s="251">
        <v>800</v>
      </c>
      <c r="M390" s="251">
        <v>20</v>
      </c>
      <c r="N390" s="244">
        <v>21</v>
      </c>
      <c r="O390" s="251">
        <v>714</v>
      </c>
      <c r="P390" s="251">
        <v>17.850000000000001</v>
      </c>
      <c r="Q390" s="244">
        <v>41</v>
      </c>
      <c r="R390" s="251">
        <v>1514</v>
      </c>
      <c r="S390" s="251">
        <v>37.85</v>
      </c>
      <c r="T390" s="87" t="s">
        <v>1648</v>
      </c>
      <c r="U390" s="244">
        <v>7836</v>
      </c>
      <c r="V390" s="87" t="s">
        <v>1649</v>
      </c>
    </row>
    <row r="391" spans="1:22" ht="13.5" thickBot="1" x14ac:dyDescent="0.25">
      <c r="A391" s="48" t="s">
        <v>810</v>
      </c>
      <c r="B391" s="258" t="s">
        <v>809</v>
      </c>
      <c r="C391" s="255" t="s">
        <v>54</v>
      </c>
      <c r="D391" s="244">
        <v>84094</v>
      </c>
      <c r="E391" s="244">
        <v>13</v>
      </c>
      <c r="F391" s="251">
        <v>492</v>
      </c>
      <c r="G391" s="251">
        <v>12.3</v>
      </c>
      <c r="H391" s="244">
        <v>0</v>
      </c>
      <c r="I391" s="252">
        <v>0</v>
      </c>
      <c r="J391" s="252">
        <v>0</v>
      </c>
      <c r="K391" s="244">
        <v>13</v>
      </c>
      <c r="L391" s="251">
        <v>492</v>
      </c>
      <c r="M391" s="251">
        <v>12.3</v>
      </c>
      <c r="N391" s="244">
        <v>25</v>
      </c>
      <c r="O391" s="251">
        <v>802</v>
      </c>
      <c r="P391" s="251">
        <v>20.05</v>
      </c>
      <c r="Q391" s="244">
        <v>38</v>
      </c>
      <c r="R391" s="251">
        <v>1294</v>
      </c>
      <c r="S391" s="251">
        <v>32.35</v>
      </c>
      <c r="T391" s="87" t="s">
        <v>1648</v>
      </c>
      <c r="U391" s="244">
        <v>9932</v>
      </c>
      <c r="V391" s="87" t="s">
        <v>1649</v>
      </c>
    </row>
    <row r="392" spans="1:22" ht="13.5" thickBot="1" x14ac:dyDescent="0.25">
      <c r="A392" s="48" t="s">
        <v>816</v>
      </c>
      <c r="B392" s="258" t="s">
        <v>815</v>
      </c>
      <c r="C392" s="255" t="s">
        <v>54</v>
      </c>
      <c r="D392" s="244">
        <v>82974</v>
      </c>
      <c r="E392" s="244">
        <v>19</v>
      </c>
      <c r="F392" s="251">
        <v>720</v>
      </c>
      <c r="G392" s="251">
        <v>18</v>
      </c>
      <c r="H392" s="244">
        <v>0</v>
      </c>
      <c r="I392" s="253">
        <v>0</v>
      </c>
      <c r="J392" s="253">
        <v>0</v>
      </c>
      <c r="K392" s="244">
        <v>19</v>
      </c>
      <c r="L392" s="251">
        <v>720</v>
      </c>
      <c r="M392" s="251">
        <v>18</v>
      </c>
      <c r="N392" s="244">
        <v>40</v>
      </c>
      <c r="O392" s="251">
        <v>1032</v>
      </c>
      <c r="P392" s="251">
        <v>25.8</v>
      </c>
      <c r="Q392" s="244">
        <v>59</v>
      </c>
      <c r="R392" s="251">
        <v>1752</v>
      </c>
      <c r="S392" s="251">
        <v>43.8</v>
      </c>
      <c r="T392" s="87" t="s">
        <v>1649</v>
      </c>
      <c r="U392" s="244">
        <v>0</v>
      </c>
      <c r="V392" s="87" t="s">
        <v>1649</v>
      </c>
    </row>
    <row r="393" spans="1:22" ht="13.5" thickBot="1" x14ac:dyDescent="0.25">
      <c r="D393" s="50">
        <f>SUBTOTAL(101,Table12[Total Population Served])</f>
        <v>25302.239074550129</v>
      </c>
      <c r="V393" s="50"/>
    </row>
    <row r="394" spans="1:22" ht="18.75" thickBot="1" x14ac:dyDescent="0.3">
      <c r="B394" s="59" t="s">
        <v>1599</v>
      </c>
      <c r="C394" s="239">
        <f>SUBTOTAL(103,Table12[Library Class])</f>
        <v>389</v>
      </c>
    </row>
    <row r="395" spans="1:22" ht="18.75" thickBot="1" x14ac:dyDescent="0.3">
      <c r="C395" s="268" t="s">
        <v>1620</v>
      </c>
      <c r="D395" s="266">
        <f>SUBTOTAL(109,Table12[Total Population Served])</f>
        <v>9842571</v>
      </c>
      <c r="E395" s="266">
        <f>SUBTOTAL(109,Table12[Number of ALA-MLS Librarians])</f>
        <v>1594</v>
      </c>
      <c r="F395" s="266">
        <f>SUBTOTAL(109,Table12[Total Hours per Week worked by ALA-MLS Librarians])</f>
        <v>51266.53</v>
      </c>
      <c r="G395" s="266">
        <f>SUBTOTAL(109,Table12[ALA-MLS FTE (40 Hours/wk)])</f>
        <v>1281.6632500000003</v>
      </c>
      <c r="H395" s="266">
        <f>SUBTOTAL(109,Table12[Number of Other Librarians])</f>
        <v>815</v>
      </c>
      <c r="I395" s="266">
        <f>SUBTOTAL(109,Table12[Total Hours per Week worked by Other Librarians])</f>
        <v>22230.23</v>
      </c>
      <c r="J395" s="266">
        <f>SUBTOTAL(109,Table12[Other Librarians FTE (40 Hours/wk)])</f>
        <v>555.75575000000015</v>
      </c>
      <c r="K395" s="266">
        <f>SUBTOTAL(109,Table12[Number of Total Librarians])</f>
        <v>2391</v>
      </c>
      <c r="L395" s="266">
        <f>SUBTOTAL(109,Table12[Total Hours per Week worked by Total Librarians])</f>
        <v>73535.45</v>
      </c>
      <c r="M395" s="266">
        <f>SUBTOTAL(109,Table12[Total Librarians FTE (40 Hours/wk)])</f>
        <v>1838.3912499999999</v>
      </c>
      <c r="N395" s="266">
        <f>SUBTOTAL(109,Table12[Number of All Other Paid Staff])</f>
        <v>5632</v>
      </c>
      <c r="O395" s="266">
        <f>SUBTOTAL(109,Table12[Total Hours per Week worked by All Other Paid Staff])</f>
        <v>119223.72000000002</v>
      </c>
      <c r="P395" s="266">
        <f>SUBTOTAL(109,Table12[All Other Paid Staff FTE (40 Hours/wk)])</f>
        <v>2980.598</v>
      </c>
      <c r="Q395" s="266">
        <f>SUBTOTAL(109,Table12[Number of Total Paid Employees])</f>
        <v>8009</v>
      </c>
      <c r="R395" s="266">
        <f>SUBTOTAL(109,Table12[Total Hours per Week worked by Total Paid Employees])</f>
        <v>192759.16999999998</v>
      </c>
      <c r="S395" s="266">
        <f>SUBTOTAL(109,Table12[Total Paid Employees FTE (40 Hours/wk)])</f>
        <v>4818.9792500000003</v>
      </c>
      <c r="T395" s="266"/>
      <c r="U395" s="266">
        <f>SUBTOTAL(109,Table12[If your library reduced staffing hours Due to COVID-19 provide an approximate total of the hours reduced])</f>
        <v>246955</v>
      </c>
      <c r="V395" s="267"/>
    </row>
    <row r="396" spans="1:22" ht="18.75" thickBot="1" x14ac:dyDescent="0.3">
      <c r="C396" s="269" t="s">
        <v>1621</v>
      </c>
      <c r="D396" s="263"/>
      <c r="E396" s="265">
        <f>SUBTOTAL(101,Table12[Number of ALA-MLS Librarians])</f>
        <v>4.0976863753213371</v>
      </c>
      <c r="F396" s="265">
        <f>SUBTOTAL(101,Table12[Total Hours per Week worked by ALA-MLS Librarians])</f>
        <v>131.79056555269923</v>
      </c>
      <c r="G396" s="265">
        <f>SUBTOTAL(101,Table12[ALA-MLS FTE (40 Hours/wk)])</f>
        <v>3.2947641388174813</v>
      </c>
      <c r="H396" s="265">
        <f>SUBTOTAL(101,Table12[Number of Other Librarians])</f>
        <v>2.0951156812339331</v>
      </c>
      <c r="I396" s="265">
        <f>SUBTOTAL(101,Table12[Total Hours per Week worked by Other Librarians])</f>
        <v>57.147120822622107</v>
      </c>
      <c r="J396" s="265">
        <f>SUBTOTAL(101,Table12[Other Librarians FTE (40 Hours/wk)])</f>
        <v>1.4286780205655532</v>
      </c>
      <c r="K396" s="265">
        <f>SUBTOTAL(101,Table12[Number of Total Librarians])</f>
        <v>6.1465295629820051</v>
      </c>
      <c r="L396" s="265">
        <f>SUBTOTAL(101,Table12[Total Hours per Week worked by Total Librarians])</f>
        <v>189.03714652956296</v>
      </c>
      <c r="M396" s="265">
        <f>SUBTOTAL(101,Table12[Total Librarians FTE (40 Hours/wk)])</f>
        <v>4.7259415167095113</v>
      </c>
      <c r="N396" s="265">
        <f>SUBTOTAL(101,Table12[Number of All Other Paid Staff])</f>
        <v>14.478149100257069</v>
      </c>
      <c r="O396" s="265">
        <f>SUBTOTAL(101,Table12[Total Hours per Week worked by All Other Paid Staff])</f>
        <v>306.48771208226225</v>
      </c>
      <c r="P396" s="265">
        <f>SUBTOTAL(101,Table12[All Other Paid Staff FTE (40 Hours/wk)])</f>
        <v>7.662205655526992</v>
      </c>
      <c r="Q396" s="265">
        <f>SUBTOTAL(101,Table12[Number of Total Paid Employees])</f>
        <v>20.588688946015424</v>
      </c>
      <c r="R396" s="265">
        <f>SUBTOTAL(101,Table12[Total Hours per Week worked by Total Paid Employees])</f>
        <v>495.52485861182515</v>
      </c>
      <c r="S396" s="265">
        <f>SUBTOTAL(101,Table12[Total Paid Employees FTE (40 Hours/wk)])</f>
        <v>12.388121465295631</v>
      </c>
      <c r="T396" s="265"/>
      <c r="U396" s="265">
        <f>SUBTOTAL(101,Table12[If your library reduced staffing hours Due to COVID-19 provide an approximate total of the hours reduced])</f>
        <v>634.84575835475573</v>
      </c>
      <c r="V396" s="264"/>
    </row>
    <row r="398" spans="1:22" ht="15" x14ac:dyDescent="0.25">
      <c r="A398" s="369" t="s">
        <v>3736</v>
      </c>
    </row>
  </sheetData>
  <sortState xmlns:xlrd2="http://schemas.microsoft.com/office/spreadsheetml/2017/richdata2" ref="A4:V392">
    <sortCondition ref="C4:C392"/>
    <sortCondition ref="B4:B392"/>
  </sortState>
  <hyperlinks>
    <hyperlink ref="F1" location="'Table of Contents'!A1" display="Return to Table of Contents" xr:uid="{3D75C451-1C29-41F9-81D6-910DAD440645}"/>
  </hyperlinks>
  <pageMargins left="0.7" right="0.7" top="0.75" bottom="0.75" header="0.3" footer="0.3"/>
  <pageSetup orientation="portrait" horizontalDpi="1200" verticalDpi="1200"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4C501-FD7C-4138-9AC6-44DF8C4EBE67}">
  <sheetPr>
    <tabColor rgb="FF8CC6D4"/>
  </sheetPr>
  <dimension ref="A1:T405"/>
  <sheetViews>
    <sheetView topLeftCell="B1" workbookViewId="0">
      <pane xSplit="1" topLeftCell="C1" activePane="topRight" state="frozen"/>
      <selection activeCell="B3" sqref="B3"/>
      <selection pane="topRight" activeCell="D1" sqref="D1"/>
    </sheetView>
  </sheetViews>
  <sheetFormatPr defaultRowHeight="12.75" x14ac:dyDescent="0.2"/>
  <cols>
    <col min="2" max="2" width="49" bestFit="1" customWidth="1"/>
    <col min="3" max="3" width="25.85546875" bestFit="1" customWidth="1"/>
    <col min="4" max="4" width="20.7109375" style="32" customWidth="1"/>
    <col min="5" max="6" width="20.7109375" customWidth="1"/>
    <col min="7" max="7" width="20.7109375" style="32" customWidth="1"/>
    <col min="8" max="19" width="20.7109375" customWidth="1"/>
    <col min="20" max="20" width="94.140625" bestFit="1" customWidth="1"/>
  </cols>
  <sheetData>
    <row r="1" spans="1:20" ht="18.75" x14ac:dyDescent="0.3">
      <c r="B1" s="362" t="s">
        <v>3729</v>
      </c>
      <c r="C1" s="365"/>
      <c r="D1"/>
      <c r="E1" s="364" t="s">
        <v>3735</v>
      </c>
      <c r="G1" s="360" t="s">
        <v>3727</v>
      </c>
    </row>
    <row r="3" spans="1:20" s="238" customFormat="1" ht="52.5" customHeight="1" thickBot="1" x14ac:dyDescent="0.25">
      <c r="A3" s="228" t="s">
        <v>1</v>
      </c>
      <c r="B3" s="228" t="s">
        <v>0</v>
      </c>
      <c r="C3" s="228" t="s">
        <v>4</v>
      </c>
      <c r="D3" s="228" t="s">
        <v>3512</v>
      </c>
      <c r="E3" s="228" t="s">
        <v>3513</v>
      </c>
      <c r="F3" s="228" t="s">
        <v>3514</v>
      </c>
      <c r="G3" s="228" t="s">
        <v>3515</v>
      </c>
      <c r="H3" s="228" t="s">
        <v>3516</v>
      </c>
      <c r="I3" s="228" t="s">
        <v>3517</v>
      </c>
      <c r="J3" s="228" t="s">
        <v>3518</v>
      </c>
      <c r="K3" s="228" t="s">
        <v>3519</v>
      </c>
      <c r="L3" s="228" t="s">
        <v>3520</v>
      </c>
      <c r="M3" s="228" t="s">
        <v>3521</v>
      </c>
      <c r="N3" s="228" t="s">
        <v>3522</v>
      </c>
      <c r="O3" s="228" t="s">
        <v>3523</v>
      </c>
      <c r="P3" s="228" t="s">
        <v>3524</v>
      </c>
      <c r="Q3" s="228" t="s">
        <v>3525</v>
      </c>
      <c r="R3" s="228" t="s">
        <v>3526</v>
      </c>
      <c r="S3" s="228" t="s">
        <v>3527</v>
      </c>
      <c r="T3" s="228" t="s">
        <v>3528</v>
      </c>
    </row>
    <row r="4" spans="1:20" ht="13.5" thickBot="1" x14ac:dyDescent="0.25">
      <c r="A4" s="48" t="s">
        <v>33</v>
      </c>
      <c r="B4" s="224" t="s">
        <v>32</v>
      </c>
      <c r="C4" s="48" t="s">
        <v>34</v>
      </c>
      <c r="D4" s="87" t="s">
        <v>1812</v>
      </c>
      <c r="E4" s="208">
        <v>41090</v>
      </c>
      <c r="F4" s="208">
        <v>41090</v>
      </c>
      <c r="G4" s="244">
        <v>40</v>
      </c>
      <c r="H4" s="48" t="s">
        <v>1649</v>
      </c>
      <c r="I4" s="48" t="s">
        <v>1649</v>
      </c>
      <c r="J4" s="48" t="s">
        <v>1649</v>
      </c>
      <c r="K4" s="48" t="s">
        <v>1649</v>
      </c>
      <c r="L4" s="48" t="s">
        <v>1648</v>
      </c>
      <c r="M4" s="48" t="s">
        <v>1648</v>
      </c>
      <c r="N4" s="48" t="s">
        <v>1648</v>
      </c>
      <c r="O4" s="48" t="s">
        <v>1648</v>
      </c>
      <c r="P4" s="48" t="s">
        <v>1648</v>
      </c>
      <c r="Q4" s="48" t="s">
        <v>1649</v>
      </c>
      <c r="R4" s="48" t="s">
        <v>1649</v>
      </c>
      <c r="S4" s="48" t="s">
        <v>1649</v>
      </c>
      <c r="T4" s="48"/>
    </row>
    <row r="5" spans="1:20" ht="13.5" thickBot="1" x14ac:dyDescent="0.25">
      <c r="A5" s="48" t="s">
        <v>58</v>
      </c>
      <c r="B5" s="224" t="s">
        <v>57</v>
      </c>
      <c r="C5" s="48" t="s">
        <v>34</v>
      </c>
      <c r="D5" s="87" t="s">
        <v>1812</v>
      </c>
      <c r="E5" s="208">
        <v>0</v>
      </c>
      <c r="F5" s="208">
        <v>0</v>
      </c>
      <c r="G5" s="244">
        <v>40</v>
      </c>
      <c r="H5" s="48" t="s">
        <v>1649</v>
      </c>
      <c r="I5" s="48" t="s">
        <v>1649</v>
      </c>
      <c r="J5" s="48" t="s">
        <v>1649</v>
      </c>
      <c r="K5" s="48" t="s">
        <v>1649</v>
      </c>
      <c r="L5" s="48" t="s">
        <v>1649</v>
      </c>
      <c r="M5" s="48" t="s">
        <v>1649</v>
      </c>
      <c r="N5" s="48" t="s">
        <v>1649</v>
      </c>
      <c r="O5" s="48" t="s">
        <v>1649</v>
      </c>
      <c r="P5" s="48" t="s">
        <v>1649</v>
      </c>
      <c r="Q5" s="48" t="s">
        <v>1649</v>
      </c>
      <c r="R5" s="48" t="s">
        <v>1649</v>
      </c>
      <c r="S5" s="48" t="s">
        <v>1649</v>
      </c>
      <c r="T5" s="48"/>
    </row>
    <row r="6" spans="1:20" ht="13.5" thickBot="1" x14ac:dyDescent="0.25">
      <c r="A6" s="48" t="s">
        <v>80</v>
      </c>
      <c r="B6" s="224" t="s">
        <v>79</v>
      </c>
      <c r="C6" s="48" t="s">
        <v>34</v>
      </c>
      <c r="D6" s="87" t="s">
        <v>1812</v>
      </c>
      <c r="E6" s="208">
        <v>43500</v>
      </c>
      <c r="F6" s="208">
        <v>45000</v>
      </c>
      <c r="G6" s="87" t="s">
        <v>1660</v>
      </c>
      <c r="H6" s="48" t="s">
        <v>1648</v>
      </c>
      <c r="I6" s="48" t="s">
        <v>1648</v>
      </c>
      <c r="J6" s="48" t="s">
        <v>1649</v>
      </c>
      <c r="K6" s="48" t="s">
        <v>1649</v>
      </c>
      <c r="L6" s="48" t="s">
        <v>1649</v>
      </c>
      <c r="M6" s="48" t="s">
        <v>1648</v>
      </c>
      <c r="N6" s="48" t="s">
        <v>1648</v>
      </c>
      <c r="O6" s="48" t="s">
        <v>1649</v>
      </c>
      <c r="P6" s="48" t="s">
        <v>1648</v>
      </c>
      <c r="Q6" s="48" t="s">
        <v>1649</v>
      </c>
      <c r="R6" s="48" t="s">
        <v>1649</v>
      </c>
      <c r="S6" s="48" t="s">
        <v>1649</v>
      </c>
      <c r="T6" s="48"/>
    </row>
    <row r="7" spans="1:20" ht="13.5" thickBot="1" x14ac:dyDescent="0.25">
      <c r="A7" s="48" t="s">
        <v>82</v>
      </c>
      <c r="B7" s="224" t="s">
        <v>81</v>
      </c>
      <c r="C7" s="48" t="s">
        <v>34</v>
      </c>
      <c r="D7" s="87" t="s">
        <v>1812</v>
      </c>
      <c r="E7" s="208">
        <v>25000</v>
      </c>
      <c r="F7" s="208">
        <v>37000</v>
      </c>
      <c r="G7" s="244">
        <v>40</v>
      </c>
      <c r="H7" s="48" t="s">
        <v>1649</v>
      </c>
      <c r="I7" s="48" t="s">
        <v>1649</v>
      </c>
      <c r="J7" s="48" t="s">
        <v>1649</v>
      </c>
      <c r="K7" s="48" t="s">
        <v>1649</v>
      </c>
      <c r="L7" s="48" t="s">
        <v>1649</v>
      </c>
      <c r="M7" s="48" t="s">
        <v>1648</v>
      </c>
      <c r="N7" s="48" t="s">
        <v>1648</v>
      </c>
      <c r="O7" s="48" t="s">
        <v>1648</v>
      </c>
      <c r="P7" s="48" t="s">
        <v>1648</v>
      </c>
      <c r="Q7" s="48" t="s">
        <v>1649</v>
      </c>
      <c r="R7" s="48" t="s">
        <v>1649</v>
      </c>
      <c r="S7" s="48" t="s">
        <v>1649</v>
      </c>
      <c r="T7" s="48"/>
    </row>
    <row r="8" spans="1:20" ht="13.5" thickBot="1" x14ac:dyDescent="0.25">
      <c r="A8" s="48" t="s">
        <v>86</v>
      </c>
      <c r="B8" s="224" t="s">
        <v>85</v>
      </c>
      <c r="C8" s="48" t="s">
        <v>34</v>
      </c>
      <c r="D8" s="87" t="s">
        <v>1812</v>
      </c>
      <c r="E8" s="208">
        <v>22900</v>
      </c>
      <c r="F8" s="208">
        <v>23587</v>
      </c>
      <c r="G8" s="244">
        <v>25</v>
      </c>
      <c r="H8" s="48" t="s">
        <v>1649</v>
      </c>
      <c r="I8" s="48" t="s">
        <v>1649</v>
      </c>
      <c r="J8" s="48" t="s">
        <v>1649</v>
      </c>
      <c r="K8" s="48" t="s">
        <v>1649</v>
      </c>
      <c r="L8" s="48" t="s">
        <v>1649</v>
      </c>
      <c r="M8" s="48" t="s">
        <v>1649</v>
      </c>
      <c r="N8" s="48" t="s">
        <v>1649</v>
      </c>
      <c r="O8" s="48" t="s">
        <v>1648</v>
      </c>
      <c r="P8" s="48" t="s">
        <v>1648</v>
      </c>
      <c r="Q8" s="48" t="s">
        <v>1649</v>
      </c>
      <c r="R8" s="48" t="s">
        <v>1649</v>
      </c>
      <c r="S8" s="48" t="s">
        <v>1649</v>
      </c>
      <c r="T8" s="48"/>
    </row>
    <row r="9" spans="1:20" ht="13.5" thickBot="1" x14ac:dyDescent="0.25">
      <c r="A9" s="48" t="s">
        <v>90</v>
      </c>
      <c r="B9" s="224" t="s">
        <v>89</v>
      </c>
      <c r="C9" s="48" t="s">
        <v>34</v>
      </c>
      <c r="D9" s="87" t="s">
        <v>3529</v>
      </c>
      <c r="E9" s="208">
        <v>50000</v>
      </c>
      <c r="F9" s="208">
        <v>60000</v>
      </c>
      <c r="G9" s="244">
        <v>40</v>
      </c>
      <c r="H9" s="48" t="s">
        <v>1648</v>
      </c>
      <c r="I9" s="48" t="s">
        <v>1649</v>
      </c>
      <c r="J9" s="48" t="s">
        <v>1649</v>
      </c>
      <c r="K9" s="48" t="s">
        <v>1648</v>
      </c>
      <c r="L9" s="48" t="s">
        <v>1649</v>
      </c>
      <c r="M9" s="48" t="s">
        <v>1648</v>
      </c>
      <c r="N9" s="48" t="s">
        <v>1648</v>
      </c>
      <c r="O9" s="48" t="s">
        <v>1648</v>
      </c>
      <c r="P9" s="48" t="s">
        <v>1648</v>
      </c>
      <c r="Q9" s="48" t="s">
        <v>1648</v>
      </c>
      <c r="R9" s="48" t="s">
        <v>1648</v>
      </c>
      <c r="S9" s="48" t="s">
        <v>1649</v>
      </c>
      <c r="T9" s="48"/>
    </row>
    <row r="10" spans="1:20" ht="13.5" thickBot="1" x14ac:dyDescent="0.25">
      <c r="A10" s="48" t="s">
        <v>92</v>
      </c>
      <c r="B10" s="224" t="s">
        <v>91</v>
      </c>
      <c r="C10" s="48" t="s">
        <v>34</v>
      </c>
      <c r="D10" s="87" t="s">
        <v>3533</v>
      </c>
      <c r="E10" s="208">
        <v>24239</v>
      </c>
      <c r="F10" s="208">
        <v>28288</v>
      </c>
      <c r="G10" s="244">
        <v>32</v>
      </c>
      <c r="H10" s="48" t="s">
        <v>1649</v>
      </c>
      <c r="I10" s="48" t="s">
        <v>1649</v>
      </c>
      <c r="J10" s="48" t="s">
        <v>1649</v>
      </c>
      <c r="K10" s="48" t="s">
        <v>1649</v>
      </c>
      <c r="L10" s="48" t="s">
        <v>1649</v>
      </c>
      <c r="M10" s="48" t="s">
        <v>1648</v>
      </c>
      <c r="N10" s="48" t="s">
        <v>1648</v>
      </c>
      <c r="O10" s="48" t="s">
        <v>1649</v>
      </c>
      <c r="P10" s="48" t="s">
        <v>1648</v>
      </c>
      <c r="Q10" s="48" t="s">
        <v>1649</v>
      </c>
      <c r="R10" s="48" t="s">
        <v>1649</v>
      </c>
      <c r="S10" s="48" t="s">
        <v>1649</v>
      </c>
      <c r="T10" s="48"/>
    </row>
    <row r="11" spans="1:20" ht="13.5" thickBot="1" x14ac:dyDescent="0.25">
      <c r="A11" s="48" t="s">
        <v>100</v>
      </c>
      <c r="B11" s="224" t="s">
        <v>99</v>
      </c>
      <c r="C11" s="48" t="s">
        <v>34</v>
      </c>
      <c r="D11" s="87" t="s">
        <v>3533</v>
      </c>
      <c r="E11" s="208">
        <v>19986</v>
      </c>
      <c r="F11" s="208">
        <v>19986</v>
      </c>
      <c r="G11" s="244">
        <v>18</v>
      </c>
      <c r="H11" s="48" t="s">
        <v>1649</v>
      </c>
      <c r="I11" s="48" t="s">
        <v>1649</v>
      </c>
      <c r="J11" s="48" t="s">
        <v>1649</v>
      </c>
      <c r="K11" s="48" t="s">
        <v>1649</v>
      </c>
      <c r="L11" s="48" t="s">
        <v>1649</v>
      </c>
      <c r="M11" s="48" t="s">
        <v>1649</v>
      </c>
      <c r="N11" s="48" t="s">
        <v>1648</v>
      </c>
      <c r="O11" s="48" t="s">
        <v>1648</v>
      </c>
      <c r="P11" s="48" t="s">
        <v>1648</v>
      </c>
      <c r="Q11" s="48" t="s">
        <v>1649</v>
      </c>
      <c r="R11" s="48" t="s">
        <v>1649</v>
      </c>
      <c r="S11" s="48" t="s">
        <v>1649</v>
      </c>
      <c r="T11" s="48"/>
    </row>
    <row r="12" spans="1:20" ht="13.5" thickBot="1" x14ac:dyDescent="0.25">
      <c r="A12" s="48" t="s">
        <v>132</v>
      </c>
      <c r="B12" s="224" t="s">
        <v>131</v>
      </c>
      <c r="C12" s="48" t="s">
        <v>34</v>
      </c>
      <c r="D12" s="87" t="s">
        <v>3533</v>
      </c>
      <c r="E12" s="208">
        <v>16800</v>
      </c>
      <c r="F12" s="208">
        <v>17500</v>
      </c>
      <c r="G12" s="244">
        <v>18</v>
      </c>
      <c r="H12" s="48" t="s">
        <v>1649</v>
      </c>
      <c r="I12" s="48" t="s">
        <v>1649</v>
      </c>
      <c r="J12" s="48" t="s">
        <v>1649</v>
      </c>
      <c r="K12" s="48" t="s">
        <v>1649</v>
      </c>
      <c r="L12" s="48" t="s">
        <v>1649</v>
      </c>
      <c r="M12" s="48" t="s">
        <v>1649</v>
      </c>
      <c r="N12" s="48" t="s">
        <v>1649</v>
      </c>
      <c r="O12" s="48" t="s">
        <v>1649</v>
      </c>
      <c r="P12" s="48" t="s">
        <v>1649</v>
      </c>
      <c r="Q12" s="48" t="s">
        <v>1649</v>
      </c>
      <c r="R12" s="48" t="s">
        <v>1649</v>
      </c>
      <c r="S12" s="48" t="s">
        <v>1649</v>
      </c>
      <c r="T12" s="48"/>
    </row>
    <row r="13" spans="1:20" ht="13.5" thickBot="1" x14ac:dyDescent="0.25">
      <c r="A13" s="48" t="s">
        <v>146</v>
      </c>
      <c r="B13" s="224" t="s">
        <v>145</v>
      </c>
      <c r="C13" s="48" t="s">
        <v>34</v>
      </c>
      <c r="D13" s="87" t="s">
        <v>3533</v>
      </c>
      <c r="E13" s="208">
        <v>10140</v>
      </c>
      <c r="F13" s="208">
        <v>15000</v>
      </c>
      <c r="G13" s="244">
        <v>20</v>
      </c>
      <c r="H13" s="48" t="s">
        <v>1649</v>
      </c>
      <c r="I13" s="48" t="s">
        <v>1649</v>
      </c>
      <c r="J13" s="48" t="s">
        <v>1649</v>
      </c>
      <c r="K13" s="48" t="s">
        <v>1649</v>
      </c>
      <c r="L13" s="48" t="s">
        <v>1649</v>
      </c>
      <c r="M13" s="48" t="s">
        <v>1649</v>
      </c>
      <c r="N13" s="48" t="s">
        <v>1648</v>
      </c>
      <c r="O13" s="48" t="s">
        <v>1649</v>
      </c>
      <c r="P13" s="48" t="s">
        <v>1648</v>
      </c>
      <c r="Q13" s="48" t="s">
        <v>1649</v>
      </c>
      <c r="R13" s="48" t="s">
        <v>1649</v>
      </c>
      <c r="S13" s="48" t="s">
        <v>1649</v>
      </c>
      <c r="T13" s="48"/>
    </row>
    <row r="14" spans="1:20" ht="13.5" thickBot="1" x14ac:dyDescent="0.25">
      <c r="A14" s="48" t="s">
        <v>156</v>
      </c>
      <c r="B14" s="224" t="s">
        <v>155</v>
      </c>
      <c r="C14" s="48" t="s">
        <v>34</v>
      </c>
      <c r="D14" s="87" t="s">
        <v>3533</v>
      </c>
      <c r="E14" s="87" t="s">
        <v>1660</v>
      </c>
      <c r="F14" s="87" t="s">
        <v>1660</v>
      </c>
      <c r="G14" s="244">
        <v>40</v>
      </c>
      <c r="H14" s="48" t="s">
        <v>1649</v>
      </c>
      <c r="I14" s="48" t="s">
        <v>1649</v>
      </c>
      <c r="J14" s="48" t="s">
        <v>1649</v>
      </c>
      <c r="K14" s="48" t="s">
        <v>1649</v>
      </c>
      <c r="L14" s="48" t="s">
        <v>1649</v>
      </c>
      <c r="M14" s="48" t="s">
        <v>1648</v>
      </c>
      <c r="N14" s="48" t="s">
        <v>1648</v>
      </c>
      <c r="O14" s="48" t="s">
        <v>1649</v>
      </c>
      <c r="P14" s="48" t="s">
        <v>1648</v>
      </c>
      <c r="Q14" s="48" t="s">
        <v>1649</v>
      </c>
      <c r="R14" s="48" t="s">
        <v>1649</v>
      </c>
      <c r="S14" s="48" t="s">
        <v>1649</v>
      </c>
      <c r="T14" s="48"/>
    </row>
    <row r="15" spans="1:20" ht="13.5" thickBot="1" x14ac:dyDescent="0.25">
      <c r="A15" s="48" t="s">
        <v>164</v>
      </c>
      <c r="B15" s="224" t="s">
        <v>163</v>
      </c>
      <c r="C15" s="48" t="s">
        <v>34</v>
      </c>
      <c r="D15" s="87" t="s">
        <v>3533</v>
      </c>
      <c r="E15" s="208">
        <v>11911</v>
      </c>
      <c r="F15" s="208">
        <v>15932</v>
      </c>
      <c r="G15" s="244">
        <v>27</v>
      </c>
      <c r="H15" s="48" t="s">
        <v>1649</v>
      </c>
      <c r="I15" s="48" t="s">
        <v>1649</v>
      </c>
      <c r="J15" s="48" t="s">
        <v>1649</v>
      </c>
      <c r="K15" s="48" t="s">
        <v>1649</v>
      </c>
      <c r="L15" s="48" t="s">
        <v>1649</v>
      </c>
      <c r="M15" s="48" t="s">
        <v>1649</v>
      </c>
      <c r="N15" s="48" t="s">
        <v>1648</v>
      </c>
      <c r="O15" s="48" t="s">
        <v>1649</v>
      </c>
      <c r="P15" s="48" t="s">
        <v>1649</v>
      </c>
      <c r="Q15" s="48" t="s">
        <v>1649</v>
      </c>
      <c r="R15" s="48" t="s">
        <v>1649</v>
      </c>
      <c r="S15" s="48" t="s">
        <v>1649</v>
      </c>
      <c r="T15" s="48"/>
    </row>
    <row r="16" spans="1:20" ht="13.5" thickBot="1" x14ac:dyDescent="0.25">
      <c r="A16" s="48" t="s">
        <v>176</v>
      </c>
      <c r="B16" s="224" t="s">
        <v>175</v>
      </c>
      <c r="C16" s="48" t="s">
        <v>34</v>
      </c>
      <c r="D16" s="87" t="s">
        <v>3530</v>
      </c>
      <c r="E16" s="208">
        <v>40000</v>
      </c>
      <c r="F16" s="208">
        <v>45000</v>
      </c>
      <c r="G16" s="244">
        <v>35</v>
      </c>
      <c r="H16" s="48" t="s">
        <v>1649</v>
      </c>
      <c r="I16" s="48" t="s">
        <v>1649</v>
      </c>
      <c r="J16" s="48" t="s">
        <v>1649</v>
      </c>
      <c r="K16" s="48" t="s">
        <v>1649</v>
      </c>
      <c r="L16" s="48" t="s">
        <v>1649</v>
      </c>
      <c r="M16" s="48" t="s">
        <v>1648</v>
      </c>
      <c r="N16" s="48" t="s">
        <v>1648</v>
      </c>
      <c r="O16" s="48" t="s">
        <v>1648</v>
      </c>
      <c r="P16" s="48" t="s">
        <v>1648</v>
      </c>
      <c r="Q16" s="48" t="s">
        <v>1649</v>
      </c>
      <c r="R16" s="48" t="s">
        <v>1649</v>
      </c>
      <c r="S16" s="48" t="s">
        <v>1649</v>
      </c>
      <c r="T16" s="48"/>
    </row>
    <row r="17" spans="1:20" ht="13.5" thickBot="1" x14ac:dyDescent="0.25">
      <c r="A17" s="48" t="s">
        <v>184</v>
      </c>
      <c r="B17" s="224" t="s">
        <v>183</v>
      </c>
      <c r="C17" s="48" t="s">
        <v>34</v>
      </c>
      <c r="D17" s="87" t="s">
        <v>3533</v>
      </c>
      <c r="E17" s="208">
        <v>32100</v>
      </c>
      <c r="F17" s="208">
        <v>32100</v>
      </c>
      <c r="G17" s="244">
        <v>32</v>
      </c>
      <c r="H17" s="48" t="s">
        <v>1649</v>
      </c>
      <c r="I17" s="48" t="s">
        <v>1649</v>
      </c>
      <c r="J17" s="48" t="s">
        <v>1649</v>
      </c>
      <c r="K17" s="48" t="s">
        <v>1649</v>
      </c>
      <c r="L17" s="48" t="s">
        <v>1649</v>
      </c>
      <c r="M17" s="48" t="s">
        <v>1648</v>
      </c>
      <c r="N17" s="48" t="s">
        <v>1649</v>
      </c>
      <c r="O17" s="48" t="s">
        <v>1649</v>
      </c>
      <c r="P17" s="48" t="s">
        <v>1648</v>
      </c>
      <c r="Q17" s="48" t="s">
        <v>1649</v>
      </c>
      <c r="R17" s="48" t="s">
        <v>1649</v>
      </c>
      <c r="S17" s="48" t="s">
        <v>1649</v>
      </c>
      <c r="T17" s="48"/>
    </row>
    <row r="18" spans="1:20" ht="13.5" thickBot="1" x14ac:dyDescent="0.25">
      <c r="A18" s="48" t="s">
        <v>186</v>
      </c>
      <c r="B18" s="224" t="s">
        <v>185</v>
      </c>
      <c r="C18" s="48" t="s">
        <v>34</v>
      </c>
      <c r="D18" s="87" t="s">
        <v>3530</v>
      </c>
      <c r="E18" s="208">
        <v>12000</v>
      </c>
      <c r="F18" s="208">
        <v>23000</v>
      </c>
      <c r="G18" s="244">
        <v>25</v>
      </c>
      <c r="H18" s="48" t="s">
        <v>1649</v>
      </c>
      <c r="I18" s="48" t="s">
        <v>1649</v>
      </c>
      <c r="J18" s="48" t="s">
        <v>1649</v>
      </c>
      <c r="K18" s="48" t="s">
        <v>1649</v>
      </c>
      <c r="L18" s="48" t="s">
        <v>1649</v>
      </c>
      <c r="M18" s="48" t="s">
        <v>1649</v>
      </c>
      <c r="N18" s="48" t="s">
        <v>1649</v>
      </c>
      <c r="O18" s="48" t="s">
        <v>1649</v>
      </c>
      <c r="P18" s="48" t="s">
        <v>1649</v>
      </c>
      <c r="Q18" s="48" t="s">
        <v>1649</v>
      </c>
      <c r="R18" s="48" t="s">
        <v>1649</v>
      </c>
      <c r="S18" s="48" t="s">
        <v>1649</v>
      </c>
      <c r="T18" s="48"/>
    </row>
    <row r="19" spans="1:20" ht="13.5" thickBot="1" x14ac:dyDescent="0.25">
      <c r="A19" s="48" t="s">
        <v>202</v>
      </c>
      <c r="B19" s="224" t="s">
        <v>201</v>
      </c>
      <c r="C19" s="48" t="s">
        <v>34</v>
      </c>
      <c r="D19" s="87" t="s">
        <v>3529</v>
      </c>
      <c r="E19" s="208">
        <v>38000</v>
      </c>
      <c r="F19" s="208">
        <v>39000</v>
      </c>
      <c r="G19" s="244">
        <v>41</v>
      </c>
      <c r="H19" s="48" t="s">
        <v>1649</v>
      </c>
      <c r="I19" s="48" t="s">
        <v>1649</v>
      </c>
      <c r="J19" s="48" t="s">
        <v>1649</v>
      </c>
      <c r="K19" s="48" t="s">
        <v>1649</v>
      </c>
      <c r="L19" s="48" t="s">
        <v>1649</v>
      </c>
      <c r="M19" s="48" t="s">
        <v>1649</v>
      </c>
      <c r="N19" s="48" t="s">
        <v>1649</v>
      </c>
      <c r="O19" s="48" t="s">
        <v>1648</v>
      </c>
      <c r="P19" s="48" t="s">
        <v>1649</v>
      </c>
      <c r="Q19" s="48" t="s">
        <v>1649</v>
      </c>
      <c r="R19" s="48" t="s">
        <v>1649</v>
      </c>
      <c r="S19" s="48" t="s">
        <v>1649</v>
      </c>
      <c r="T19" s="48"/>
    </row>
    <row r="20" spans="1:20" ht="13.5" thickBot="1" x14ac:dyDescent="0.25">
      <c r="A20" s="48" t="s">
        <v>204</v>
      </c>
      <c r="B20" s="224" t="s">
        <v>203</v>
      </c>
      <c r="C20" s="48" t="s">
        <v>34</v>
      </c>
      <c r="D20" s="87" t="s">
        <v>3533</v>
      </c>
      <c r="E20" s="208">
        <v>23500</v>
      </c>
      <c r="F20" s="208">
        <v>25000</v>
      </c>
      <c r="G20" s="244">
        <v>30</v>
      </c>
      <c r="H20" s="48" t="s">
        <v>1649</v>
      </c>
      <c r="I20" s="48" t="s">
        <v>1649</v>
      </c>
      <c r="J20" s="48" t="s">
        <v>1649</v>
      </c>
      <c r="K20" s="48" t="s">
        <v>1649</v>
      </c>
      <c r="L20" s="48" t="s">
        <v>1649</v>
      </c>
      <c r="M20" s="48" t="s">
        <v>1649</v>
      </c>
      <c r="N20" s="48" t="s">
        <v>1648</v>
      </c>
      <c r="O20" s="48" t="s">
        <v>1649</v>
      </c>
      <c r="P20" s="48" t="s">
        <v>1648</v>
      </c>
      <c r="Q20" s="48" t="s">
        <v>1649</v>
      </c>
      <c r="R20" s="48" t="s">
        <v>1649</v>
      </c>
      <c r="S20" s="48" t="s">
        <v>1649</v>
      </c>
      <c r="T20" s="48" t="s">
        <v>3551</v>
      </c>
    </row>
    <row r="21" spans="1:20" ht="13.5" thickBot="1" x14ac:dyDescent="0.25">
      <c r="A21" s="48" t="s">
        <v>206</v>
      </c>
      <c r="B21" s="224" t="s">
        <v>205</v>
      </c>
      <c r="C21" s="48" t="s">
        <v>34</v>
      </c>
      <c r="D21" s="87" t="s">
        <v>3533</v>
      </c>
      <c r="E21" s="208">
        <v>28080</v>
      </c>
      <c r="F21" s="208">
        <v>31031</v>
      </c>
      <c r="G21" s="244">
        <v>31</v>
      </c>
      <c r="H21" s="48" t="s">
        <v>1649</v>
      </c>
      <c r="I21" s="48" t="s">
        <v>1649</v>
      </c>
      <c r="J21" s="48" t="s">
        <v>1649</v>
      </c>
      <c r="K21" s="48" t="s">
        <v>1649</v>
      </c>
      <c r="L21" s="48" t="s">
        <v>1649</v>
      </c>
      <c r="M21" s="48" t="s">
        <v>1649</v>
      </c>
      <c r="N21" s="48" t="s">
        <v>1648</v>
      </c>
      <c r="O21" s="48" t="s">
        <v>1649</v>
      </c>
      <c r="P21" s="48" t="s">
        <v>1648</v>
      </c>
      <c r="Q21" s="48" t="s">
        <v>1649</v>
      </c>
      <c r="R21" s="48" t="s">
        <v>1649</v>
      </c>
      <c r="S21" s="48" t="s">
        <v>1648</v>
      </c>
      <c r="T21" s="48"/>
    </row>
    <row r="22" spans="1:20" ht="13.5" thickBot="1" x14ac:dyDescent="0.25">
      <c r="A22" s="48" t="s">
        <v>208</v>
      </c>
      <c r="B22" s="224" t="s">
        <v>207</v>
      </c>
      <c r="C22" s="48" t="s">
        <v>34</v>
      </c>
      <c r="D22" s="87" t="s">
        <v>3533</v>
      </c>
      <c r="E22" s="208">
        <v>15548</v>
      </c>
      <c r="F22" s="208">
        <v>15548</v>
      </c>
      <c r="G22" s="244">
        <v>23</v>
      </c>
      <c r="H22" s="48" t="s">
        <v>1649</v>
      </c>
      <c r="I22" s="48" t="s">
        <v>1649</v>
      </c>
      <c r="J22" s="48" t="s">
        <v>1649</v>
      </c>
      <c r="K22" s="48" t="s">
        <v>1649</v>
      </c>
      <c r="L22" s="48" t="s">
        <v>1649</v>
      </c>
      <c r="M22" s="48" t="s">
        <v>1649</v>
      </c>
      <c r="N22" s="48" t="s">
        <v>1649</v>
      </c>
      <c r="O22" s="48" t="s">
        <v>1649</v>
      </c>
      <c r="P22" s="48" t="s">
        <v>1649</v>
      </c>
      <c r="Q22" s="48" t="s">
        <v>1649</v>
      </c>
      <c r="R22" s="48" t="s">
        <v>1649</v>
      </c>
      <c r="S22" s="48" t="s">
        <v>1649</v>
      </c>
      <c r="T22" s="48"/>
    </row>
    <row r="23" spans="1:20" ht="13.5" thickBot="1" x14ac:dyDescent="0.25">
      <c r="A23" s="48" t="s">
        <v>210</v>
      </c>
      <c r="B23" s="224" t="s">
        <v>209</v>
      </c>
      <c r="C23" s="48" t="s">
        <v>34</v>
      </c>
      <c r="D23" s="87" t="s">
        <v>1812</v>
      </c>
      <c r="E23" s="208">
        <v>28000</v>
      </c>
      <c r="F23" s="208">
        <v>31000</v>
      </c>
      <c r="G23" s="244">
        <v>35</v>
      </c>
      <c r="H23" s="48" t="s">
        <v>1649</v>
      </c>
      <c r="I23" s="48" t="s">
        <v>1649</v>
      </c>
      <c r="J23" s="48" t="s">
        <v>1649</v>
      </c>
      <c r="K23" s="48" t="s">
        <v>1649</v>
      </c>
      <c r="L23" s="48" t="s">
        <v>1649</v>
      </c>
      <c r="M23" s="48" t="s">
        <v>1648</v>
      </c>
      <c r="N23" s="48" t="s">
        <v>1648</v>
      </c>
      <c r="O23" s="48" t="s">
        <v>1648</v>
      </c>
      <c r="P23" s="48" t="s">
        <v>1648</v>
      </c>
      <c r="Q23" s="48" t="s">
        <v>1649</v>
      </c>
      <c r="R23" s="48" t="s">
        <v>1649</v>
      </c>
      <c r="S23" s="48" t="s">
        <v>1649</v>
      </c>
      <c r="T23" s="48"/>
    </row>
    <row r="24" spans="1:20" ht="13.5" thickBot="1" x14ac:dyDescent="0.25">
      <c r="A24" s="48" t="s">
        <v>256</v>
      </c>
      <c r="B24" s="224" t="s">
        <v>255</v>
      </c>
      <c r="C24" s="48" t="s">
        <v>34</v>
      </c>
      <c r="D24" s="87" t="s">
        <v>3533</v>
      </c>
      <c r="E24" s="208">
        <v>26299</v>
      </c>
      <c r="F24" s="208">
        <v>26299</v>
      </c>
      <c r="G24" s="244">
        <v>35</v>
      </c>
      <c r="H24" s="48" t="s">
        <v>1649</v>
      </c>
      <c r="I24" s="48" t="s">
        <v>1649</v>
      </c>
      <c r="J24" s="48" t="s">
        <v>1649</v>
      </c>
      <c r="K24" s="48" t="s">
        <v>1649</v>
      </c>
      <c r="L24" s="48" t="s">
        <v>1649</v>
      </c>
      <c r="M24" s="48" t="s">
        <v>1649</v>
      </c>
      <c r="N24" s="48" t="s">
        <v>1648</v>
      </c>
      <c r="O24" s="48" t="s">
        <v>1649</v>
      </c>
      <c r="P24" s="48" t="s">
        <v>1648</v>
      </c>
      <c r="Q24" s="48" t="s">
        <v>1649</v>
      </c>
      <c r="R24" s="48" t="s">
        <v>1649</v>
      </c>
      <c r="S24" s="48" t="s">
        <v>1649</v>
      </c>
      <c r="T24" s="48"/>
    </row>
    <row r="25" spans="1:20" ht="13.5" thickBot="1" x14ac:dyDescent="0.25">
      <c r="A25" s="48" t="s">
        <v>258</v>
      </c>
      <c r="B25" s="224" t="s">
        <v>257</v>
      </c>
      <c r="C25" s="48" t="s">
        <v>34</v>
      </c>
      <c r="D25" s="87" t="s">
        <v>3533</v>
      </c>
      <c r="E25" s="208">
        <v>18000</v>
      </c>
      <c r="F25" s="208">
        <v>25000</v>
      </c>
      <c r="G25" s="244">
        <v>25</v>
      </c>
      <c r="H25" s="48" t="s">
        <v>1649</v>
      </c>
      <c r="I25" s="48" t="s">
        <v>1649</v>
      </c>
      <c r="J25" s="48" t="s">
        <v>1649</v>
      </c>
      <c r="K25" s="48" t="s">
        <v>1649</v>
      </c>
      <c r="L25" s="48" t="s">
        <v>1649</v>
      </c>
      <c r="M25" s="48" t="s">
        <v>1648</v>
      </c>
      <c r="N25" s="48" t="s">
        <v>1648</v>
      </c>
      <c r="O25" s="48" t="s">
        <v>1648</v>
      </c>
      <c r="P25" s="48" t="s">
        <v>1648</v>
      </c>
      <c r="Q25" s="48" t="s">
        <v>1649</v>
      </c>
      <c r="R25" s="48" t="s">
        <v>1649</v>
      </c>
      <c r="S25" s="48" t="s">
        <v>1649</v>
      </c>
      <c r="T25" s="48"/>
    </row>
    <row r="26" spans="1:20" ht="13.5" thickBot="1" x14ac:dyDescent="0.25">
      <c r="A26" s="48" t="s">
        <v>264</v>
      </c>
      <c r="B26" s="224" t="s">
        <v>263</v>
      </c>
      <c r="C26" s="48" t="s">
        <v>34</v>
      </c>
      <c r="D26" s="87" t="s">
        <v>1812</v>
      </c>
      <c r="E26" s="208">
        <v>49335</v>
      </c>
      <c r="F26" s="208">
        <v>49335</v>
      </c>
      <c r="G26" s="244">
        <v>33</v>
      </c>
      <c r="H26" s="48" t="s">
        <v>1648</v>
      </c>
      <c r="I26" s="48" t="s">
        <v>1649</v>
      </c>
      <c r="J26" s="48" t="s">
        <v>1649</v>
      </c>
      <c r="K26" s="48" t="s">
        <v>1649</v>
      </c>
      <c r="L26" s="48" t="s">
        <v>1649</v>
      </c>
      <c r="M26" s="48" t="s">
        <v>1648</v>
      </c>
      <c r="N26" s="48" t="s">
        <v>1648</v>
      </c>
      <c r="O26" s="48" t="s">
        <v>1648</v>
      </c>
      <c r="P26" s="48" t="s">
        <v>1648</v>
      </c>
      <c r="Q26" s="48" t="s">
        <v>1649</v>
      </c>
      <c r="R26" s="48" t="s">
        <v>1649</v>
      </c>
      <c r="S26" s="48" t="s">
        <v>1649</v>
      </c>
      <c r="T26" s="48"/>
    </row>
    <row r="27" spans="1:20" ht="13.5" thickBot="1" x14ac:dyDescent="0.25">
      <c r="A27" s="48" t="s">
        <v>272</v>
      </c>
      <c r="B27" s="224" t="s">
        <v>271</v>
      </c>
      <c r="C27" s="48" t="s">
        <v>34</v>
      </c>
      <c r="D27" s="87" t="s">
        <v>3533</v>
      </c>
      <c r="E27" s="208">
        <v>25000</v>
      </c>
      <c r="F27" s="208">
        <v>39170</v>
      </c>
      <c r="G27" s="244">
        <v>35</v>
      </c>
      <c r="H27" s="48" t="s">
        <v>1649</v>
      </c>
      <c r="I27" s="48" t="s">
        <v>1649</v>
      </c>
      <c r="J27" s="48" t="s">
        <v>1649</v>
      </c>
      <c r="K27" s="48" t="s">
        <v>1649</v>
      </c>
      <c r="L27" s="48" t="s">
        <v>1649</v>
      </c>
      <c r="M27" s="48" t="s">
        <v>1649</v>
      </c>
      <c r="N27" s="48" t="s">
        <v>1649</v>
      </c>
      <c r="O27" s="48" t="s">
        <v>1648</v>
      </c>
      <c r="P27" s="48" t="s">
        <v>1648</v>
      </c>
      <c r="Q27" s="48" t="s">
        <v>1649</v>
      </c>
      <c r="R27" s="48" t="s">
        <v>1649</v>
      </c>
      <c r="S27" s="48" t="s">
        <v>1649</v>
      </c>
      <c r="T27" s="48"/>
    </row>
    <row r="28" spans="1:20" ht="13.5" thickBot="1" x14ac:dyDescent="0.25">
      <c r="A28" s="48" t="s">
        <v>286</v>
      </c>
      <c r="B28" s="224" t="s">
        <v>285</v>
      </c>
      <c r="C28" s="48" t="s">
        <v>34</v>
      </c>
      <c r="D28" s="87" t="s">
        <v>3530</v>
      </c>
      <c r="E28" s="208">
        <v>49006</v>
      </c>
      <c r="F28" s="208">
        <v>50000</v>
      </c>
      <c r="G28" s="244">
        <v>29</v>
      </c>
      <c r="H28" s="48" t="s">
        <v>1649</v>
      </c>
      <c r="I28" s="48" t="s">
        <v>1649</v>
      </c>
      <c r="J28" s="48" t="s">
        <v>1649</v>
      </c>
      <c r="K28" s="48" t="s">
        <v>1649</v>
      </c>
      <c r="L28" s="48" t="s">
        <v>1649</v>
      </c>
      <c r="M28" s="48" t="s">
        <v>1649</v>
      </c>
      <c r="N28" s="48" t="s">
        <v>1648</v>
      </c>
      <c r="O28" s="48" t="s">
        <v>1648</v>
      </c>
      <c r="P28" s="48" t="s">
        <v>1649</v>
      </c>
      <c r="Q28" s="48" t="s">
        <v>1649</v>
      </c>
      <c r="R28" s="48" t="s">
        <v>1649</v>
      </c>
      <c r="S28" s="48" t="s">
        <v>1649</v>
      </c>
      <c r="T28" s="48"/>
    </row>
    <row r="29" spans="1:20" ht="13.5" thickBot="1" x14ac:dyDescent="0.25">
      <c r="A29" s="48" t="s">
        <v>298</v>
      </c>
      <c r="B29" s="224" t="s">
        <v>297</v>
      </c>
      <c r="C29" s="48" t="s">
        <v>34</v>
      </c>
      <c r="D29" s="87" t="s">
        <v>3533</v>
      </c>
      <c r="E29" s="208">
        <v>35000</v>
      </c>
      <c r="F29" s="208">
        <v>37000</v>
      </c>
      <c r="G29" s="244">
        <v>40</v>
      </c>
      <c r="H29" s="48" t="s">
        <v>1649</v>
      </c>
      <c r="I29" s="48" t="s">
        <v>1649</v>
      </c>
      <c r="J29" s="48" t="s">
        <v>1649</v>
      </c>
      <c r="K29" s="48" t="s">
        <v>1649</v>
      </c>
      <c r="L29" s="48" t="s">
        <v>1649</v>
      </c>
      <c r="M29" s="48" t="s">
        <v>1648</v>
      </c>
      <c r="N29" s="48" t="s">
        <v>1648</v>
      </c>
      <c r="O29" s="48" t="s">
        <v>1648</v>
      </c>
      <c r="P29" s="48" t="s">
        <v>1648</v>
      </c>
      <c r="Q29" s="48" t="s">
        <v>1649</v>
      </c>
      <c r="R29" s="48" t="s">
        <v>1649</v>
      </c>
      <c r="S29" s="48" t="s">
        <v>1649</v>
      </c>
      <c r="T29" s="48"/>
    </row>
    <row r="30" spans="1:20" ht="13.5" thickBot="1" x14ac:dyDescent="0.25">
      <c r="A30" s="48" t="s">
        <v>306</v>
      </c>
      <c r="B30" s="224" t="s">
        <v>305</v>
      </c>
      <c r="C30" s="48" t="s">
        <v>34</v>
      </c>
      <c r="D30" s="87" t="s">
        <v>3533</v>
      </c>
      <c r="E30" s="208">
        <v>20166</v>
      </c>
      <c r="F30" s="208">
        <v>20166</v>
      </c>
      <c r="G30" s="244">
        <v>20</v>
      </c>
      <c r="H30" s="48" t="s">
        <v>1649</v>
      </c>
      <c r="I30" s="48" t="s">
        <v>1649</v>
      </c>
      <c r="J30" s="48" t="s">
        <v>1649</v>
      </c>
      <c r="K30" s="48" t="s">
        <v>1649</v>
      </c>
      <c r="L30" s="48" t="s">
        <v>1649</v>
      </c>
      <c r="M30" s="48" t="s">
        <v>1649</v>
      </c>
      <c r="N30" s="48" t="s">
        <v>1649</v>
      </c>
      <c r="O30" s="48" t="s">
        <v>1649</v>
      </c>
      <c r="P30" s="48" t="s">
        <v>1649</v>
      </c>
      <c r="Q30" s="48" t="s">
        <v>1649</v>
      </c>
      <c r="R30" s="48" t="s">
        <v>1649</v>
      </c>
      <c r="S30" s="48" t="s">
        <v>1649</v>
      </c>
      <c r="T30" s="48"/>
    </row>
    <row r="31" spans="1:20" ht="13.5" thickBot="1" x14ac:dyDescent="0.25">
      <c r="A31" s="48" t="s">
        <v>314</v>
      </c>
      <c r="B31" s="224" t="s">
        <v>313</v>
      </c>
      <c r="C31" s="48" t="s">
        <v>34</v>
      </c>
      <c r="D31" s="87" t="s">
        <v>3529</v>
      </c>
      <c r="E31" s="208">
        <v>38500</v>
      </c>
      <c r="F31" s="208">
        <v>58000</v>
      </c>
      <c r="G31" s="244">
        <v>40</v>
      </c>
      <c r="H31" s="48" t="s">
        <v>1648</v>
      </c>
      <c r="I31" s="48" t="s">
        <v>1649</v>
      </c>
      <c r="J31" s="48" t="s">
        <v>1649</v>
      </c>
      <c r="K31" s="48" t="s">
        <v>1649</v>
      </c>
      <c r="L31" s="48" t="s">
        <v>1649</v>
      </c>
      <c r="M31" s="48" t="s">
        <v>1648</v>
      </c>
      <c r="N31" s="48" t="s">
        <v>1648</v>
      </c>
      <c r="O31" s="48" t="s">
        <v>1648</v>
      </c>
      <c r="P31" s="48" t="s">
        <v>1648</v>
      </c>
      <c r="Q31" s="48" t="s">
        <v>1648</v>
      </c>
      <c r="R31" s="48" t="s">
        <v>1649</v>
      </c>
      <c r="S31" s="48" t="s">
        <v>1649</v>
      </c>
      <c r="T31" s="48"/>
    </row>
    <row r="32" spans="1:20" ht="13.5" thickBot="1" x14ac:dyDescent="0.25">
      <c r="A32" s="48" t="s">
        <v>316</v>
      </c>
      <c r="B32" s="224" t="s">
        <v>315</v>
      </c>
      <c r="C32" s="48" t="s">
        <v>34</v>
      </c>
      <c r="D32" s="87" t="s">
        <v>3533</v>
      </c>
      <c r="E32" s="208">
        <v>14560</v>
      </c>
      <c r="F32" s="208">
        <v>17472</v>
      </c>
      <c r="G32" s="244">
        <v>20</v>
      </c>
      <c r="H32" s="48" t="s">
        <v>1649</v>
      </c>
      <c r="I32" s="48" t="s">
        <v>1649</v>
      </c>
      <c r="J32" s="48" t="s">
        <v>1649</v>
      </c>
      <c r="K32" s="48" t="s">
        <v>1649</v>
      </c>
      <c r="L32" s="48" t="s">
        <v>1649</v>
      </c>
      <c r="M32" s="48" t="s">
        <v>1649</v>
      </c>
      <c r="N32" s="48" t="s">
        <v>1648</v>
      </c>
      <c r="O32" s="48" t="s">
        <v>1649</v>
      </c>
      <c r="P32" s="48" t="s">
        <v>1648</v>
      </c>
      <c r="Q32" s="48" t="s">
        <v>1649</v>
      </c>
      <c r="R32" s="48" t="s">
        <v>1649</v>
      </c>
      <c r="S32" s="48" t="s">
        <v>1649</v>
      </c>
      <c r="T32" s="48"/>
    </row>
    <row r="33" spans="1:20" ht="13.5" thickBot="1" x14ac:dyDescent="0.25">
      <c r="A33" s="48" t="s">
        <v>364</v>
      </c>
      <c r="B33" s="224" t="s">
        <v>363</v>
      </c>
      <c r="C33" s="48" t="s">
        <v>34</v>
      </c>
      <c r="D33" s="87" t="s">
        <v>3533</v>
      </c>
      <c r="E33" s="208">
        <v>18000</v>
      </c>
      <c r="F33" s="208">
        <v>38500</v>
      </c>
      <c r="G33" s="244">
        <v>45</v>
      </c>
      <c r="H33" s="48" t="s">
        <v>1648</v>
      </c>
      <c r="I33" s="48" t="s">
        <v>1648</v>
      </c>
      <c r="J33" s="48" t="s">
        <v>1648</v>
      </c>
      <c r="K33" s="48" t="s">
        <v>1648</v>
      </c>
      <c r="L33" s="48" t="s">
        <v>1648</v>
      </c>
      <c r="M33" s="48" t="s">
        <v>1648</v>
      </c>
      <c r="N33" s="48" t="s">
        <v>1648</v>
      </c>
      <c r="O33" s="48" t="s">
        <v>1648</v>
      </c>
      <c r="P33" s="48" t="s">
        <v>1648</v>
      </c>
      <c r="Q33" s="48" t="s">
        <v>1649</v>
      </c>
      <c r="R33" s="48" t="s">
        <v>1648</v>
      </c>
      <c r="S33" s="48" t="s">
        <v>1648</v>
      </c>
      <c r="T33" s="48"/>
    </row>
    <row r="34" spans="1:20" ht="13.5" thickBot="1" x14ac:dyDescent="0.25">
      <c r="A34" s="48" t="s">
        <v>380</v>
      </c>
      <c r="B34" s="224" t="s">
        <v>379</v>
      </c>
      <c r="C34" s="48" t="s">
        <v>34</v>
      </c>
      <c r="D34" s="87" t="s">
        <v>1812</v>
      </c>
      <c r="E34" s="208">
        <v>32000</v>
      </c>
      <c r="F34" s="208">
        <v>34000</v>
      </c>
      <c r="G34" s="244">
        <v>36</v>
      </c>
      <c r="H34" s="48" t="s">
        <v>1649</v>
      </c>
      <c r="I34" s="48" t="s">
        <v>1649</v>
      </c>
      <c r="J34" s="48" t="s">
        <v>1649</v>
      </c>
      <c r="K34" s="48" t="s">
        <v>1649</v>
      </c>
      <c r="L34" s="48" t="s">
        <v>1649</v>
      </c>
      <c r="M34" s="48" t="s">
        <v>1649</v>
      </c>
      <c r="N34" s="48" t="s">
        <v>1648</v>
      </c>
      <c r="O34" s="48" t="s">
        <v>1649</v>
      </c>
      <c r="P34" s="48" t="s">
        <v>1648</v>
      </c>
      <c r="Q34" s="48" t="s">
        <v>1649</v>
      </c>
      <c r="R34" s="48" t="s">
        <v>1649</v>
      </c>
      <c r="S34" s="48" t="s">
        <v>1649</v>
      </c>
      <c r="T34" s="48"/>
    </row>
    <row r="35" spans="1:20" ht="13.5" thickBot="1" x14ac:dyDescent="0.25">
      <c r="A35" s="48" t="s">
        <v>412</v>
      </c>
      <c r="B35" s="224" t="s">
        <v>411</v>
      </c>
      <c r="C35" s="48" t="s">
        <v>34</v>
      </c>
      <c r="D35" s="87" t="s">
        <v>3533</v>
      </c>
      <c r="E35" s="208">
        <v>10000</v>
      </c>
      <c r="F35" s="208">
        <v>20000</v>
      </c>
      <c r="G35" s="244">
        <v>20</v>
      </c>
      <c r="H35" s="48" t="s">
        <v>1649</v>
      </c>
      <c r="I35" s="48" t="s">
        <v>1649</v>
      </c>
      <c r="J35" s="48" t="s">
        <v>1649</v>
      </c>
      <c r="K35" s="48" t="s">
        <v>1649</v>
      </c>
      <c r="L35" s="48" t="s">
        <v>1648</v>
      </c>
      <c r="M35" s="48" t="s">
        <v>1648</v>
      </c>
      <c r="N35" s="48" t="s">
        <v>1649</v>
      </c>
      <c r="O35" s="48" t="s">
        <v>1648</v>
      </c>
      <c r="P35" s="48" t="s">
        <v>1649</v>
      </c>
      <c r="Q35" s="48" t="s">
        <v>1649</v>
      </c>
      <c r="R35" s="48" t="s">
        <v>1649</v>
      </c>
      <c r="S35" s="48" t="s">
        <v>1649</v>
      </c>
      <c r="T35" s="48"/>
    </row>
    <row r="36" spans="1:20" ht="13.5" thickBot="1" x14ac:dyDescent="0.25">
      <c r="A36" s="48" t="s">
        <v>419</v>
      </c>
      <c r="B36" s="224" t="s">
        <v>418</v>
      </c>
      <c r="C36" s="48" t="s">
        <v>34</v>
      </c>
      <c r="D36" s="87" t="s">
        <v>3533</v>
      </c>
      <c r="E36" s="208">
        <v>500</v>
      </c>
      <c r="F36" s="208">
        <v>2000</v>
      </c>
      <c r="G36" s="244">
        <v>20</v>
      </c>
      <c r="H36" s="48" t="s">
        <v>1649</v>
      </c>
      <c r="I36" s="48" t="s">
        <v>1649</v>
      </c>
      <c r="J36" s="48" t="s">
        <v>1649</v>
      </c>
      <c r="K36" s="48" t="s">
        <v>1649</v>
      </c>
      <c r="L36" s="48" t="s">
        <v>1649</v>
      </c>
      <c r="M36" s="48" t="s">
        <v>1649</v>
      </c>
      <c r="N36" s="48" t="s">
        <v>1649</v>
      </c>
      <c r="O36" s="48" t="s">
        <v>1649</v>
      </c>
      <c r="P36" s="48" t="s">
        <v>1649</v>
      </c>
      <c r="Q36" s="48" t="s">
        <v>1649</v>
      </c>
      <c r="R36" s="48" t="s">
        <v>1649</v>
      </c>
      <c r="S36" s="48" t="s">
        <v>1649</v>
      </c>
      <c r="T36" s="48"/>
    </row>
    <row r="37" spans="1:20" ht="13.5" thickBot="1" x14ac:dyDescent="0.25">
      <c r="A37" s="48" t="s">
        <v>421</v>
      </c>
      <c r="B37" s="224" t="s">
        <v>420</v>
      </c>
      <c r="C37" s="48" t="s">
        <v>34</v>
      </c>
      <c r="D37" s="87" t="s">
        <v>3529</v>
      </c>
      <c r="E37" s="208">
        <v>36480</v>
      </c>
      <c r="F37" s="208">
        <v>38400</v>
      </c>
      <c r="G37" s="244">
        <v>40</v>
      </c>
      <c r="H37" s="48" t="s">
        <v>1648</v>
      </c>
      <c r="I37" s="48" t="s">
        <v>1648</v>
      </c>
      <c r="J37" s="48" t="s">
        <v>1648</v>
      </c>
      <c r="K37" s="48" t="s">
        <v>1648</v>
      </c>
      <c r="L37" s="48" t="s">
        <v>1648</v>
      </c>
      <c r="M37" s="48" t="s">
        <v>1648</v>
      </c>
      <c r="N37" s="48" t="s">
        <v>1648</v>
      </c>
      <c r="O37" s="48" t="s">
        <v>1648</v>
      </c>
      <c r="P37" s="48" t="s">
        <v>1648</v>
      </c>
      <c r="Q37" s="48" t="s">
        <v>1648</v>
      </c>
      <c r="R37" s="48" t="s">
        <v>1648</v>
      </c>
      <c r="S37" s="48" t="s">
        <v>1648</v>
      </c>
      <c r="T37" s="48"/>
    </row>
    <row r="38" spans="1:20" ht="13.5" thickBot="1" x14ac:dyDescent="0.25">
      <c r="A38" s="48" t="s">
        <v>425</v>
      </c>
      <c r="B38" s="224" t="s">
        <v>424</v>
      </c>
      <c r="C38" s="48" t="s">
        <v>34</v>
      </c>
      <c r="D38" s="87" t="s">
        <v>1812</v>
      </c>
      <c r="E38" s="208">
        <v>40125</v>
      </c>
      <c r="F38" s="208">
        <v>44670</v>
      </c>
      <c r="G38" s="244">
        <v>40</v>
      </c>
      <c r="H38" s="48" t="s">
        <v>1648</v>
      </c>
      <c r="I38" s="48" t="s">
        <v>1648</v>
      </c>
      <c r="J38" s="48" t="s">
        <v>1648</v>
      </c>
      <c r="K38" s="48" t="s">
        <v>1649</v>
      </c>
      <c r="L38" s="48" t="s">
        <v>1649</v>
      </c>
      <c r="M38" s="48" t="s">
        <v>1648</v>
      </c>
      <c r="N38" s="48" t="s">
        <v>1648</v>
      </c>
      <c r="O38" s="48" t="s">
        <v>1649</v>
      </c>
      <c r="P38" s="48" t="s">
        <v>1648</v>
      </c>
      <c r="Q38" s="48" t="s">
        <v>1649</v>
      </c>
      <c r="R38" s="48" t="s">
        <v>1649</v>
      </c>
      <c r="S38" s="48" t="s">
        <v>1649</v>
      </c>
      <c r="T38" s="48" t="s">
        <v>3570</v>
      </c>
    </row>
    <row r="39" spans="1:20" ht="13.5" thickBot="1" x14ac:dyDescent="0.25">
      <c r="A39" s="48" t="s">
        <v>435</v>
      </c>
      <c r="B39" s="224" t="s">
        <v>434</v>
      </c>
      <c r="C39" s="48" t="s">
        <v>34</v>
      </c>
      <c r="D39" s="87" t="s">
        <v>1812</v>
      </c>
      <c r="E39" s="208">
        <v>0</v>
      </c>
      <c r="F39" s="208">
        <v>20800</v>
      </c>
      <c r="G39" s="244">
        <v>20</v>
      </c>
      <c r="H39" s="48" t="s">
        <v>1649</v>
      </c>
      <c r="I39" s="48" t="s">
        <v>1649</v>
      </c>
      <c r="J39" s="48" t="s">
        <v>1649</v>
      </c>
      <c r="K39" s="48" t="s">
        <v>1649</v>
      </c>
      <c r="L39" s="48" t="s">
        <v>1649</v>
      </c>
      <c r="M39" s="48" t="s">
        <v>1649</v>
      </c>
      <c r="N39" s="48" t="s">
        <v>1649</v>
      </c>
      <c r="O39" s="48" t="s">
        <v>1649</v>
      </c>
      <c r="P39" s="48" t="s">
        <v>1649</v>
      </c>
      <c r="Q39" s="48" t="s">
        <v>1649</v>
      </c>
      <c r="R39" s="48" t="s">
        <v>1649</v>
      </c>
      <c r="S39" s="48" t="s">
        <v>1649</v>
      </c>
      <c r="T39" s="48" t="s">
        <v>3572</v>
      </c>
    </row>
    <row r="40" spans="1:20" ht="13.5" thickBot="1" x14ac:dyDescent="0.25">
      <c r="A40" s="48" t="s">
        <v>441</v>
      </c>
      <c r="B40" s="224" t="s">
        <v>440</v>
      </c>
      <c r="C40" s="48" t="s">
        <v>34</v>
      </c>
      <c r="D40" s="87" t="s">
        <v>3533</v>
      </c>
      <c r="E40" s="208">
        <v>18200</v>
      </c>
      <c r="F40" s="208">
        <v>18200</v>
      </c>
      <c r="G40" s="244">
        <v>24</v>
      </c>
      <c r="H40" s="48" t="s">
        <v>1649</v>
      </c>
      <c r="I40" s="48" t="s">
        <v>1649</v>
      </c>
      <c r="J40" s="48" t="s">
        <v>1649</v>
      </c>
      <c r="K40" s="48" t="s">
        <v>1649</v>
      </c>
      <c r="L40" s="48" t="s">
        <v>1649</v>
      </c>
      <c r="M40" s="48" t="s">
        <v>1649</v>
      </c>
      <c r="N40" s="48" t="s">
        <v>1648</v>
      </c>
      <c r="O40" s="48" t="s">
        <v>1649</v>
      </c>
      <c r="P40" s="48" t="s">
        <v>1649</v>
      </c>
      <c r="Q40" s="48" t="s">
        <v>1649</v>
      </c>
      <c r="R40" s="48" t="s">
        <v>1649</v>
      </c>
      <c r="S40" s="48" t="s">
        <v>1649</v>
      </c>
      <c r="T40" s="48"/>
    </row>
    <row r="41" spans="1:20" ht="13.5" thickBot="1" x14ac:dyDescent="0.25">
      <c r="A41" s="48" t="s">
        <v>454</v>
      </c>
      <c r="B41" s="224" t="s">
        <v>453</v>
      </c>
      <c r="C41" s="48" t="s">
        <v>34</v>
      </c>
      <c r="D41" s="87" t="s">
        <v>1660</v>
      </c>
      <c r="E41" s="208">
        <v>29640</v>
      </c>
      <c r="F41" s="208">
        <v>33592</v>
      </c>
      <c r="G41" s="244">
        <v>38</v>
      </c>
      <c r="H41" s="48" t="s">
        <v>1649</v>
      </c>
      <c r="I41" s="48" t="s">
        <v>1649</v>
      </c>
      <c r="J41" s="48" t="s">
        <v>1649</v>
      </c>
      <c r="K41" s="48" t="s">
        <v>1649</v>
      </c>
      <c r="L41" s="48" t="s">
        <v>1649</v>
      </c>
      <c r="M41" s="48" t="s">
        <v>1649</v>
      </c>
      <c r="N41" s="48" t="s">
        <v>1649</v>
      </c>
      <c r="O41" s="48" t="s">
        <v>1648</v>
      </c>
      <c r="P41" s="48" t="s">
        <v>1648</v>
      </c>
      <c r="Q41" s="48" t="s">
        <v>1649</v>
      </c>
      <c r="R41" s="48" t="s">
        <v>1649</v>
      </c>
      <c r="S41" s="48" t="s">
        <v>1649</v>
      </c>
      <c r="T41" s="48"/>
    </row>
    <row r="42" spans="1:20" ht="13.5" thickBot="1" x14ac:dyDescent="0.25">
      <c r="A42" s="48" t="s">
        <v>460</v>
      </c>
      <c r="B42" s="224" t="s">
        <v>459</v>
      </c>
      <c r="C42" s="48" t="s">
        <v>34</v>
      </c>
      <c r="D42" s="87" t="s">
        <v>3533</v>
      </c>
      <c r="E42" s="208">
        <v>35000</v>
      </c>
      <c r="F42" s="208">
        <v>41000</v>
      </c>
      <c r="G42" s="244">
        <v>38</v>
      </c>
      <c r="H42" s="48" t="s">
        <v>1648</v>
      </c>
      <c r="I42" s="48" t="s">
        <v>1648</v>
      </c>
      <c r="J42" s="48" t="s">
        <v>1649</v>
      </c>
      <c r="K42" s="48" t="s">
        <v>1648</v>
      </c>
      <c r="L42" s="48" t="s">
        <v>1648</v>
      </c>
      <c r="M42" s="48" t="s">
        <v>1648</v>
      </c>
      <c r="N42" s="48" t="s">
        <v>1648</v>
      </c>
      <c r="O42" s="48" t="s">
        <v>1649</v>
      </c>
      <c r="P42" s="48" t="s">
        <v>1648</v>
      </c>
      <c r="Q42" s="48" t="s">
        <v>1649</v>
      </c>
      <c r="R42" s="48" t="s">
        <v>1649</v>
      </c>
      <c r="S42" s="48" t="s">
        <v>1649</v>
      </c>
      <c r="T42" s="48"/>
    </row>
    <row r="43" spans="1:20" ht="13.5" thickBot="1" x14ac:dyDescent="0.25">
      <c r="A43" s="48" t="s">
        <v>476</v>
      </c>
      <c r="B43" s="224" t="s">
        <v>475</v>
      </c>
      <c r="C43" s="48" t="s">
        <v>34</v>
      </c>
      <c r="D43" s="87" t="s">
        <v>3533</v>
      </c>
      <c r="E43" s="208">
        <v>10450</v>
      </c>
      <c r="F43" s="208">
        <v>10450</v>
      </c>
      <c r="G43" s="244">
        <v>20</v>
      </c>
      <c r="H43" s="48" t="s">
        <v>1649</v>
      </c>
      <c r="I43" s="48" t="s">
        <v>1649</v>
      </c>
      <c r="J43" s="48" t="s">
        <v>1649</v>
      </c>
      <c r="K43" s="48" t="s">
        <v>1649</v>
      </c>
      <c r="L43" s="48" t="s">
        <v>1649</v>
      </c>
      <c r="M43" s="48" t="s">
        <v>1649</v>
      </c>
      <c r="N43" s="48" t="s">
        <v>1649</v>
      </c>
      <c r="O43" s="48" t="s">
        <v>1649</v>
      </c>
      <c r="P43" s="48" t="s">
        <v>1649</v>
      </c>
      <c r="Q43" s="48" t="s">
        <v>1649</v>
      </c>
      <c r="R43" s="48" t="s">
        <v>1649</v>
      </c>
      <c r="S43" s="48" t="s">
        <v>1649</v>
      </c>
      <c r="T43" s="48"/>
    </row>
    <row r="44" spans="1:20" ht="13.5" thickBot="1" x14ac:dyDescent="0.25">
      <c r="A44" s="48" t="s">
        <v>498</v>
      </c>
      <c r="B44" s="224" t="s">
        <v>497</v>
      </c>
      <c r="C44" s="48" t="s">
        <v>34</v>
      </c>
      <c r="D44" s="87" t="s">
        <v>3533</v>
      </c>
      <c r="E44" s="208">
        <v>17000</v>
      </c>
      <c r="F44" s="208">
        <v>18920</v>
      </c>
      <c r="G44" s="244">
        <v>30</v>
      </c>
      <c r="H44" s="48" t="s">
        <v>1649</v>
      </c>
      <c r="I44" s="48" t="s">
        <v>1649</v>
      </c>
      <c r="J44" s="48" t="s">
        <v>1649</v>
      </c>
      <c r="K44" s="48" t="s">
        <v>1649</v>
      </c>
      <c r="L44" s="48" t="s">
        <v>1649</v>
      </c>
      <c r="M44" s="48" t="s">
        <v>1648</v>
      </c>
      <c r="N44" s="48" t="s">
        <v>1648</v>
      </c>
      <c r="O44" s="48" t="s">
        <v>1648</v>
      </c>
      <c r="P44" s="48" t="s">
        <v>1648</v>
      </c>
      <c r="Q44" s="48" t="s">
        <v>1649</v>
      </c>
      <c r="R44" s="48" t="s">
        <v>1649</v>
      </c>
      <c r="S44" s="48" t="s">
        <v>1649</v>
      </c>
      <c r="T44" s="48"/>
    </row>
    <row r="45" spans="1:20" ht="13.5" thickBot="1" x14ac:dyDescent="0.25">
      <c r="A45" s="48" t="s">
        <v>518</v>
      </c>
      <c r="B45" s="224" t="s">
        <v>517</v>
      </c>
      <c r="C45" s="48" t="s">
        <v>34</v>
      </c>
      <c r="D45" s="87" t="s">
        <v>3533</v>
      </c>
      <c r="E45" s="208">
        <v>16494</v>
      </c>
      <c r="F45" s="208">
        <v>17905</v>
      </c>
      <c r="G45" s="244">
        <v>20</v>
      </c>
      <c r="H45" s="48" t="s">
        <v>1649</v>
      </c>
      <c r="I45" s="48" t="s">
        <v>1649</v>
      </c>
      <c r="J45" s="48" t="s">
        <v>1649</v>
      </c>
      <c r="K45" s="48" t="s">
        <v>1649</v>
      </c>
      <c r="L45" s="48" t="s">
        <v>1649</v>
      </c>
      <c r="M45" s="48" t="s">
        <v>1649</v>
      </c>
      <c r="N45" s="48" t="s">
        <v>1648</v>
      </c>
      <c r="O45" s="48" t="s">
        <v>1648</v>
      </c>
      <c r="P45" s="48" t="s">
        <v>1648</v>
      </c>
      <c r="Q45" s="48" t="s">
        <v>1649</v>
      </c>
      <c r="R45" s="48" t="s">
        <v>1649</v>
      </c>
      <c r="S45" s="48" t="s">
        <v>1649</v>
      </c>
      <c r="T45" s="48"/>
    </row>
    <row r="46" spans="1:20" ht="13.5" thickBot="1" x14ac:dyDescent="0.25">
      <c r="A46" s="48" t="s">
        <v>534</v>
      </c>
      <c r="B46" s="224" t="s">
        <v>533</v>
      </c>
      <c r="C46" s="48" t="s">
        <v>34</v>
      </c>
      <c r="D46" s="87" t="s">
        <v>3533</v>
      </c>
      <c r="E46" s="208">
        <v>37000</v>
      </c>
      <c r="F46" s="208">
        <v>38110</v>
      </c>
      <c r="G46" s="244">
        <v>40</v>
      </c>
      <c r="H46" s="48" t="s">
        <v>1649</v>
      </c>
      <c r="I46" s="48" t="s">
        <v>1649</v>
      </c>
      <c r="J46" s="48" t="s">
        <v>1649</v>
      </c>
      <c r="K46" s="48" t="s">
        <v>1649</v>
      </c>
      <c r="L46" s="48" t="s">
        <v>1649</v>
      </c>
      <c r="M46" s="48" t="s">
        <v>1648</v>
      </c>
      <c r="N46" s="48" t="s">
        <v>1648</v>
      </c>
      <c r="O46" s="48" t="s">
        <v>1648</v>
      </c>
      <c r="P46" s="48" t="s">
        <v>1648</v>
      </c>
      <c r="Q46" s="48" t="s">
        <v>1649</v>
      </c>
      <c r="R46" s="48" t="s">
        <v>1649</v>
      </c>
      <c r="S46" s="48" t="s">
        <v>1648</v>
      </c>
      <c r="T46" s="48"/>
    </row>
    <row r="47" spans="1:20" ht="13.5" thickBot="1" x14ac:dyDescent="0.25">
      <c r="A47" s="48" t="s">
        <v>548</v>
      </c>
      <c r="B47" s="224" t="s">
        <v>547</v>
      </c>
      <c r="C47" s="48" t="s">
        <v>34</v>
      </c>
      <c r="D47" s="87" t="s">
        <v>1812</v>
      </c>
      <c r="E47" s="208">
        <v>15000</v>
      </c>
      <c r="F47" s="208">
        <v>30000</v>
      </c>
      <c r="G47" s="244">
        <v>40</v>
      </c>
      <c r="H47" s="48" t="s">
        <v>1649</v>
      </c>
      <c r="I47" s="48" t="s">
        <v>1649</v>
      </c>
      <c r="J47" s="48" t="s">
        <v>1649</v>
      </c>
      <c r="K47" s="48" t="s">
        <v>1649</v>
      </c>
      <c r="L47" s="48" t="s">
        <v>1649</v>
      </c>
      <c r="M47" s="48" t="s">
        <v>1648</v>
      </c>
      <c r="N47" s="48" t="s">
        <v>1648</v>
      </c>
      <c r="O47" s="48" t="s">
        <v>1648</v>
      </c>
      <c r="P47" s="48" t="s">
        <v>1648</v>
      </c>
      <c r="Q47" s="48" t="s">
        <v>1649</v>
      </c>
      <c r="R47" s="48" t="s">
        <v>1649</v>
      </c>
      <c r="S47" s="48" t="s">
        <v>1649</v>
      </c>
      <c r="T47" s="48" t="s">
        <v>3585</v>
      </c>
    </row>
    <row r="48" spans="1:20" ht="13.5" thickBot="1" x14ac:dyDescent="0.25">
      <c r="A48" s="48" t="s">
        <v>552</v>
      </c>
      <c r="B48" s="224" t="s">
        <v>551</v>
      </c>
      <c r="C48" s="48" t="s">
        <v>34</v>
      </c>
      <c r="D48" s="87" t="s">
        <v>3533</v>
      </c>
      <c r="E48" s="208">
        <v>27000</v>
      </c>
      <c r="F48" s="208">
        <v>29000</v>
      </c>
      <c r="G48" s="244">
        <v>32</v>
      </c>
      <c r="H48" s="48" t="s">
        <v>1648</v>
      </c>
      <c r="I48" s="48" t="s">
        <v>1648</v>
      </c>
      <c r="J48" s="48" t="s">
        <v>1648</v>
      </c>
      <c r="K48" s="48" t="s">
        <v>1648</v>
      </c>
      <c r="L48" s="48" t="s">
        <v>1648</v>
      </c>
      <c r="M48" s="48" t="s">
        <v>1648</v>
      </c>
      <c r="N48" s="48" t="s">
        <v>1649</v>
      </c>
      <c r="O48" s="48" t="s">
        <v>1648</v>
      </c>
      <c r="P48" s="48" t="s">
        <v>1648</v>
      </c>
      <c r="Q48" s="48" t="s">
        <v>1649</v>
      </c>
      <c r="R48" s="48" t="s">
        <v>1649</v>
      </c>
      <c r="S48" s="48" t="s">
        <v>1648</v>
      </c>
      <c r="T48" s="48"/>
    </row>
    <row r="49" spans="1:20" ht="13.5" thickBot="1" x14ac:dyDescent="0.25">
      <c r="A49" s="48" t="s">
        <v>574</v>
      </c>
      <c r="B49" s="224" t="s">
        <v>573</v>
      </c>
      <c r="C49" s="48" t="s">
        <v>34</v>
      </c>
      <c r="D49" s="87" t="s">
        <v>1812</v>
      </c>
      <c r="E49" s="208">
        <v>38560</v>
      </c>
      <c r="F49" s="208">
        <v>41000</v>
      </c>
      <c r="G49" s="244">
        <v>40</v>
      </c>
      <c r="H49" s="48" t="s">
        <v>1648</v>
      </c>
      <c r="I49" s="48" t="s">
        <v>1649</v>
      </c>
      <c r="J49" s="48" t="s">
        <v>1649</v>
      </c>
      <c r="K49" s="48" t="s">
        <v>1649</v>
      </c>
      <c r="L49" s="48" t="s">
        <v>1648</v>
      </c>
      <c r="M49" s="48" t="s">
        <v>1648</v>
      </c>
      <c r="N49" s="48" t="s">
        <v>1648</v>
      </c>
      <c r="O49" s="48" t="s">
        <v>1648</v>
      </c>
      <c r="P49" s="48" t="s">
        <v>1648</v>
      </c>
      <c r="Q49" s="48" t="s">
        <v>1649</v>
      </c>
      <c r="R49" s="48" t="s">
        <v>1649</v>
      </c>
      <c r="S49" s="48" t="s">
        <v>1648</v>
      </c>
      <c r="T49" s="48"/>
    </row>
    <row r="50" spans="1:20" ht="13.5" thickBot="1" x14ac:dyDescent="0.25">
      <c r="A50" s="48" t="s">
        <v>612</v>
      </c>
      <c r="B50" s="224" t="s">
        <v>611</v>
      </c>
      <c r="C50" s="48" t="s">
        <v>34</v>
      </c>
      <c r="D50" s="87" t="s">
        <v>3529</v>
      </c>
      <c r="E50" s="208">
        <v>12511</v>
      </c>
      <c r="F50" s="208">
        <v>25804</v>
      </c>
      <c r="G50" s="244">
        <v>23</v>
      </c>
      <c r="H50" s="48" t="s">
        <v>1649</v>
      </c>
      <c r="I50" s="48" t="s">
        <v>1649</v>
      </c>
      <c r="J50" s="48" t="s">
        <v>1649</v>
      </c>
      <c r="K50" s="48" t="s">
        <v>1649</v>
      </c>
      <c r="L50" s="48" t="s">
        <v>1649</v>
      </c>
      <c r="M50" s="48" t="s">
        <v>1649</v>
      </c>
      <c r="N50" s="48" t="s">
        <v>1649</v>
      </c>
      <c r="O50" s="48" t="s">
        <v>1649</v>
      </c>
      <c r="P50" s="48" t="s">
        <v>1649</v>
      </c>
      <c r="Q50" s="48" t="s">
        <v>1649</v>
      </c>
      <c r="R50" s="48" t="s">
        <v>1649</v>
      </c>
      <c r="S50" s="48" t="s">
        <v>1649</v>
      </c>
      <c r="T50" s="48"/>
    </row>
    <row r="51" spans="1:20" ht="13.5" thickBot="1" x14ac:dyDescent="0.25">
      <c r="A51" s="48" t="s">
        <v>622</v>
      </c>
      <c r="B51" s="224" t="s">
        <v>621</v>
      </c>
      <c r="C51" s="48" t="s">
        <v>34</v>
      </c>
      <c r="D51" s="87" t="s">
        <v>1812</v>
      </c>
      <c r="E51" s="208">
        <v>14399</v>
      </c>
      <c r="F51" s="208">
        <v>14688</v>
      </c>
      <c r="G51" s="244">
        <v>16</v>
      </c>
      <c r="H51" s="48" t="s">
        <v>1649</v>
      </c>
      <c r="I51" s="48" t="s">
        <v>1649</v>
      </c>
      <c r="J51" s="48" t="s">
        <v>1649</v>
      </c>
      <c r="K51" s="48" t="s">
        <v>1649</v>
      </c>
      <c r="L51" s="48" t="s">
        <v>1648</v>
      </c>
      <c r="M51" s="48" t="s">
        <v>1648</v>
      </c>
      <c r="N51" s="48" t="s">
        <v>1648</v>
      </c>
      <c r="O51" s="48" t="s">
        <v>1648</v>
      </c>
      <c r="P51" s="48" t="s">
        <v>1648</v>
      </c>
      <c r="Q51" s="48" t="s">
        <v>1649</v>
      </c>
      <c r="R51" s="48" t="s">
        <v>1649</v>
      </c>
      <c r="S51" s="48" t="s">
        <v>1649</v>
      </c>
      <c r="T51" s="48"/>
    </row>
    <row r="52" spans="1:20" ht="13.5" thickBot="1" x14ac:dyDescent="0.25">
      <c r="A52" s="48" t="s">
        <v>624</v>
      </c>
      <c r="B52" s="224" t="s">
        <v>623</v>
      </c>
      <c r="C52" s="48" t="s">
        <v>34</v>
      </c>
      <c r="D52" s="87" t="s">
        <v>1812</v>
      </c>
      <c r="E52" s="208">
        <v>22932</v>
      </c>
      <c r="F52" s="208">
        <v>26208</v>
      </c>
      <c r="G52" s="244">
        <v>28</v>
      </c>
      <c r="H52" s="48" t="s">
        <v>1649</v>
      </c>
      <c r="I52" s="48" t="s">
        <v>1649</v>
      </c>
      <c r="J52" s="48" t="s">
        <v>1649</v>
      </c>
      <c r="K52" s="48" t="s">
        <v>1649</v>
      </c>
      <c r="L52" s="48" t="s">
        <v>1649</v>
      </c>
      <c r="M52" s="48" t="s">
        <v>1649</v>
      </c>
      <c r="N52" s="48" t="s">
        <v>1648</v>
      </c>
      <c r="O52" s="48" t="s">
        <v>1648</v>
      </c>
      <c r="P52" s="48" t="s">
        <v>1649</v>
      </c>
      <c r="Q52" s="48" t="s">
        <v>1649</v>
      </c>
      <c r="R52" s="48" t="s">
        <v>1649</v>
      </c>
      <c r="S52" s="48" t="s">
        <v>1649</v>
      </c>
      <c r="T52" s="48"/>
    </row>
    <row r="53" spans="1:20" ht="13.5" thickBot="1" x14ac:dyDescent="0.25">
      <c r="A53" s="48" t="s">
        <v>628</v>
      </c>
      <c r="B53" s="224" t="s">
        <v>627</v>
      </c>
      <c r="C53" s="48" t="s">
        <v>34</v>
      </c>
      <c r="D53" s="87" t="s">
        <v>3533</v>
      </c>
      <c r="E53" s="208">
        <v>21850</v>
      </c>
      <c r="F53" s="208">
        <v>22013</v>
      </c>
      <c r="G53" s="244">
        <v>32</v>
      </c>
      <c r="H53" s="48" t="s">
        <v>1649</v>
      </c>
      <c r="I53" s="48" t="s">
        <v>1649</v>
      </c>
      <c r="J53" s="48" t="s">
        <v>1649</v>
      </c>
      <c r="K53" s="48" t="s">
        <v>1649</v>
      </c>
      <c r="L53" s="48" t="s">
        <v>1649</v>
      </c>
      <c r="M53" s="48" t="s">
        <v>1649</v>
      </c>
      <c r="N53" s="48" t="s">
        <v>1648</v>
      </c>
      <c r="O53" s="48" t="s">
        <v>1649</v>
      </c>
      <c r="P53" s="48" t="s">
        <v>1648</v>
      </c>
      <c r="Q53" s="48" t="s">
        <v>1649</v>
      </c>
      <c r="R53" s="48" t="s">
        <v>1649</v>
      </c>
      <c r="S53" s="48" t="s">
        <v>1649</v>
      </c>
      <c r="T53" s="48"/>
    </row>
    <row r="54" spans="1:20" ht="13.5" thickBot="1" x14ac:dyDescent="0.25">
      <c r="A54" s="48" t="s">
        <v>630</v>
      </c>
      <c r="B54" s="224" t="s">
        <v>629</v>
      </c>
      <c r="C54" s="48" t="s">
        <v>34</v>
      </c>
      <c r="D54" s="87" t="s">
        <v>3533</v>
      </c>
      <c r="E54" s="208">
        <v>13000</v>
      </c>
      <c r="F54" s="208">
        <v>17000</v>
      </c>
      <c r="G54" s="244">
        <v>26</v>
      </c>
      <c r="H54" s="48" t="s">
        <v>1649</v>
      </c>
      <c r="I54" s="48" t="s">
        <v>1649</v>
      </c>
      <c r="J54" s="48" t="s">
        <v>1649</v>
      </c>
      <c r="K54" s="48" t="s">
        <v>1649</v>
      </c>
      <c r="L54" s="48" t="s">
        <v>1648</v>
      </c>
      <c r="M54" s="48" t="s">
        <v>1648</v>
      </c>
      <c r="N54" s="48" t="s">
        <v>1648</v>
      </c>
      <c r="O54" s="48" t="s">
        <v>1649</v>
      </c>
      <c r="P54" s="48" t="s">
        <v>1648</v>
      </c>
      <c r="Q54" s="48" t="s">
        <v>1649</v>
      </c>
      <c r="R54" s="48" t="s">
        <v>1649</v>
      </c>
      <c r="S54" s="48" t="s">
        <v>1649</v>
      </c>
      <c r="T54" s="48"/>
    </row>
    <row r="55" spans="1:20" ht="13.5" thickBot="1" x14ac:dyDescent="0.25">
      <c r="A55" s="48" t="s">
        <v>674</v>
      </c>
      <c r="B55" s="224" t="s">
        <v>673</v>
      </c>
      <c r="C55" s="48" t="s">
        <v>34</v>
      </c>
      <c r="D55" s="87" t="s">
        <v>1660</v>
      </c>
      <c r="E55" s="208">
        <v>33218</v>
      </c>
      <c r="F55" s="208">
        <v>37370</v>
      </c>
      <c r="G55" s="244">
        <v>40</v>
      </c>
      <c r="H55" s="48" t="s">
        <v>1649</v>
      </c>
      <c r="I55" s="48" t="s">
        <v>1649</v>
      </c>
      <c r="J55" s="48" t="s">
        <v>1649</v>
      </c>
      <c r="K55" s="48" t="s">
        <v>1649</v>
      </c>
      <c r="L55" s="48" t="s">
        <v>1649</v>
      </c>
      <c r="M55" s="48" t="s">
        <v>1649</v>
      </c>
      <c r="N55" s="48" t="s">
        <v>1649</v>
      </c>
      <c r="O55" s="48" t="s">
        <v>1648</v>
      </c>
      <c r="P55" s="48" t="s">
        <v>1648</v>
      </c>
      <c r="Q55" s="48" t="s">
        <v>1648</v>
      </c>
      <c r="R55" s="48" t="s">
        <v>1649</v>
      </c>
      <c r="S55" s="48" t="s">
        <v>1649</v>
      </c>
      <c r="T55" s="48" t="s">
        <v>3604</v>
      </c>
    </row>
    <row r="56" spans="1:20" ht="13.5" thickBot="1" x14ac:dyDescent="0.25">
      <c r="A56" s="48" t="s">
        <v>680</v>
      </c>
      <c r="B56" s="224" t="s">
        <v>679</v>
      </c>
      <c r="C56" s="48" t="s">
        <v>34</v>
      </c>
      <c r="D56" s="87" t="s">
        <v>3533</v>
      </c>
      <c r="E56" s="208">
        <v>17550</v>
      </c>
      <c r="F56" s="208">
        <v>21060</v>
      </c>
      <c r="G56" s="244">
        <v>25</v>
      </c>
      <c r="H56" s="48" t="s">
        <v>1649</v>
      </c>
      <c r="I56" s="48" t="s">
        <v>1649</v>
      </c>
      <c r="J56" s="48" t="s">
        <v>1649</v>
      </c>
      <c r="K56" s="48" t="s">
        <v>1649</v>
      </c>
      <c r="L56" s="48" t="s">
        <v>1649</v>
      </c>
      <c r="M56" s="48" t="s">
        <v>1649</v>
      </c>
      <c r="N56" s="48" t="s">
        <v>1649</v>
      </c>
      <c r="O56" s="48" t="s">
        <v>1649</v>
      </c>
      <c r="P56" s="48" t="s">
        <v>1648</v>
      </c>
      <c r="Q56" s="48" t="s">
        <v>1649</v>
      </c>
      <c r="R56" s="48" t="s">
        <v>1649</v>
      </c>
      <c r="S56" s="48" t="s">
        <v>1649</v>
      </c>
      <c r="T56" s="48"/>
    </row>
    <row r="57" spans="1:20" ht="13.5" thickBot="1" x14ac:dyDescent="0.25">
      <c r="A57" s="48" t="s">
        <v>690</v>
      </c>
      <c r="B57" s="224" t="s">
        <v>689</v>
      </c>
      <c r="C57" s="48" t="s">
        <v>34</v>
      </c>
      <c r="D57" s="87" t="s">
        <v>3533</v>
      </c>
      <c r="E57" s="208">
        <v>28000</v>
      </c>
      <c r="F57" s="208">
        <v>29500</v>
      </c>
      <c r="G57" s="244">
        <v>35</v>
      </c>
      <c r="H57" s="48" t="s">
        <v>1649</v>
      </c>
      <c r="I57" s="48" t="s">
        <v>1649</v>
      </c>
      <c r="J57" s="48" t="s">
        <v>1649</v>
      </c>
      <c r="K57" s="48" t="s">
        <v>1649</v>
      </c>
      <c r="L57" s="48" t="s">
        <v>1649</v>
      </c>
      <c r="M57" s="48" t="s">
        <v>1649</v>
      </c>
      <c r="N57" s="48" t="s">
        <v>1648</v>
      </c>
      <c r="O57" s="48" t="s">
        <v>1649</v>
      </c>
      <c r="P57" s="48" t="s">
        <v>1649</v>
      </c>
      <c r="Q57" s="48" t="s">
        <v>1649</v>
      </c>
      <c r="R57" s="48" t="s">
        <v>1649</v>
      </c>
      <c r="S57" s="48" t="s">
        <v>1649</v>
      </c>
      <c r="T57" s="48" t="s">
        <v>3606</v>
      </c>
    </row>
    <row r="58" spans="1:20" ht="13.5" thickBot="1" x14ac:dyDescent="0.25">
      <c r="A58" s="48" t="s">
        <v>692</v>
      </c>
      <c r="B58" s="224" t="s">
        <v>691</v>
      </c>
      <c r="C58" s="48" t="s">
        <v>34</v>
      </c>
      <c r="D58" s="87" t="s">
        <v>1812</v>
      </c>
      <c r="E58" s="208">
        <v>14880</v>
      </c>
      <c r="F58" s="208">
        <v>14880</v>
      </c>
      <c r="G58" s="244">
        <v>20</v>
      </c>
      <c r="H58" s="48" t="s">
        <v>1649</v>
      </c>
      <c r="I58" s="48" t="s">
        <v>1649</v>
      </c>
      <c r="J58" s="48" t="s">
        <v>1649</v>
      </c>
      <c r="K58" s="48" t="s">
        <v>1649</v>
      </c>
      <c r="L58" s="48" t="s">
        <v>1649</v>
      </c>
      <c r="M58" s="48" t="s">
        <v>1649</v>
      </c>
      <c r="N58" s="48" t="s">
        <v>1649</v>
      </c>
      <c r="O58" s="48" t="s">
        <v>1648</v>
      </c>
      <c r="P58" s="48" t="s">
        <v>1649</v>
      </c>
      <c r="Q58" s="48" t="s">
        <v>1649</v>
      </c>
      <c r="R58" s="48" t="s">
        <v>1649</v>
      </c>
      <c r="S58" s="48" t="s">
        <v>1649</v>
      </c>
      <c r="T58" s="48" t="s">
        <v>3607</v>
      </c>
    </row>
    <row r="59" spans="1:20" ht="13.5" thickBot="1" x14ac:dyDescent="0.25">
      <c r="A59" s="48" t="s">
        <v>714</v>
      </c>
      <c r="B59" s="224" t="s">
        <v>713</v>
      </c>
      <c r="C59" s="48" t="s">
        <v>34</v>
      </c>
      <c r="D59" s="87" t="s">
        <v>3533</v>
      </c>
      <c r="E59" s="208">
        <v>23649</v>
      </c>
      <c r="F59" s="208">
        <v>24606</v>
      </c>
      <c r="G59" s="244">
        <v>40</v>
      </c>
      <c r="H59" s="48" t="s">
        <v>1649</v>
      </c>
      <c r="I59" s="48" t="s">
        <v>1649</v>
      </c>
      <c r="J59" s="48" t="s">
        <v>1649</v>
      </c>
      <c r="K59" s="48" t="s">
        <v>1649</v>
      </c>
      <c r="L59" s="48" t="s">
        <v>1649</v>
      </c>
      <c r="M59" s="48" t="s">
        <v>1649</v>
      </c>
      <c r="N59" s="48" t="s">
        <v>1648</v>
      </c>
      <c r="O59" s="48" t="s">
        <v>1649</v>
      </c>
      <c r="P59" s="48" t="s">
        <v>1648</v>
      </c>
      <c r="Q59" s="48" t="s">
        <v>1649</v>
      </c>
      <c r="R59" s="48" t="s">
        <v>1649</v>
      </c>
      <c r="S59" s="48" t="s">
        <v>1649</v>
      </c>
      <c r="T59" s="48" t="s">
        <v>3609</v>
      </c>
    </row>
    <row r="60" spans="1:20" ht="13.5" thickBot="1" x14ac:dyDescent="0.25">
      <c r="A60" s="48" t="s">
        <v>732</v>
      </c>
      <c r="B60" s="224" t="s">
        <v>731</v>
      </c>
      <c r="C60" s="48" t="s">
        <v>34</v>
      </c>
      <c r="D60" s="87" t="s">
        <v>3533</v>
      </c>
      <c r="E60" s="208">
        <v>15000</v>
      </c>
      <c r="F60" s="208">
        <v>19000</v>
      </c>
      <c r="G60" s="244">
        <v>24</v>
      </c>
      <c r="H60" s="48" t="s">
        <v>1649</v>
      </c>
      <c r="I60" s="48" t="s">
        <v>1649</v>
      </c>
      <c r="J60" s="48" t="s">
        <v>1649</v>
      </c>
      <c r="K60" s="48" t="s">
        <v>1649</v>
      </c>
      <c r="L60" s="48" t="s">
        <v>1649</v>
      </c>
      <c r="M60" s="48" t="s">
        <v>1649</v>
      </c>
      <c r="N60" s="48" t="s">
        <v>1649</v>
      </c>
      <c r="O60" s="48" t="s">
        <v>1649</v>
      </c>
      <c r="P60" s="48" t="s">
        <v>1648</v>
      </c>
      <c r="Q60" s="48" t="s">
        <v>1649</v>
      </c>
      <c r="R60" s="48" t="s">
        <v>1649</v>
      </c>
      <c r="S60" s="48" t="s">
        <v>1649</v>
      </c>
      <c r="T60" s="48"/>
    </row>
    <row r="61" spans="1:20" ht="13.5" thickBot="1" x14ac:dyDescent="0.25">
      <c r="A61" s="48" t="s">
        <v>750</v>
      </c>
      <c r="B61" s="224" t="s">
        <v>749</v>
      </c>
      <c r="C61" s="48" t="s">
        <v>34</v>
      </c>
      <c r="D61" s="87" t="s">
        <v>3533</v>
      </c>
      <c r="E61" s="208">
        <v>18096</v>
      </c>
      <c r="F61" s="208">
        <v>18850</v>
      </c>
      <c r="G61" s="244">
        <v>24</v>
      </c>
      <c r="H61" s="48" t="s">
        <v>1649</v>
      </c>
      <c r="I61" s="48" t="s">
        <v>1649</v>
      </c>
      <c r="J61" s="48" t="s">
        <v>1649</v>
      </c>
      <c r="K61" s="48" t="s">
        <v>1649</v>
      </c>
      <c r="L61" s="48" t="s">
        <v>1649</v>
      </c>
      <c r="M61" s="48" t="s">
        <v>1649</v>
      </c>
      <c r="N61" s="48" t="s">
        <v>1649</v>
      </c>
      <c r="O61" s="48" t="s">
        <v>1649</v>
      </c>
      <c r="P61" s="48" t="s">
        <v>1648</v>
      </c>
      <c r="Q61" s="48" t="s">
        <v>1649</v>
      </c>
      <c r="R61" s="48" t="s">
        <v>1649</v>
      </c>
      <c r="S61" s="48" t="s">
        <v>1649</v>
      </c>
      <c r="T61" s="48"/>
    </row>
    <row r="62" spans="1:20" ht="13.5" thickBot="1" x14ac:dyDescent="0.25">
      <c r="A62" s="48" t="s">
        <v>762</v>
      </c>
      <c r="B62" s="224" t="s">
        <v>761</v>
      </c>
      <c r="C62" s="48" t="s">
        <v>34</v>
      </c>
      <c r="D62" s="87" t="s">
        <v>3533</v>
      </c>
      <c r="E62" s="208">
        <v>24200</v>
      </c>
      <c r="F62" s="208">
        <v>25500</v>
      </c>
      <c r="G62" s="244">
        <v>32</v>
      </c>
      <c r="H62" s="48" t="s">
        <v>1649</v>
      </c>
      <c r="I62" s="48" t="s">
        <v>1649</v>
      </c>
      <c r="J62" s="48" t="s">
        <v>1649</v>
      </c>
      <c r="K62" s="48" t="s">
        <v>1649</v>
      </c>
      <c r="L62" s="48" t="s">
        <v>1649</v>
      </c>
      <c r="M62" s="48" t="s">
        <v>1648</v>
      </c>
      <c r="N62" s="48" t="s">
        <v>1648</v>
      </c>
      <c r="O62" s="48" t="s">
        <v>1649</v>
      </c>
      <c r="P62" s="48" t="s">
        <v>1648</v>
      </c>
      <c r="Q62" s="48" t="s">
        <v>1649</v>
      </c>
      <c r="R62" s="48" t="s">
        <v>1649</v>
      </c>
      <c r="S62" s="48" t="s">
        <v>1649</v>
      </c>
      <c r="T62" s="48"/>
    </row>
    <row r="63" spans="1:20" ht="13.5" thickBot="1" x14ac:dyDescent="0.25">
      <c r="A63" s="48" t="s">
        <v>768</v>
      </c>
      <c r="B63" s="224" t="s">
        <v>767</v>
      </c>
      <c r="C63" s="48" t="s">
        <v>34</v>
      </c>
      <c r="D63" s="87" t="s">
        <v>1812</v>
      </c>
      <c r="E63" s="208">
        <v>29952</v>
      </c>
      <c r="F63" s="208">
        <v>29952</v>
      </c>
      <c r="G63" s="244">
        <v>36</v>
      </c>
      <c r="H63" s="48" t="s">
        <v>1648</v>
      </c>
      <c r="I63" s="48" t="s">
        <v>1648</v>
      </c>
      <c r="J63" s="48" t="s">
        <v>1648</v>
      </c>
      <c r="K63" s="48" t="s">
        <v>1648</v>
      </c>
      <c r="L63" s="48" t="s">
        <v>1648</v>
      </c>
      <c r="M63" s="48" t="s">
        <v>1648</v>
      </c>
      <c r="N63" s="48" t="s">
        <v>1648</v>
      </c>
      <c r="O63" s="48" t="s">
        <v>1648</v>
      </c>
      <c r="P63" s="48" t="s">
        <v>1648</v>
      </c>
      <c r="Q63" s="48" t="s">
        <v>1648</v>
      </c>
      <c r="R63" s="48" t="s">
        <v>1649</v>
      </c>
      <c r="S63" s="48" t="s">
        <v>1649</v>
      </c>
      <c r="T63" s="48"/>
    </row>
    <row r="64" spans="1:20" ht="13.5" thickBot="1" x14ac:dyDescent="0.25">
      <c r="A64" s="48" t="s">
        <v>770</v>
      </c>
      <c r="B64" s="224" t="s">
        <v>769</v>
      </c>
      <c r="C64" s="48" t="s">
        <v>34</v>
      </c>
      <c r="D64" s="87" t="s">
        <v>1812</v>
      </c>
      <c r="E64" s="208">
        <v>22680</v>
      </c>
      <c r="F64" s="208">
        <v>22680</v>
      </c>
      <c r="G64" s="244">
        <v>35</v>
      </c>
      <c r="H64" s="48" t="s">
        <v>1649</v>
      </c>
      <c r="I64" s="48" t="s">
        <v>1649</v>
      </c>
      <c r="J64" s="48" t="s">
        <v>1649</v>
      </c>
      <c r="K64" s="48" t="s">
        <v>1649</v>
      </c>
      <c r="L64" s="48" t="s">
        <v>1649</v>
      </c>
      <c r="M64" s="48" t="s">
        <v>1648</v>
      </c>
      <c r="N64" s="48" t="s">
        <v>1648</v>
      </c>
      <c r="O64" s="48" t="s">
        <v>1649</v>
      </c>
      <c r="P64" s="48" t="s">
        <v>1648</v>
      </c>
      <c r="Q64" s="48" t="s">
        <v>1649</v>
      </c>
      <c r="R64" s="48" t="s">
        <v>1649</v>
      </c>
      <c r="S64" s="48" t="s">
        <v>1649</v>
      </c>
      <c r="T64" s="48"/>
    </row>
    <row r="65" spans="1:20" ht="13.5" thickBot="1" x14ac:dyDescent="0.25">
      <c r="A65" s="48" t="s">
        <v>772</v>
      </c>
      <c r="B65" s="224" t="s">
        <v>771</v>
      </c>
      <c r="C65" s="48" t="s">
        <v>34</v>
      </c>
      <c r="D65" s="87" t="s">
        <v>3533</v>
      </c>
      <c r="E65" s="208">
        <v>9500</v>
      </c>
      <c r="F65" s="208">
        <v>12000</v>
      </c>
      <c r="G65" s="244">
        <v>15</v>
      </c>
      <c r="H65" s="48" t="s">
        <v>1648</v>
      </c>
      <c r="I65" s="48" t="s">
        <v>1648</v>
      </c>
      <c r="J65" s="48" t="s">
        <v>1648</v>
      </c>
      <c r="K65" s="48" t="s">
        <v>1648</v>
      </c>
      <c r="L65" s="48" t="s">
        <v>1648</v>
      </c>
      <c r="M65" s="48" t="s">
        <v>1648</v>
      </c>
      <c r="N65" s="48" t="s">
        <v>1648</v>
      </c>
      <c r="O65" s="48" t="s">
        <v>1648</v>
      </c>
      <c r="P65" s="48" t="s">
        <v>1648</v>
      </c>
      <c r="Q65" s="48" t="s">
        <v>1648</v>
      </c>
      <c r="R65" s="48" t="s">
        <v>1649</v>
      </c>
      <c r="S65" s="48" t="s">
        <v>1649</v>
      </c>
      <c r="T65" s="48"/>
    </row>
    <row r="66" spans="1:20" ht="13.5" thickBot="1" x14ac:dyDescent="0.25">
      <c r="A66" s="48" t="s">
        <v>782</v>
      </c>
      <c r="B66" s="224" t="s">
        <v>781</v>
      </c>
      <c r="C66" s="48" t="s">
        <v>34</v>
      </c>
      <c r="D66" s="87" t="s">
        <v>3533</v>
      </c>
      <c r="E66" s="208">
        <v>13000</v>
      </c>
      <c r="F66" s="208">
        <v>15000</v>
      </c>
      <c r="G66" s="244">
        <v>34</v>
      </c>
      <c r="H66" s="48" t="s">
        <v>1649</v>
      </c>
      <c r="I66" s="48" t="s">
        <v>1649</v>
      </c>
      <c r="J66" s="48" t="s">
        <v>1649</v>
      </c>
      <c r="K66" s="48" t="s">
        <v>1649</v>
      </c>
      <c r="L66" s="48" t="s">
        <v>1649</v>
      </c>
      <c r="M66" s="48" t="s">
        <v>1649</v>
      </c>
      <c r="N66" s="48" t="s">
        <v>1649</v>
      </c>
      <c r="O66" s="48" t="s">
        <v>1649</v>
      </c>
      <c r="P66" s="48" t="s">
        <v>1649</v>
      </c>
      <c r="Q66" s="48" t="s">
        <v>1649</v>
      </c>
      <c r="R66" s="48" t="s">
        <v>1649</v>
      </c>
      <c r="S66" s="48" t="s">
        <v>1649</v>
      </c>
      <c r="T66" s="48"/>
    </row>
    <row r="67" spans="1:20" ht="13.5" thickBot="1" x14ac:dyDescent="0.25">
      <c r="A67" s="48" t="s">
        <v>794</v>
      </c>
      <c r="B67" s="224" t="s">
        <v>793</v>
      </c>
      <c r="C67" s="48" t="s">
        <v>34</v>
      </c>
      <c r="D67" s="87" t="s">
        <v>3533</v>
      </c>
      <c r="E67" s="208">
        <v>26624</v>
      </c>
      <c r="F67" s="208">
        <v>27456</v>
      </c>
      <c r="G67" s="244">
        <v>32</v>
      </c>
      <c r="H67" s="48" t="s">
        <v>1649</v>
      </c>
      <c r="I67" s="48" t="s">
        <v>1649</v>
      </c>
      <c r="J67" s="48" t="s">
        <v>1649</v>
      </c>
      <c r="K67" s="48" t="s">
        <v>1649</v>
      </c>
      <c r="L67" s="48" t="s">
        <v>1648</v>
      </c>
      <c r="M67" s="48" t="s">
        <v>1649</v>
      </c>
      <c r="N67" s="48" t="s">
        <v>1648</v>
      </c>
      <c r="O67" s="48" t="s">
        <v>1648</v>
      </c>
      <c r="P67" s="48" t="s">
        <v>1648</v>
      </c>
      <c r="Q67" s="48" t="s">
        <v>1649</v>
      </c>
      <c r="R67" s="48" t="s">
        <v>1649</v>
      </c>
      <c r="S67" s="48" t="s">
        <v>1649</v>
      </c>
      <c r="T67" s="48"/>
    </row>
    <row r="68" spans="1:20" ht="13.5" thickBot="1" x14ac:dyDescent="0.25">
      <c r="A68" s="48" t="s">
        <v>806</v>
      </c>
      <c r="B68" s="224" t="s">
        <v>805</v>
      </c>
      <c r="C68" s="48" t="s">
        <v>34</v>
      </c>
      <c r="D68" s="87" t="s">
        <v>1660</v>
      </c>
      <c r="E68" s="208">
        <v>9500</v>
      </c>
      <c r="F68" s="208">
        <v>9500</v>
      </c>
      <c r="G68" s="244">
        <v>15</v>
      </c>
      <c r="H68" s="48" t="s">
        <v>1649</v>
      </c>
      <c r="I68" s="48" t="s">
        <v>1649</v>
      </c>
      <c r="J68" s="48" t="s">
        <v>1649</v>
      </c>
      <c r="K68" s="48" t="s">
        <v>1649</v>
      </c>
      <c r="L68" s="48" t="s">
        <v>1649</v>
      </c>
      <c r="M68" s="48" t="s">
        <v>1649</v>
      </c>
      <c r="N68" s="48" t="s">
        <v>1649</v>
      </c>
      <c r="O68" s="48" t="s">
        <v>1649</v>
      </c>
      <c r="P68" s="48" t="s">
        <v>1649</v>
      </c>
      <c r="Q68" s="48" t="s">
        <v>1649</v>
      </c>
      <c r="R68" s="48" t="s">
        <v>1649</v>
      </c>
      <c r="S68" s="48" t="s">
        <v>1649</v>
      </c>
      <c r="T68" s="48"/>
    </row>
    <row r="69" spans="1:20" ht="13.5" thickBot="1" x14ac:dyDescent="0.25">
      <c r="A69" s="48" t="s">
        <v>814</v>
      </c>
      <c r="B69" s="224" t="s">
        <v>813</v>
      </c>
      <c r="C69" s="48" t="s">
        <v>34</v>
      </c>
      <c r="D69" s="87" t="s">
        <v>3533</v>
      </c>
      <c r="E69" s="208">
        <v>21840</v>
      </c>
      <c r="F69" s="208">
        <v>26208</v>
      </c>
      <c r="G69" s="244">
        <v>35</v>
      </c>
      <c r="H69" s="48" t="s">
        <v>1648</v>
      </c>
      <c r="I69" s="48" t="s">
        <v>1648</v>
      </c>
      <c r="J69" s="48" t="s">
        <v>1649</v>
      </c>
      <c r="K69" s="48" t="s">
        <v>1649</v>
      </c>
      <c r="L69" s="48" t="s">
        <v>1649</v>
      </c>
      <c r="M69" s="48" t="s">
        <v>1649</v>
      </c>
      <c r="N69" s="48" t="s">
        <v>1648</v>
      </c>
      <c r="O69" s="48" t="s">
        <v>1648</v>
      </c>
      <c r="P69" s="48" t="s">
        <v>1648</v>
      </c>
      <c r="Q69" s="48" t="s">
        <v>1649</v>
      </c>
      <c r="R69" s="48" t="s">
        <v>1649</v>
      </c>
      <c r="S69" s="48" t="s">
        <v>1649</v>
      </c>
      <c r="T69" s="48"/>
    </row>
    <row r="70" spans="1:20" ht="13.5" thickBot="1" x14ac:dyDescent="0.25">
      <c r="A70" s="48" t="s">
        <v>14</v>
      </c>
      <c r="B70" s="224" t="s">
        <v>13</v>
      </c>
      <c r="C70" s="48" t="s">
        <v>17</v>
      </c>
      <c r="D70" s="87" t="s">
        <v>3529</v>
      </c>
      <c r="E70" s="208">
        <v>33000</v>
      </c>
      <c r="F70" s="208">
        <v>46000</v>
      </c>
      <c r="G70" s="244">
        <v>40</v>
      </c>
      <c r="H70" s="48" t="s">
        <v>1649</v>
      </c>
      <c r="I70" s="48" t="s">
        <v>1649</v>
      </c>
      <c r="J70" s="48" t="s">
        <v>1649</v>
      </c>
      <c r="K70" s="48" t="s">
        <v>1649</v>
      </c>
      <c r="L70" s="48" t="s">
        <v>1649</v>
      </c>
      <c r="M70" s="48" t="s">
        <v>1648</v>
      </c>
      <c r="N70" s="48" t="s">
        <v>1648</v>
      </c>
      <c r="O70" s="48" t="s">
        <v>1648</v>
      </c>
      <c r="P70" s="48" t="s">
        <v>1648</v>
      </c>
      <c r="Q70" s="48" t="s">
        <v>1649</v>
      </c>
      <c r="R70" s="48" t="s">
        <v>1649</v>
      </c>
      <c r="S70" s="48" t="s">
        <v>1649</v>
      </c>
      <c r="T70" s="48"/>
    </row>
    <row r="71" spans="1:20" ht="13.5" thickBot="1" x14ac:dyDescent="0.25">
      <c r="A71" s="48" t="s">
        <v>45</v>
      </c>
      <c r="B71" s="224" t="s">
        <v>44</v>
      </c>
      <c r="C71" s="48" t="s">
        <v>17</v>
      </c>
      <c r="D71" s="87" t="s">
        <v>3533</v>
      </c>
      <c r="E71" s="208">
        <v>45000</v>
      </c>
      <c r="F71" s="208">
        <v>52000</v>
      </c>
      <c r="G71" s="244">
        <v>40</v>
      </c>
      <c r="H71" s="48" t="s">
        <v>1648</v>
      </c>
      <c r="I71" s="48" t="s">
        <v>1649</v>
      </c>
      <c r="J71" s="48" t="s">
        <v>1649</v>
      </c>
      <c r="K71" s="48" t="s">
        <v>1649</v>
      </c>
      <c r="L71" s="48" t="s">
        <v>1649</v>
      </c>
      <c r="M71" s="48" t="s">
        <v>1648</v>
      </c>
      <c r="N71" s="48" t="s">
        <v>1648</v>
      </c>
      <c r="O71" s="48" t="s">
        <v>1648</v>
      </c>
      <c r="P71" s="48" t="s">
        <v>1648</v>
      </c>
      <c r="Q71" s="48" t="s">
        <v>1649</v>
      </c>
      <c r="R71" s="48" t="s">
        <v>1649</v>
      </c>
      <c r="S71" s="48" t="s">
        <v>1649</v>
      </c>
      <c r="T71" s="48"/>
    </row>
    <row r="72" spans="1:20" ht="13.5" thickBot="1" x14ac:dyDescent="0.25">
      <c r="A72" s="48" t="s">
        <v>56</v>
      </c>
      <c r="B72" s="224" t="s">
        <v>55</v>
      </c>
      <c r="C72" s="48" t="s">
        <v>17</v>
      </c>
      <c r="D72" s="87" t="s">
        <v>3529</v>
      </c>
      <c r="E72" s="87" t="s">
        <v>1660</v>
      </c>
      <c r="F72" s="87" t="s">
        <v>1660</v>
      </c>
      <c r="G72" s="87" t="s">
        <v>1660</v>
      </c>
      <c r="H72" s="48" t="s">
        <v>1648</v>
      </c>
      <c r="I72" s="48" t="s">
        <v>1649</v>
      </c>
      <c r="J72" s="48" t="s">
        <v>1649</v>
      </c>
      <c r="K72" s="48" t="s">
        <v>1649</v>
      </c>
      <c r="L72" s="48" t="s">
        <v>1649</v>
      </c>
      <c r="M72" s="48" t="s">
        <v>1648</v>
      </c>
      <c r="N72" s="48" t="s">
        <v>1648</v>
      </c>
      <c r="O72" s="48" t="s">
        <v>1648</v>
      </c>
      <c r="P72" s="48" t="s">
        <v>1648</v>
      </c>
      <c r="Q72" s="48" t="s">
        <v>1648</v>
      </c>
      <c r="R72" s="48" t="s">
        <v>1649</v>
      </c>
      <c r="S72" s="48" t="s">
        <v>1649</v>
      </c>
      <c r="T72" s="48"/>
    </row>
    <row r="73" spans="1:20" ht="13.5" thickBot="1" x14ac:dyDescent="0.25">
      <c r="A73" s="48" t="s">
        <v>60</v>
      </c>
      <c r="B73" s="224" t="s">
        <v>59</v>
      </c>
      <c r="C73" s="48" t="s">
        <v>17</v>
      </c>
      <c r="D73" s="87" t="s">
        <v>3530</v>
      </c>
      <c r="E73" s="208">
        <v>15600</v>
      </c>
      <c r="F73" s="208">
        <v>15600</v>
      </c>
      <c r="G73" s="244">
        <v>20</v>
      </c>
      <c r="H73" s="48" t="s">
        <v>1649</v>
      </c>
      <c r="I73" s="48" t="s">
        <v>1649</v>
      </c>
      <c r="J73" s="48" t="s">
        <v>1649</v>
      </c>
      <c r="K73" s="48" t="s">
        <v>1649</v>
      </c>
      <c r="L73" s="48" t="s">
        <v>1649</v>
      </c>
      <c r="M73" s="48" t="s">
        <v>1649</v>
      </c>
      <c r="N73" s="48" t="s">
        <v>1649</v>
      </c>
      <c r="O73" s="48" t="s">
        <v>1648</v>
      </c>
      <c r="P73" s="48" t="s">
        <v>1648</v>
      </c>
      <c r="Q73" s="48" t="s">
        <v>1649</v>
      </c>
      <c r="R73" s="48" t="s">
        <v>1649</v>
      </c>
      <c r="S73" s="48" t="s">
        <v>1649</v>
      </c>
      <c r="T73" s="48"/>
    </row>
    <row r="74" spans="1:20" ht="13.5" thickBot="1" x14ac:dyDescent="0.25">
      <c r="A74" s="48" t="s">
        <v>70</v>
      </c>
      <c r="B74" s="224" t="s">
        <v>69</v>
      </c>
      <c r="C74" s="48" t="s">
        <v>17</v>
      </c>
      <c r="D74" s="87" t="s">
        <v>1812</v>
      </c>
      <c r="E74" s="208">
        <v>35000</v>
      </c>
      <c r="F74" s="208">
        <v>50000</v>
      </c>
      <c r="G74" s="244">
        <v>40</v>
      </c>
      <c r="H74" s="48" t="s">
        <v>1648</v>
      </c>
      <c r="I74" s="48" t="s">
        <v>1648</v>
      </c>
      <c r="J74" s="48" t="s">
        <v>1648</v>
      </c>
      <c r="K74" s="48" t="s">
        <v>1649</v>
      </c>
      <c r="L74" s="48" t="s">
        <v>1648</v>
      </c>
      <c r="M74" s="48" t="s">
        <v>1648</v>
      </c>
      <c r="N74" s="48" t="s">
        <v>1648</v>
      </c>
      <c r="O74" s="48" t="s">
        <v>1648</v>
      </c>
      <c r="P74" s="48" t="s">
        <v>1648</v>
      </c>
      <c r="Q74" s="48" t="s">
        <v>1649</v>
      </c>
      <c r="R74" s="48" t="s">
        <v>1649</v>
      </c>
      <c r="S74" s="48" t="s">
        <v>1649</v>
      </c>
      <c r="T74" s="48"/>
    </row>
    <row r="75" spans="1:20" ht="13.5" thickBot="1" x14ac:dyDescent="0.25">
      <c r="A75" s="48" t="s">
        <v>74</v>
      </c>
      <c r="B75" s="224" t="s">
        <v>73</v>
      </c>
      <c r="C75" s="48" t="s">
        <v>17</v>
      </c>
      <c r="D75" s="87" t="s">
        <v>3533</v>
      </c>
      <c r="E75" s="208">
        <v>43000</v>
      </c>
      <c r="F75" s="208">
        <v>43000</v>
      </c>
      <c r="G75" s="244">
        <v>40</v>
      </c>
      <c r="H75" s="48" t="s">
        <v>1649</v>
      </c>
      <c r="I75" s="48" t="s">
        <v>1649</v>
      </c>
      <c r="J75" s="48" t="s">
        <v>1649</v>
      </c>
      <c r="K75" s="48" t="s">
        <v>1649</v>
      </c>
      <c r="L75" s="48" t="s">
        <v>1649</v>
      </c>
      <c r="M75" s="48" t="s">
        <v>1648</v>
      </c>
      <c r="N75" s="48" t="s">
        <v>1648</v>
      </c>
      <c r="O75" s="48" t="s">
        <v>1648</v>
      </c>
      <c r="P75" s="48" t="s">
        <v>1648</v>
      </c>
      <c r="Q75" s="48" t="s">
        <v>1649</v>
      </c>
      <c r="R75" s="48" t="s">
        <v>1649</v>
      </c>
      <c r="S75" s="48" t="s">
        <v>1649</v>
      </c>
      <c r="T75" s="48"/>
    </row>
    <row r="76" spans="1:20" ht="13.5" thickBot="1" x14ac:dyDescent="0.25">
      <c r="A76" s="48" t="s">
        <v>98</v>
      </c>
      <c r="B76" s="224" t="s">
        <v>97</v>
      </c>
      <c r="C76" s="48" t="s">
        <v>17</v>
      </c>
      <c r="D76" s="87" t="s">
        <v>3529</v>
      </c>
      <c r="E76" s="208">
        <v>44467</v>
      </c>
      <c r="F76" s="208">
        <v>44467</v>
      </c>
      <c r="G76" s="244">
        <v>40</v>
      </c>
      <c r="H76" s="48" t="s">
        <v>1648</v>
      </c>
      <c r="I76" s="48" t="s">
        <v>1648</v>
      </c>
      <c r="J76" s="48" t="s">
        <v>1648</v>
      </c>
      <c r="K76" s="48" t="s">
        <v>1648</v>
      </c>
      <c r="L76" s="48" t="s">
        <v>1648</v>
      </c>
      <c r="M76" s="48" t="s">
        <v>1648</v>
      </c>
      <c r="N76" s="48" t="s">
        <v>1648</v>
      </c>
      <c r="O76" s="48" t="s">
        <v>1648</v>
      </c>
      <c r="P76" s="48" t="s">
        <v>1648</v>
      </c>
      <c r="Q76" s="48" t="s">
        <v>1649</v>
      </c>
      <c r="R76" s="48" t="s">
        <v>1648</v>
      </c>
      <c r="S76" s="48" t="s">
        <v>1648</v>
      </c>
      <c r="T76" s="48"/>
    </row>
    <row r="77" spans="1:20" ht="13.5" thickBot="1" x14ac:dyDescent="0.25">
      <c r="A77" s="48" t="s">
        <v>120</v>
      </c>
      <c r="B77" s="224" t="s">
        <v>119</v>
      </c>
      <c r="C77" s="48" t="s">
        <v>17</v>
      </c>
      <c r="D77" s="87" t="s">
        <v>3529</v>
      </c>
      <c r="E77" s="208">
        <v>51600</v>
      </c>
      <c r="F77" s="208">
        <v>55000</v>
      </c>
      <c r="G77" s="244">
        <v>40</v>
      </c>
      <c r="H77" s="48" t="s">
        <v>1649</v>
      </c>
      <c r="I77" s="48" t="s">
        <v>1649</v>
      </c>
      <c r="J77" s="48" t="s">
        <v>1649</v>
      </c>
      <c r="K77" s="48" t="s">
        <v>1648</v>
      </c>
      <c r="L77" s="48" t="s">
        <v>1649</v>
      </c>
      <c r="M77" s="48" t="s">
        <v>1649</v>
      </c>
      <c r="N77" s="48" t="s">
        <v>1648</v>
      </c>
      <c r="O77" s="48" t="s">
        <v>1648</v>
      </c>
      <c r="P77" s="48" t="s">
        <v>1648</v>
      </c>
      <c r="Q77" s="48" t="s">
        <v>1649</v>
      </c>
      <c r="R77" s="48" t="s">
        <v>1649</v>
      </c>
      <c r="S77" s="48" t="s">
        <v>1649</v>
      </c>
      <c r="T77" s="48" t="s">
        <v>3543</v>
      </c>
    </row>
    <row r="78" spans="1:20" ht="13.5" thickBot="1" x14ac:dyDescent="0.25">
      <c r="A78" s="48" t="s">
        <v>126</v>
      </c>
      <c r="B78" s="224" t="s">
        <v>125</v>
      </c>
      <c r="C78" s="48" t="s">
        <v>17</v>
      </c>
      <c r="D78" s="87" t="s">
        <v>3533</v>
      </c>
      <c r="E78" s="208">
        <v>27000</v>
      </c>
      <c r="F78" s="208">
        <v>27000</v>
      </c>
      <c r="G78" s="244">
        <v>32</v>
      </c>
      <c r="H78" s="48" t="s">
        <v>1649</v>
      </c>
      <c r="I78" s="48" t="s">
        <v>1649</v>
      </c>
      <c r="J78" s="48" t="s">
        <v>1649</v>
      </c>
      <c r="K78" s="48" t="s">
        <v>1649</v>
      </c>
      <c r="L78" s="48" t="s">
        <v>1649</v>
      </c>
      <c r="M78" s="48" t="s">
        <v>1649</v>
      </c>
      <c r="N78" s="48" t="s">
        <v>1648</v>
      </c>
      <c r="O78" s="48" t="s">
        <v>1649</v>
      </c>
      <c r="P78" s="48" t="s">
        <v>1648</v>
      </c>
      <c r="Q78" s="48" t="s">
        <v>1649</v>
      </c>
      <c r="R78" s="48" t="s">
        <v>1649</v>
      </c>
      <c r="S78" s="48" t="s">
        <v>1649</v>
      </c>
      <c r="T78" s="48"/>
    </row>
    <row r="79" spans="1:20" ht="13.5" thickBot="1" x14ac:dyDescent="0.25">
      <c r="A79" s="48" t="s">
        <v>138</v>
      </c>
      <c r="B79" s="224" t="s">
        <v>137</v>
      </c>
      <c r="C79" s="48" t="s">
        <v>17</v>
      </c>
      <c r="D79" s="87" t="s">
        <v>3533</v>
      </c>
      <c r="E79" s="208">
        <v>20384</v>
      </c>
      <c r="F79" s="208">
        <v>21840</v>
      </c>
      <c r="G79" s="244">
        <v>28</v>
      </c>
      <c r="H79" s="48" t="s">
        <v>1649</v>
      </c>
      <c r="I79" s="48" t="s">
        <v>1649</v>
      </c>
      <c r="J79" s="48" t="s">
        <v>1649</v>
      </c>
      <c r="K79" s="48" t="s">
        <v>1649</v>
      </c>
      <c r="L79" s="48" t="s">
        <v>1649</v>
      </c>
      <c r="M79" s="48" t="s">
        <v>1649</v>
      </c>
      <c r="N79" s="48" t="s">
        <v>1648</v>
      </c>
      <c r="O79" s="48" t="s">
        <v>1649</v>
      </c>
      <c r="P79" s="48" t="s">
        <v>1648</v>
      </c>
      <c r="Q79" s="48" t="s">
        <v>1649</v>
      </c>
      <c r="R79" s="48" t="s">
        <v>1649</v>
      </c>
      <c r="S79" s="48" t="s">
        <v>1649</v>
      </c>
      <c r="T79" s="48" t="s">
        <v>3545</v>
      </c>
    </row>
    <row r="80" spans="1:20" ht="13.5" thickBot="1" x14ac:dyDescent="0.25">
      <c r="A80" s="48" t="s">
        <v>180</v>
      </c>
      <c r="B80" s="224" t="s">
        <v>179</v>
      </c>
      <c r="C80" s="48" t="s">
        <v>17</v>
      </c>
      <c r="D80" s="87" t="s">
        <v>1812</v>
      </c>
      <c r="E80" s="208">
        <v>33178</v>
      </c>
      <c r="F80" s="208">
        <v>33178</v>
      </c>
      <c r="G80" s="244">
        <v>33</v>
      </c>
      <c r="H80" s="48" t="s">
        <v>1649</v>
      </c>
      <c r="I80" s="48" t="s">
        <v>1649</v>
      </c>
      <c r="J80" s="48" t="s">
        <v>1648</v>
      </c>
      <c r="K80" s="48" t="s">
        <v>1649</v>
      </c>
      <c r="L80" s="48" t="s">
        <v>1648</v>
      </c>
      <c r="M80" s="48" t="s">
        <v>1648</v>
      </c>
      <c r="N80" s="48" t="s">
        <v>1648</v>
      </c>
      <c r="O80" s="48" t="s">
        <v>1648</v>
      </c>
      <c r="P80" s="48" t="s">
        <v>1648</v>
      </c>
      <c r="Q80" s="48" t="s">
        <v>1649</v>
      </c>
      <c r="R80" s="48" t="s">
        <v>1649</v>
      </c>
      <c r="S80" s="48" t="s">
        <v>1649</v>
      </c>
      <c r="T80" s="48"/>
    </row>
    <row r="81" spans="1:20" ht="13.5" thickBot="1" x14ac:dyDescent="0.25">
      <c r="A81" s="48" t="s">
        <v>194</v>
      </c>
      <c r="B81" s="224" t="s">
        <v>193</v>
      </c>
      <c r="C81" s="48" t="s">
        <v>17</v>
      </c>
      <c r="D81" s="87" t="s">
        <v>3533</v>
      </c>
      <c r="E81" s="208">
        <v>33127</v>
      </c>
      <c r="F81" s="208">
        <v>42744</v>
      </c>
      <c r="G81" s="244">
        <v>31</v>
      </c>
      <c r="H81" s="48" t="s">
        <v>1649</v>
      </c>
      <c r="I81" s="48" t="s">
        <v>1649</v>
      </c>
      <c r="J81" s="48" t="s">
        <v>1649</v>
      </c>
      <c r="K81" s="48" t="s">
        <v>1649</v>
      </c>
      <c r="L81" s="48" t="s">
        <v>1649</v>
      </c>
      <c r="M81" s="48" t="s">
        <v>1649</v>
      </c>
      <c r="N81" s="48" t="s">
        <v>1648</v>
      </c>
      <c r="O81" s="48" t="s">
        <v>1649</v>
      </c>
      <c r="P81" s="48" t="s">
        <v>1648</v>
      </c>
      <c r="Q81" s="48" t="s">
        <v>1649</v>
      </c>
      <c r="R81" s="48" t="s">
        <v>1649</v>
      </c>
      <c r="S81" s="48" t="s">
        <v>1649</v>
      </c>
      <c r="T81" s="48"/>
    </row>
    <row r="82" spans="1:20" ht="13.5" thickBot="1" x14ac:dyDescent="0.25">
      <c r="A82" s="48" t="s">
        <v>216</v>
      </c>
      <c r="B82" s="224" t="s">
        <v>215</v>
      </c>
      <c r="C82" s="48" t="s">
        <v>17</v>
      </c>
      <c r="D82" s="87" t="s">
        <v>1660</v>
      </c>
      <c r="E82" s="208">
        <v>17342</v>
      </c>
      <c r="F82" s="208">
        <v>19225</v>
      </c>
      <c r="G82" s="244">
        <v>29</v>
      </c>
      <c r="H82" s="48" t="s">
        <v>1649</v>
      </c>
      <c r="I82" s="48" t="s">
        <v>1649</v>
      </c>
      <c r="J82" s="48" t="s">
        <v>1649</v>
      </c>
      <c r="K82" s="48" t="s">
        <v>1649</v>
      </c>
      <c r="L82" s="48" t="s">
        <v>1649</v>
      </c>
      <c r="M82" s="48" t="s">
        <v>1648</v>
      </c>
      <c r="N82" s="48" t="s">
        <v>1648</v>
      </c>
      <c r="O82" s="48" t="s">
        <v>1649</v>
      </c>
      <c r="P82" s="48" t="s">
        <v>1648</v>
      </c>
      <c r="Q82" s="48" t="s">
        <v>1649</v>
      </c>
      <c r="R82" s="48" t="s">
        <v>1649</v>
      </c>
      <c r="S82" s="48" t="s">
        <v>1649</v>
      </c>
      <c r="T82" s="48"/>
    </row>
    <row r="83" spans="1:20" ht="13.5" thickBot="1" x14ac:dyDescent="0.25">
      <c r="A83" s="48" t="s">
        <v>230</v>
      </c>
      <c r="B83" s="224" t="s">
        <v>229</v>
      </c>
      <c r="C83" s="48" t="s">
        <v>17</v>
      </c>
      <c r="D83" s="87" t="s">
        <v>3529</v>
      </c>
      <c r="E83" s="208">
        <v>40412</v>
      </c>
      <c r="F83" s="208">
        <v>40412</v>
      </c>
      <c r="G83" s="244">
        <v>35</v>
      </c>
      <c r="H83" s="48" t="s">
        <v>1649</v>
      </c>
      <c r="I83" s="48" t="s">
        <v>1649</v>
      </c>
      <c r="J83" s="48" t="s">
        <v>1649</v>
      </c>
      <c r="K83" s="48" t="s">
        <v>1649</v>
      </c>
      <c r="L83" s="48" t="s">
        <v>1648</v>
      </c>
      <c r="M83" s="48" t="s">
        <v>1648</v>
      </c>
      <c r="N83" s="48" t="s">
        <v>1648</v>
      </c>
      <c r="O83" s="48" t="s">
        <v>1648</v>
      </c>
      <c r="P83" s="48" t="s">
        <v>1648</v>
      </c>
      <c r="Q83" s="48" t="s">
        <v>1649</v>
      </c>
      <c r="R83" s="48" t="s">
        <v>1649</v>
      </c>
      <c r="S83" s="48" t="s">
        <v>1649</v>
      </c>
      <c r="T83" s="48"/>
    </row>
    <row r="84" spans="1:20" ht="13.5" thickBot="1" x14ac:dyDescent="0.25">
      <c r="A84" s="48" t="s">
        <v>236</v>
      </c>
      <c r="B84" s="224" t="s">
        <v>235</v>
      </c>
      <c r="C84" s="48" t="s">
        <v>17</v>
      </c>
      <c r="D84" s="87" t="s">
        <v>3533</v>
      </c>
      <c r="E84" s="208">
        <v>17110</v>
      </c>
      <c r="F84" s="208">
        <v>22259</v>
      </c>
      <c r="G84" s="244">
        <v>22</v>
      </c>
      <c r="H84" s="48" t="s">
        <v>1649</v>
      </c>
      <c r="I84" s="48" t="s">
        <v>1649</v>
      </c>
      <c r="J84" s="48" t="s">
        <v>1649</v>
      </c>
      <c r="K84" s="48" t="s">
        <v>1649</v>
      </c>
      <c r="L84" s="48" t="s">
        <v>1649</v>
      </c>
      <c r="M84" s="48" t="s">
        <v>1649</v>
      </c>
      <c r="N84" s="48" t="s">
        <v>1648</v>
      </c>
      <c r="O84" s="48" t="s">
        <v>1648</v>
      </c>
      <c r="P84" s="48" t="s">
        <v>1649</v>
      </c>
      <c r="Q84" s="48" t="s">
        <v>1649</v>
      </c>
      <c r="R84" s="48" t="s">
        <v>1649</v>
      </c>
      <c r="S84" s="48" t="s">
        <v>1649</v>
      </c>
      <c r="T84" s="48"/>
    </row>
    <row r="85" spans="1:20" ht="13.5" thickBot="1" x14ac:dyDescent="0.25">
      <c r="A85" s="48" t="s">
        <v>238</v>
      </c>
      <c r="B85" s="224" t="s">
        <v>237</v>
      </c>
      <c r="C85" s="48" t="s">
        <v>17</v>
      </c>
      <c r="D85" s="87" t="s">
        <v>3533</v>
      </c>
      <c r="E85" s="208">
        <v>30000</v>
      </c>
      <c r="F85" s="208">
        <v>32000</v>
      </c>
      <c r="G85" s="244">
        <v>32</v>
      </c>
      <c r="H85" s="48" t="s">
        <v>1649</v>
      </c>
      <c r="I85" s="48" t="s">
        <v>1649</v>
      </c>
      <c r="J85" s="48" t="s">
        <v>1649</v>
      </c>
      <c r="K85" s="48" t="s">
        <v>1649</v>
      </c>
      <c r="L85" s="48" t="s">
        <v>1649</v>
      </c>
      <c r="M85" s="48" t="s">
        <v>1648</v>
      </c>
      <c r="N85" s="48" t="s">
        <v>1648</v>
      </c>
      <c r="O85" s="48" t="s">
        <v>1648</v>
      </c>
      <c r="P85" s="48" t="s">
        <v>1648</v>
      </c>
      <c r="Q85" s="48" t="s">
        <v>1648</v>
      </c>
      <c r="R85" s="48" t="s">
        <v>1649</v>
      </c>
      <c r="S85" s="48" t="s">
        <v>1649</v>
      </c>
      <c r="T85" s="48"/>
    </row>
    <row r="86" spans="1:20" ht="13.5" thickBot="1" x14ac:dyDescent="0.25">
      <c r="A86" s="48" t="s">
        <v>252</v>
      </c>
      <c r="B86" s="224" t="s">
        <v>251</v>
      </c>
      <c r="C86" s="48" t="s">
        <v>17</v>
      </c>
      <c r="D86" s="87" t="s">
        <v>1812</v>
      </c>
      <c r="E86" s="208">
        <v>57250</v>
      </c>
      <c r="F86" s="208">
        <v>59800</v>
      </c>
      <c r="G86" s="244">
        <v>40</v>
      </c>
      <c r="H86" s="48" t="s">
        <v>1648</v>
      </c>
      <c r="I86" s="48" t="s">
        <v>1648</v>
      </c>
      <c r="J86" s="48" t="s">
        <v>1648</v>
      </c>
      <c r="K86" s="48" t="s">
        <v>1649</v>
      </c>
      <c r="L86" s="48" t="s">
        <v>1648</v>
      </c>
      <c r="M86" s="48" t="s">
        <v>1648</v>
      </c>
      <c r="N86" s="48" t="s">
        <v>1648</v>
      </c>
      <c r="O86" s="48" t="s">
        <v>1648</v>
      </c>
      <c r="P86" s="48" t="s">
        <v>1648</v>
      </c>
      <c r="Q86" s="48" t="s">
        <v>1649</v>
      </c>
      <c r="R86" s="48" t="s">
        <v>1649</v>
      </c>
      <c r="S86" s="48" t="s">
        <v>1649</v>
      </c>
      <c r="T86" s="48"/>
    </row>
    <row r="87" spans="1:20" ht="13.5" thickBot="1" x14ac:dyDescent="0.25">
      <c r="A87" s="48" t="s">
        <v>280</v>
      </c>
      <c r="B87" s="224" t="s">
        <v>279</v>
      </c>
      <c r="C87" s="48" t="s">
        <v>17</v>
      </c>
      <c r="D87" s="87" t="s">
        <v>3533</v>
      </c>
      <c r="E87" s="208">
        <v>20000</v>
      </c>
      <c r="F87" s="208">
        <v>37000</v>
      </c>
      <c r="G87" s="244">
        <v>40</v>
      </c>
      <c r="H87" s="48" t="s">
        <v>1648</v>
      </c>
      <c r="I87" s="48" t="s">
        <v>1649</v>
      </c>
      <c r="J87" s="48" t="s">
        <v>1648</v>
      </c>
      <c r="K87" s="48" t="s">
        <v>1649</v>
      </c>
      <c r="L87" s="48" t="s">
        <v>1649</v>
      </c>
      <c r="M87" s="48" t="s">
        <v>1648</v>
      </c>
      <c r="N87" s="48" t="s">
        <v>1648</v>
      </c>
      <c r="O87" s="48" t="s">
        <v>1648</v>
      </c>
      <c r="P87" s="48" t="s">
        <v>1648</v>
      </c>
      <c r="Q87" s="48" t="s">
        <v>1649</v>
      </c>
      <c r="R87" s="48" t="s">
        <v>1649</v>
      </c>
      <c r="S87" s="48" t="s">
        <v>1648</v>
      </c>
      <c r="T87" s="48" t="s">
        <v>3558</v>
      </c>
    </row>
    <row r="88" spans="1:20" ht="13.5" thickBot="1" x14ac:dyDescent="0.25">
      <c r="A88" s="48" t="s">
        <v>290</v>
      </c>
      <c r="B88" s="224" t="s">
        <v>289</v>
      </c>
      <c r="C88" s="48" t="s">
        <v>17</v>
      </c>
      <c r="D88" s="87" t="s">
        <v>1812</v>
      </c>
      <c r="E88" s="208">
        <v>24917</v>
      </c>
      <c r="F88" s="208">
        <v>25861</v>
      </c>
      <c r="G88" s="244">
        <v>22</v>
      </c>
      <c r="H88" s="48" t="s">
        <v>1649</v>
      </c>
      <c r="I88" s="48" t="s">
        <v>1649</v>
      </c>
      <c r="J88" s="48" t="s">
        <v>1649</v>
      </c>
      <c r="K88" s="48" t="s">
        <v>1649</v>
      </c>
      <c r="L88" s="48" t="s">
        <v>1649</v>
      </c>
      <c r="M88" s="48" t="s">
        <v>1649</v>
      </c>
      <c r="N88" s="48" t="s">
        <v>1648</v>
      </c>
      <c r="O88" s="48" t="s">
        <v>1649</v>
      </c>
      <c r="P88" s="48" t="s">
        <v>1648</v>
      </c>
      <c r="Q88" s="48" t="s">
        <v>1649</v>
      </c>
      <c r="R88" s="48" t="s">
        <v>1649</v>
      </c>
      <c r="S88" s="48" t="s">
        <v>1649</v>
      </c>
      <c r="T88" s="48"/>
    </row>
    <row r="89" spans="1:20" ht="13.5" thickBot="1" x14ac:dyDescent="0.25">
      <c r="A89" s="48" t="s">
        <v>334</v>
      </c>
      <c r="B89" s="224" t="s">
        <v>333</v>
      </c>
      <c r="C89" s="48" t="s">
        <v>17</v>
      </c>
      <c r="D89" s="87" t="s">
        <v>3533</v>
      </c>
      <c r="E89" s="208">
        <v>35000</v>
      </c>
      <c r="F89" s="208">
        <v>62000</v>
      </c>
      <c r="G89" s="244">
        <v>40</v>
      </c>
      <c r="H89" s="48" t="s">
        <v>1648</v>
      </c>
      <c r="I89" s="48" t="s">
        <v>1648</v>
      </c>
      <c r="J89" s="48" t="s">
        <v>1648</v>
      </c>
      <c r="K89" s="48" t="s">
        <v>1648</v>
      </c>
      <c r="L89" s="48" t="s">
        <v>1648</v>
      </c>
      <c r="M89" s="48" t="s">
        <v>1648</v>
      </c>
      <c r="N89" s="48" t="s">
        <v>1648</v>
      </c>
      <c r="O89" s="48" t="s">
        <v>1648</v>
      </c>
      <c r="P89" s="48" t="s">
        <v>1648</v>
      </c>
      <c r="Q89" s="48" t="s">
        <v>1649</v>
      </c>
      <c r="R89" s="48" t="s">
        <v>1648</v>
      </c>
      <c r="S89" s="48" t="s">
        <v>1649</v>
      </c>
      <c r="T89" s="48"/>
    </row>
    <row r="90" spans="1:20" ht="13.5" thickBot="1" x14ac:dyDescent="0.25">
      <c r="A90" s="48" t="s">
        <v>344</v>
      </c>
      <c r="B90" s="224" t="s">
        <v>343</v>
      </c>
      <c r="C90" s="48" t="s">
        <v>17</v>
      </c>
      <c r="D90" s="87" t="s">
        <v>3533</v>
      </c>
      <c r="E90" s="208">
        <v>30000</v>
      </c>
      <c r="F90" s="208">
        <v>45000</v>
      </c>
      <c r="G90" s="244">
        <v>40</v>
      </c>
      <c r="H90" s="48" t="s">
        <v>1648</v>
      </c>
      <c r="I90" s="48" t="s">
        <v>1649</v>
      </c>
      <c r="J90" s="48" t="s">
        <v>1649</v>
      </c>
      <c r="K90" s="48" t="s">
        <v>1649</v>
      </c>
      <c r="L90" s="48" t="s">
        <v>1649</v>
      </c>
      <c r="M90" s="48" t="s">
        <v>1648</v>
      </c>
      <c r="N90" s="48" t="s">
        <v>1648</v>
      </c>
      <c r="O90" s="48" t="s">
        <v>1648</v>
      </c>
      <c r="P90" s="48" t="s">
        <v>1648</v>
      </c>
      <c r="Q90" s="48" t="s">
        <v>1649</v>
      </c>
      <c r="R90" s="48" t="s">
        <v>1649</v>
      </c>
      <c r="S90" s="48" t="s">
        <v>1649</v>
      </c>
      <c r="T90" s="48"/>
    </row>
    <row r="91" spans="1:20" ht="13.5" thickBot="1" x14ac:dyDescent="0.25">
      <c r="A91" s="48" t="s">
        <v>354</v>
      </c>
      <c r="B91" s="224" t="s">
        <v>353</v>
      </c>
      <c r="C91" s="48" t="s">
        <v>17</v>
      </c>
      <c r="D91" s="87" t="s">
        <v>1812</v>
      </c>
      <c r="E91" s="208">
        <v>34000</v>
      </c>
      <c r="F91" s="208">
        <v>34000</v>
      </c>
      <c r="G91" s="244">
        <v>30</v>
      </c>
      <c r="H91" s="48" t="s">
        <v>1649</v>
      </c>
      <c r="I91" s="48" t="s">
        <v>1649</v>
      </c>
      <c r="J91" s="48" t="s">
        <v>1649</v>
      </c>
      <c r="K91" s="48" t="s">
        <v>1649</v>
      </c>
      <c r="L91" s="48" t="s">
        <v>1649</v>
      </c>
      <c r="M91" s="48" t="s">
        <v>1649</v>
      </c>
      <c r="N91" s="48" t="s">
        <v>1649</v>
      </c>
      <c r="O91" s="48" t="s">
        <v>1649</v>
      </c>
      <c r="P91" s="48" t="s">
        <v>1649</v>
      </c>
      <c r="Q91" s="48" t="s">
        <v>1649</v>
      </c>
      <c r="R91" s="48" t="s">
        <v>1649</v>
      </c>
      <c r="S91" s="48" t="s">
        <v>1649</v>
      </c>
      <c r="T91" s="48"/>
    </row>
    <row r="92" spans="1:20" ht="13.5" thickBot="1" x14ac:dyDescent="0.25">
      <c r="A92" s="48" t="s">
        <v>362</v>
      </c>
      <c r="B92" s="224" t="s">
        <v>361</v>
      </c>
      <c r="C92" s="48" t="s">
        <v>17</v>
      </c>
      <c r="D92" s="87" t="s">
        <v>3533</v>
      </c>
      <c r="E92" s="208">
        <v>20000</v>
      </c>
      <c r="F92" s="208">
        <v>30000</v>
      </c>
      <c r="G92" s="244">
        <v>20</v>
      </c>
      <c r="H92" s="48" t="s">
        <v>1649</v>
      </c>
      <c r="I92" s="48" t="s">
        <v>1649</v>
      </c>
      <c r="J92" s="48" t="s">
        <v>1649</v>
      </c>
      <c r="K92" s="48" t="s">
        <v>1649</v>
      </c>
      <c r="L92" s="48" t="s">
        <v>1649</v>
      </c>
      <c r="M92" s="48" t="s">
        <v>1648</v>
      </c>
      <c r="N92" s="48" t="s">
        <v>1648</v>
      </c>
      <c r="O92" s="48" t="s">
        <v>1649</v>
      </c>
      <c r="P92" s="48" t="s">
        <v>1648</v>
      </c>
      <c r="Q92" s="48" t="s">
        <v>1649</v>
      </c>
      <c r="R92" s="48" t="s">
        <v>1649</v>
      </c>
      <c r="S92" s="48" t="s">
        <v>1649</v>
      </c>
      <c r="T92" s="48"/>
    </row>
    <row r="93" spans="1:20" ht="13.5" thickBot="1" x14ac:dyDescent="0.25">
      <c r="A93" s="48" t="s">
        <v>366</v>
      </c>
      <c r="B93" s="224" t="s">
        <v>365</v>
      </c>
      <c r="C93" s="48" t="s">
        <v>17</v>
      </c>
      <c r="D93" s="87" t="s">
        <v>3530</v>
      </c>
      <c r="E93" s="208">
        <v>15000</v>
      </c>
      <c r="F93" s="208">
        <v>25000</v>
      </c>
      <c r="G93" s="244">
        <v>25</v>
      </c>
      <c r="H93" s="48" t="s">
        <v>1648</v>
      </c>
      <c r="I93" s="48" t="s">
        <v>1649</v>
      </c>
      <c r="J93" s="48" t="s">
        <v>1649</v>
      </c>
      <c r="K93" s="48" t="s">
        <v>1649</v>
      </c>
      <c r="L93" s="48" t="s">
        <v>1649</v>
      </c>
      <c r="M93" s="48" t="s">
        <v>1648</v>
      </c>
      <c r="N93" s="48" t="s">
        <v>1648</v>
      </c>
      <c r="O93" s="48" t="s">
        <v>1649</v>
      </c>
      <c r="P93" s="48" t="s">
        <v>1648</v>
      </c>
      <c r="Q93" s="48" t="s">
        <v>1649</v>
      </c>
      <c r="R93" s="48" t="s">
        <v>1649</v>
      </c>
      <c r="S93" s="48" t="s">
        <v>1649</v>
      </c>
      <c r="T93" s="48"/>
    </row>
    <row r="94" spans="1:20" ht="13.5" thickBot="1" x14ac:dyDescent="0.25">
      <c r="A94" s="48" t="s">
        <v>372</v>
      </c>
      <c r="B94" s="224" t="s">
        <v>371</v>
      </c>
      <c r="C94" s="48" t="s">
        <v>17</v>
      </c>
      <c r="D94" s="87" t="s">
        <v>3533</v>
      </c>
      <c r="E94" s="208">
        <v>24000</v>
      </c>
      <c r="F94" s="208">
        <v>32175</v>
      </c>
      <c r="G94" s="244">
        <v>33</v>
      </c>
      <c r="H94" s="48" t="s">
        <v>1649</v>
      </c>
      <c r="I94" s="48" t="s">
        <v>1649</v>
      </c>
      <c r="J94" s="48" t="s">
        <v>1649</v>
      </c>
      <c r="K94" s="48" t="s">
        <v>1649</v>
      </c>
      <c r="L94" s="48" t="s">
        <v>1649</v>
      </c>
      <c r="M94" s="48" t="s">
        <v>1649</v>
      </c>
      <c r="N94" s="48" t="s">
        <v>1648</v>
      </c>
      <c r="O94" s="48" t="s">
        <v>1648</v>
      </c>
      <c r="P94" s="48" t="s">
        <v>1648</v>
      </c>
      <c r="Q94" s="48" t="s">
        <v>1649</v>
      </c>
      <c r="R94" s="48" t="s">
        <v>1649</v>
      </c>
      <c r="S94" s="48" t="s">
        <v>1649</v>
      </c>
      <c r="T94" s="48"/>
    </row>
    <row r="95" spans="1:20" ht="13.5" thickBot="1" x14ac:dyDescent="0.25">
      <c r="A95" s="48" t="s">
        <v>376</v>
      </c>
      <c r="B95" s="224" t="s">
        <v>375</v>
      </c>
      <c r="C95" s="48" t="s">
        <v>17</v>
      </c>
      <c r="D95" s="87" t="s">
        <v>3533</v>
      </c>
      <c r="E95" s="208">
        <v>31200</v>
      </c>
      <c r="F95" s="208">
        <v>36000</v>
      </c>
      <c r="G95" s="244">
        <v>40</v>
      </c>
      <c r="H95" s="48" t="s">
        <v>1649</v>
      </c>
      <c r="I95" s="48" t="s">
        <v>1649</v>
      </c>
      <c r="J95" s="48" t="s">
        <v>1649</v>
      </c>
      <c r="K95" s="48" t="s">
        <v>1649</v>
      </c>
      <c r="L95" s="48" t="s">
        <v>1649</v>
      </c>
      <c r="M95" s="48" t="s">
        <v>1648</v>
      </c>
      <c r="N95" s="48" t="s">
        <v>1648</v>
      </c>
      <c r="O95" s="48" t="s">
        <v>1648</v>
      </c>
      <c r="P95" s="48" t="s">
        <v>1648</v>
      </c>
      <c r="Q95" s="48" t="s">
        <v>1649</v>
      </c>
      <c r="R95" s="48" t="s">
        <v>1649</v>
      </c>
      <c r="S95" s="48" t="s">
        <v>1649</v>
      </c>
      <c r="T95" s="48"/>
    </row>
    <row r="96" spans="1:20" ht="13.5" thickBot="1" x14ac:dyDescent="0.25">
      <c r="A96" s="48" t="s">
        <v>382</v>
      </c>
      <c r="B96" s="224" t="s">
        <v>381</v>
      </c>
      <c r="C96" s="48" t="s">
        <v>17</v>
      </c>
      <c r="D96" s="87" t="s">
        <v>1812</v>
      </c>
      <c r="E96" s="208">
        <v>46000</v>
      </c>
      <c r="F96" s="208">
        <v>46000</v>
      </c>
      <c r="G96" s="244">
        <v>40</v>
      </c>
      <c r="H96" s="48" t="s">
        <v>1649</v>
      </c>
      <c r="I96" s="48" t="s">
        <v>1649</v>
      </c>
      <c r="J96" s="48" t="s">
        <v>1649</v>
      </c>
      <c r="K96" s="48" t="s">
        <v>1649</v>
      </c>
      <c r="L96" s="48" t="s">
        <v>1649</v>
      </c>
      <c r="M96" s="48" t="s">
        <v>1648</v>
      </c>
      <c r="N96" s="48" t="s">
        <v>1648</v>
      </c>
      <c r="O96" s="48" t="s">
        <v>1648</v>
      </c>
      <c r="P96" s="48" t="s">
        <v>1648</v>
      </c>
      <c r="Q96" s="48" t="s">
        <v>1649</v>
      </c>
      <c r="R96" s="48" t="s">
        <v>1649</v>
      </c>
      <c r="S96" s="48" t="s">
        <v>1649</v>
      </c>
      <c r="T96" s="48"/>
    </row>
    <row r="97" spans="1:20" ht="13.5" thickBot="1" x14ac:dyDescent="0.25">
      <c r="A97" s="48" t="s">
        <v>388</v>
      </c>
      <c r="B97" s="224" t="s">
        <v>387</v>
      </c>
      <c r="C97" s="48" t="s">
        <v>17</v>
      </c>
      <c r="D97" s="87" t="s">
        <v>3533</v>
      </c>
      <c r="E97" s="208">
        <v>23000</v>
      </c>
      <c r="F97" s="208">
        <v>32000</v>
      </c>
      <c r="G97" s="244">
        <v>40</v>
      </c>
      <c r="H97" s="48" t="s">
        <v>1648</v>
      </c>
      <c r="I97" s="48" t="s">
        <v>1648</v>
      </c>
      <c r="J97" s="48" t="s">
        <v>1648</v>
      </c>
      <c r="K97" s="48" t="s">
        <v>1648</v>
      </c>
      <c r="L97" s="48" t="s">
        <v>1648</v>
      </c>
      <c r="M97" s="48" t="s">
        <v>1648</v>
      </c>
      <c r="N97" s="48" t="s">
        <v>1648</v>
      </c>
      <c r="O97" s="48" t="s">
        <v>1648</v>
      </c>
      <c r="P97" s="48" t="s">
        <v>1648</v>
      </c>
      <c r="Q97" s="48" t="s">
        <v>1649</v>
      </c>
      <c r="R97" s="48" t="s">
        <v>1649</v>
      </c>
      <c r="S97" s="48" t="s">
        <v>1649</v>
      </c>
      <c r="T97" s="48"/>
    </row>
    <row r="98" spans="1:20" ht="13.5" thickBot="1" x14ac:dyDescent="0.25">
      <c r="A98" s="48" t="s">
        <v>392</v>
      </c>
      <c r="B98" s="224" t="s">
        <v>391</v>
      </c>
      <c r="C98" s="48" t="s">
        <v>17</v>
      </c>
      <c r="D98" s="87" t="s">
        <v>3533</v>
      </c>
      <c r="E98" s="208">
        <v>24872</v>
      </c>
      <c r="F98" s="208">
        <v>24872</v>
      </c>
      <c r="G98" s="244">
        <v>32</v>
      </c>
      <c r="H98" s="48" t="s">
        <v>1649</v>
      </c>
      <c r="I98" s="48" t="s">
        <v>1649</v>
      </c>
      <c r="J98" s="48" t="s">
        <v>1649</v>
      </c>
      <c r="K98" s="48" t="s">
        <v>1648</v>
      </c>
      <c r="L98" s="48" t="s">
        <v>1648</v>
      </c>
      <c r="M98" s="48" t="s">
        <v>1648</v>
      </c>
      <c r="N98" s="48" t="s">
        <v>1648</v>
      </c>
      <c r="O98" s="48" t="s">
        <v>1649</v>
      </c>
      <c r="P98" s="48" t="s">
        <v>1648</v>
      </c>
      <c r="Q98" s="48" t="s">
        <v>1649</v>
      </c>
      <c r="R98" s="48" t="s">
        <v>1649</v>
      </c>
      <c r="S98" s="48" t="s">
        <v>1649</v>
      </c>
      <c r="T98" s="48"/>
    </row>
    <row r="99" spans="1:20" ht="13.5" thickBot="1" x14ac:dyDescent="0.25">
      <c r="A99" s="48" t="s">
        <v>396</v>
      </c>
      <c r="B99" s="224" t="s">
        <v>395</v>
      </c>
      <c r="C99" s="48" t="s">
        <v>17</v>
      </c>
      <c r="D99" s="87" t="s">
        <v>3533</v>
      </c>
      <c r="E99" s="208">
        <v>15000</v>
      </c>
      <c r="F99" s="208">
        <v>26000</v>
      </c>
      <c r="G99" s="244">
        <v>35</v>
      </c>
      <c r="H99" s="48" t="s">
        <v>1649</v>
      </c>
      <c r="I99" s="48" t="s">
        <v>1649</v>
      </c>
      <c r="J99" s="48" t="s">
        <v>1649</v>
      </c>
      <c r="K99" s="48" t="s">
        <v>1649</v>
      </c>
      <c r="L99" s="48" t="s">
        <v>1648</v>
      </c>
      <c r="M99" s="48" t="s">
        <v>1648</v>
      </c>
      <c r="N99" s="48" t="s">
        <v>1649</v>
      </c>
      <c r="O99" s="48" t="s">
        <v>1648</v>
      </c>
      <c r="P99" s="48" t="s">
        <v>1649</v>
      </c>
      <c r="Q99" s="48" t="s">
        <v>1648</v>
      </c>
      <c r="R99" s="48" t="s">
        <v>1649</v>
      </c>
      <c r="S99" s="48" t="s">
        <v>1649</v>
      </c>
      <c r="T99" s="48"/>
    </row>
    <row r="100" spans="1:20" ht="13.5" thickBot="1" x14ac:dyDescent="0.25">
      <c r="A100" s="48" t="s">
        <v>398</v>
      </c>
      <c r="B100" s="224" t="s">
        <v>397</v>
      </c>
      <c r="C100" s="48" t="s">
        <v>17</v>
      </c>
      <c r="D100" s="87" t="s">
        <v>3533</v>
      </c>
      <c r="E100" s="208">
        <v>31574</v>
      </c>
      <c r="F100" s="208">
        <v>32531</v>
      </c>
      <c r="G100" s="244">
        <v>40</v>
      </c>
      <c r="H100" s="48" t="s">
        <v>1649</v>
      </c>
      <c r="I100" s="48" t="s">
        <v>1649</v>
      </c>
      <c r="J100" s="48" t="s">
        <v>1649</v>
      </c>
      <c r="K100" s="48" t="s">
        <v>1649</v>
      </c>
      <c r="L100" s="48" t="s">
        <v>1649</v>
      </c>
      <c r="M100" s="48" t="s">
        <v>1648</v>
      </c>
      <c r="N100" s="48" t="s">
        <v>1648</v>
      </c>
      <c r="O100" s="48" t="s">
        <v>1649</v>
      </c>
      <c r="P100" s="48" t="s">
        <v>1648</v>
      </c>
      <c r="Q100" s="48" t="s">
        <v>1649</v>
      </c>
      <c r="R100" s="48" t="s">
        <v>1649</v>
      </c>
      <c r="S100" s="48" t="s">
        <v>1649</v>
      </c>
      <c r="T100" s="48" t="s">
        <v>3567</v>
      </c>
    </row>
    <row r="101" spans="1:20" ht="13.5" thickBot="1" x14ac:dyDescent="0.25">
      <c r="A101" s="48" t="s">
        <v>400</v>
      </c>
      <c r="B101" s="224" t="s">
        <v>399</v>
      </c>
      <c r="C101" s="48" t="s">
        <v>17</v>
      </c>
      <c r="D101" s="87" t="s">
        <v>3529</v>
      </c>
      <c r="E101" s="208">
        <v>21000</v>
      </c>
      <c r="F101" s="208">
        <v>71500</v>
      </c>
      <c r="G101" s="244">
        <v>40</v>
      </c>
      <c r="H101" s="48" t="s">
        <v>1648</v>
      </c>
      <c r="I101" s="48" t="s">
        <v>1648</v>
      </c>
      <c r="J101" s="48" t="s">
        <v>1649</v>
      </c>
      <c r="K101" s="48" t="s">
        <v>1648</v>
      </c>
      <c r="L101" s="48" t="s">
        <v>1648</v>
      </c>
      <c r="M101" s="48" t="s">
        <v>1648</v>
      </c>
      <c r="N101" s="48" t="s">
        <v>1648</v>
      </c>
      <c r="O101" s="48" t="s">
        <v>1648</v>
      </c>
      <c r="P101" s="48" t="s">
        <v>1648</v>
      </c>
      <c r="Q101" s="48" t="s">
        <v>1649</v>
      </c>
      <c r="R101" s="48" t="s">
        <v>1649</v>
      </c>
      <c r="S101" s="48" t="s">
        <v>1649</v>
      </c>
      <c r="T101" s="48"/>
    </row>
    <row r="102" spans="1:20" ht="13.5" thickBot="1" x14ac:dyDescent="0.25">
      <c r="A102" s="48" t="s">
        <v>414</v>
      </c>
      <c r="B102" s="224" t="s">
        <v>413</v>
      </c>
      <c r="C102" s="48" t="s">
        <v>17</v>
      </c>
      <c r="D102" s="87" t="s">
        <v>3533</v>
      </c>
      <c r="E102" s="208">
        <v>37543</v>
      </c>
      <c r="F102" s="208">
        <v>37543</v>
      </c>
      <c r="G102" s="244">
        <v>36</v>
      </c>
      <c r="H102" s="48" t="s">
        <v>1649</v>
      </c>
      <c r="I102" s="48" t="s">
        <v>1649</v>
      </c>
      <c r="J102" s="48" t="s">
        <v>1649</v>
      </c>
      <c r="K102" s="48" t="s">
        <v>1649</v>
      </c>
      <c r="L102" s="48" t="s">
        <v>1649</v>
      </c>
      <c r="M102" s="48" t="s">
        <v>1648</v>
      </c>
      <c r="N102" s="48" t="s">
        <v>1648</v>
      </c>
      <c r="O102" s="48" t="s">
        <v>1648</v>
      </c>
      <c r="P102" s="48" t="s">
        <v>1648</v>
      </c>
      <c r="Q102" s="48" t="s">
        <v>1648</v>
      </c>
      <c r="R102" s="48" t="s">
        <v>1649</v>
      </c>
      <c r="S102" s="48" t="s">
        <v>1649</v>
      </c>
      <c r="T102" s="48"/>
    </row>
    <row r="103" spans="1:20" ht="13.5" thickBot="1" x14ac:dyDescent="0.25">
      <c r="A103" s="48" t="s">
        <v>427</v>
      </c>
      <c r="B103" s="224" t="s">
        <v>426</v>
      </c>
      <c r="C103" s="48" t="s">
        <v>17</v>
      </c>
      <c r="D103" s="87" t="s">
        <v>1812</v>
      </c>
      <c r="E103" s="208">
        <v>33586</v>
      </c>
      <c r="F103" s="208">
        <v>35615</v>
      </c>
      <c r="G103" s="244">
        <v>30</v>
      </c>
      <c r="H103" s="48" t="s">
        <v>1649</v>
      </c>
      <c r="I103" s="48" t="s">
        <v>1649</v>
      </c>
      <c r="J103" s="48" t="s">
        <v>1649</v>
      </c>
      <c r="K103" s="48" t="s">
        <v>1649</v>
      </c>
      <c r="L103" s="48" t="s">
        <v>1649</v>
      </c>
      <c r="M103" s="48" t="s">
        <v>1649</v>
      </c>
      <c r="N103" s="48" t="s">
        <v>1648</v>
      </c>
      <c r="O103" s="48" t="s">
        <v>1649</v>
      </c>
      <c r="P103" s="48" t="s">
        <v>1648</v>
      </c>
      <c r="Q103" s="48" t="s">
        <v>1649</v>
      </c>
      <c r="R103" s="48" t="s">
        <v>1649</v>
      </c>
      <c r="S103" s="48" t="s">
        <v>1649</v>
      </c>
      <c r="T103" s="48" t="s">
        <v>3571</v>
      </c>
    </row>
    <row r="104" spans="1:20" ht="13.5" thickBot="1" x14ac:dyDescent="0.25">
      <c r="A104" s="48" t="s">
        <v>429</v>
      </c>
      <c r="B104" s="224" t="s">
        <v>428</v>
      </c>
      <c r="C104" s="48" t="s">
        <v>17</v>
      </c>
      <c r="D104" s="87" t="s">
        <v>3533</v>
      </c>
      <c r="E104" s="208">
        <v>43575</v>
      </c>
      <c r="F104" s="208">
        <v>45750</v>
      </c>
      <c r="G104" s="244">
        <v>40</v>
      </c>
      <c r="H104" s="48" t="s">
        <v>1648</v>
      </c>
      <c r="I104" s="48" t="s">
        <v>1649</v>
      </c>
      <c r="J104" s="48" t="s">
        <v>1649</v>
      </c>
      <c r="K104" s="48" t="s">
        <v>1649</v>
      </c>
      <c r="L104" s="48" t="s">
        <v>1649</v>
      </c>
      <c r="M104" s="48" t="s">
        <v>1648</v>
      </c>
      <c r="N104" s="48" t="s">
        <v>1648</v>
      </c>
      <c r="O104" s="48" t="s">
        <v>1649</v>
      </c>
      <c r="P104" s="48" t="s">
        <v>1648</v>
      </c>
      <c r="Q104" s="48" t="s">
        <v>1649</v>
      </c>
      <c r="R104" s="48" t="s">
        <v>1649</v>
      </c>
      <c r="S104" s="48" t="s">
        <v>1649</v>
      </c>
      <c r="T104" s="48"/>
    </row>
    <row r="105" spans="1:20" ht="13.5" thickBot="1" x14ac:dyDescent="0.25">
      <c r="A105" s="48" t="s">
        <v>450</v>
      </c>
      <c r="B105" s="224" t="s">
        <v>449</v>
      </c>
      <c r="C105" s="48" t="s">
        <v>17</v>
      </c>
      <c r="D105" s="87" t="s">
        <v>3533</v>
      </c>
      <c r="E105" s="208">
        <v>13000</v>
      </c>
      <c r="F105" s="208">
        <v>15600</v>
      </c>
      <c r="G105" s="244">
        <v>22</v>
      </c>
      <c r="H105" s="48" t="s">
        <v>1649</v>
      </c>
      <c r="I105" s="48" t="s">
        <v>1649</v>
      </c>
      <c r="J105" s="48" t="s">
        <v>1649</v>
      </c>
      <c r="K105" s="48" t="s">
        <v>1649</v>
      </c>
      <c r="L105" s="48" t="s">
        <v>1649</v>
      </c>
      <c r="M105" s="48" t="s">
        <v>1648</v>
      </c>
      <c r="N105" s="48" t="s">
        <v>1648</v>
      </c>
      <c r="O105" s="48" t="s">
        <v>1649</v>
      </c>
      <c r="P105" s="48" t="s">
        <v>1648</v>
      </c>
      <c r="Q105" s="48" t="s">
        <v>1649</v>
      </c>
      <c r="R105" s="48" t="s">
        <v>1649</v>
      </c>
      <c r="S105" s="48" t="s">
        <v>1649</v>
      </c>
      <c r="T105" s="48" t="s">
        <v>3574</v>
      </c>
    </row>
    <row r="106" spans="1:20" ht="13.5" thickBot="1" x14ac:dyDescent="0.25">
      <c r="A106" s="48" t="s">
        <v>456</v>
      </c>
      <c r="B106" s="224" t="s">
        <v>455</v>
      </c>
      <c r="C106" s="48" t="s">
        <v>17</v>
      </c>
      <c r="D106" s="87" t="s">
        <v>3533</v>
      </c>
      <c r="E106" s="208">
        <v>26426</v>
      </c>
      <c r="F106" s="208">
        <v>26426</v>
      </c>
      <c r="G106" s="244">
        <v>33</v>
      </c>
      <c r="H106" s="48" t="s">
        <v>1649</v>
      </c>
      <c r="I106" s="48" t="s">
        <v>1649</v>
      </c>
      <c r="J106" s="48" t="s">
        <v>1649</v>
      </c>
      <c r="K106" s="48" t="s">
        <v>1648</v>
      </c>
      <c r="L106" s="48" t="s">
        <v>1648</v>
      </c>
      <c r="M106" s="48" t="s">
        <v>1648</v>
      </c>
      <c r="N106" s="48" t="s">
        <v>1648</v>
      </c>
      <c r="O106" s="48" t="s">
        <v>1648</v>
      </c>
      <c r="P106" s="48" t="s">
        <v>1648</v>
      </c>
      <c r="Q106" s="48" t="s">
        <v>1649</v>
      </c>
      <c r="R106" s="48" t="s">
        <v>1649</v>
      </c>
      <c r="S106" s="48" t="s">
        <v>1649</v>
      </c>
      <c r="T106" s="48"/>
    </row>
    <row r="107" spans="1:20" ht="13.5" thickBot="1" x14ac:dyDescent="0.25">
      <c r="A107" s="48" t="s">
        <v>462</v>
      </c>
      <c r="B107" s="224" t="s">
        <v>461</v>
      </c>
      <c r="C107" s="48" t="s">
        <v>17</v>
      </c>
      <c r="D107" s="87" t="s">
        <v>3533</v>
      </c>
      <c r="E107" s="208">
        <v>25000</v>
      </c>
      <c r="F107" s="208">
        <v>38000</v>
      </c>
      <c r="G107" s="244">
        <v>35</v>
      </c>
      <c r="H107" s="48" t="s">
        <v>1649</v>
      </c>
      <c r="I107" s="48" t="s">
        <v>1649</v>
      </c>
      <c r="J107" s="48" t="s">
        <v>1649</v>
      </c>
      <c r="K107" s="48" t="s">
        <v>1649</v>
      </c>
      <c r="L107" s="48" t="s">
        <v>1649</v>
      </c>
      <c r="M107" s="48" t="s">
        <v>1648</v>
      </c>
      <c r="N107" s="48" t="s">
        <v>1648</v>
      </c>
      <c r="O107" s="48" t="s">
        <v>1649</v>
      </c>
      <c r="P107" s="48" t="s">
        <v>1648</v>
      </c>
      <c r="Q107" s="48" t="s">
        <v>1649</v>
      </c>
      <c r="R107" s="48" t="s">
        <v>1649</v>
      </c>
      <c r="S107" s="48" t="s">
        <v>1649</v>
      </c>
      <c r="T107" s="48" t="s">
        <v>3575</v>
      </c>
    </row>
    <row r="108" spans="1:20" ht="13.5" thickBot="1" x14ac:dyDescent="0.25">
      <c r="A108" s="48" t="s">
        <v>466</v>
      </c>
      <c r="B108" s="224" t="s">
        <v>465</v>
      </c>
      <c r="C108" s="48" t="s">
        <v>17</v>
      </c>
      <c r="D108" s="87" t="s">
        <v>3533</v>
      </c>
      <c r="E108" s="208">
        <v>24370</v>
      </c>
      <c r="F108" s="208">
        <v>26040</v>
      </c>
      <c r="G108" s="244">
        <v>35</v>
      </c>
      <c r="H108" s="48" t="s">
        <v>1649</v>
      </c>
      <c r="I108" s="48" t="s">
        <v>1649</v>
      </c>
      <c r="J108" s="48" t="s">
        <v>1649</v>
      </c>
      <c r="K108" s="48" t="s">
        <v>1649</v>
      </c>
      <c r="L108" s="48" t="s">
        <v>1649</v>
      </c>
      <c r="M108" s="48" t="s">
        <v>1649</v>
      </c>
      <c r="N108" s="48" t="s">
        <v>1649</v>
      </c>
      <c r="O108" s="48" t="s">
        <v>1649</v>
      </c>
      <c r="P108" s="48" t="s">
        <v>1649</v>
      </c>
      <c r="Q108" s="48" t="s">
        <v>1649</v>
      </c>
      <c r="R108" s="48" t="s">
        <v>1649</v>
      </c>
      <c r="S108" s="48" t="s">
        <v>1649</v>
      </c>
      <c r="T108" s="48"/>
    </row>
    <row r="109" spans="1:20" ht="13.5" thickBot="1" x14ac:dyDescent="0.25">
      <c r="A109" s="48" t="s">
        <v>478</v>
      </c>
      <c r="B109" s="224" t="s">
        <v>477</v>
      </c>
      <c r="C109" s="48" t="s">
        <v>17</v>
      </c>
      <c r="D109" s="87" t="s">
        <v>3529</v>
      </c>
      <c r="E109" s="208">
        <v>44290</v>
      </c>
      <c r="F109" s="208">
        <v>44290</v>
      </c>
      <c r="G109" s="244">
        <v>38</v>
      </c>
      <c r="H109" s="48" t="s">
        <v>1648</v>
      </c>
      <c r="I109" s="48" t="s">
        <v>1649</v>
      </c>
      <c r="J109" s="48" t="s">
        <v>1649</v>
      </c>
      <c r="K109" s="48" t="s">
        <v>1649</v>
      </c>
      <c r="L109" s="48" t="s">
        <v>1649</v>
      </c>
      <c r="M109" s="48" t="s">
        <v>1648</v>
      </c>
      <c r="N109" s="48" t="s">
        <v>1648</v>
      </c>
      <c r="O109" s="48" t="s">
        <v>1648</v>
      </c>
      <c r="P109" s="48" t="s">
        <v>1648</v>
      </c>
      <c r="Q109" s="48" t="s">
        <v>1649</v>
      </c>
      <c r="R109" s="48" t="s">
        <v>1649</v>
      </c>
      <c r="S109" s="48" t="s">
        <v>1649</v>
      </c>
      <c r="T109" s="48"/>
    </row>
    <row r="110" spans="1:20" ht="13.5" thickBot="1" x14ac:dyDescent="0.25">
      <c r="A110" s="48" t="s">
        <v>480</v>
      </c>
      <c r="B110" s="224" t="s">
        <v>479</v>
      </c>
      <c r="C110" s="48" t="s">
        <v>17</v>
      </c>
      <c r="D110" s="87" t="s">
        <v>3533</v>
      </c>
      <c r="E110" s="208">
        <v>16000</v>
      </c>
      <c r="F110" s="208">
        <v>24000</v>
      </c>
      <c r="G110" s="244">
        <v>32</v>
      </c>
      <c r="H110" s="48" t="s">
        <v>1649</v>
      </c>
      <c r="I110" s="48" t="s">
        <v>1649</v>
      </c>
      <c r="J110" s="48" t="s">
        <v>1649</v>
      </c>
      <c r="K110" s="48" t="s">
        <v>1649</v>
      </c>
      <c r="L110" s="48" t="s">
        <v>1648</v>
      </c>
      <c r="M110" s="48" t="s">
        <v>1649</v>
      </c>
      <c r="N110" s="48" t="s">
        <v>1648</v>
      </c>
      <c r="O110" s="48" t="s">
        <v>1649</v>
      </c>
      <c r="P110" s="48" t="s">
        <v>1648</v>
      </c>
      <c r="Q110" s="48" t="s">
        <v>1649</v>
      </c>
      <c r="R110" s="48" t="s">
        <v>1649</v>
      </c>
      <c r="S110" s="48" t="s">
        <v>1649</v>
      </c>
      <c r="T110" s="48"/>
    </row>
    <row r="111" spans="1:20" ht="13.5" thickBot="1" x14ac:dyDescent="0.25">
      <c r="A111" s="48" t="s">
        <v>488</v>
      </c>
      <c r="B111" s="224" t="s">
        <v>487</v>
      </c>
      <c r="C111" s="48" t="s">
        <v>17</v>
      </c>
      <c r="D111" s="87" t="s">
        <v>1812</v>
      </c>
      <c r="E111" s="208">
        <v>38170</v>
      </c>
      <c r="F111" s="208">
        <v>38170</v>
      </c>
      <c r="G111" s="244">
        <v>40</v>
      </c>
      <c r="H111" s="48" t="s">
        <v>1649</v>
      </c>
      <c r="I111" s="48" t="s">
        <v>1649</v>
      </c>
      <c r="J111" s="48" t="s">
        <v>1649</v>
      </c>
      <c r="K111" s="48" t="s">
        <v>1649</v>
      </c>
      <c r="L111" s="48" t="s">
        <v>1649</v>
      </c>
      <c r="M111" s="48" t="s">
        <v>1649</v>
      </c>
      <c r="N111" s="48" t="s">
        <v>1648</v>
      </c>
      <c r="O111" s="48" t="s">
        <v>1648</v>
      </c>
      <c r="P111" s="48" t="s">
        <v>1648</v>
      </c>
      <c r="Q111" s="48" t="s">
        <v>1649</v>
      </c>
      <c r="R111" s="48" t="s">
        <v>1649</v>
      </c>
      <c r="S111" s="48" t="s">
        <v>1649</v>
      </c>
      <c r="T111" s="48"/>
    </row>
    <row r="112" spans="1:20" ht="13.5" thickBot="1" x14ac:dyDescent="0.25">
      <c r="A112" s="48" t="s">
        <v>490</v>
      </c>
      <c r="B112" s="224" t="s">
        <v>489</v>
      </c>
      <c r="C112" s="48" t="s">
        <v>17</v>
      </c>
      <c r="D112" s="87" t="s">
        <v>3533</v>
      </c>
      <c r="E112" s="208">
        <v>32203</v>
      </c>
      <c r="F112" s="208">
        <v>32203</v>
      </c>
      <c r="G112" s="244">
        <v>38</v>
      </c>
      <c r="H112" s="48" t="s">
        <v>1648</v>
      </c>
      <c r="I112" s="48" t="s">
        <v>1648</v>
      </c>
      <c r="J112" s="48" t="s">
        <v>1648</v>
      </c>
      <c r="K112" s="48" t="s">
        <v>1648</v>
      </c>
      <c r="L112" s="48" t="s">
        <v>1648</v>
      </c>
      <c r="M112" s="48" t="s">
        <v>1648</v>
      </c>
      <c r="N112" s="48" t="s">
        <v>1649</v>
      </c>
      <c r="O112" s="48" t="s">
        <v>1648</v>
      </c>
      <c r="P112" s="48" t="s">
        <v>1648</v>
      </c>
      <c r="Q112" s="48" t="s">
        <v>1649</v>
      </c>
      <c r="R112" s="48" t="s">
        <v>1648</v>
      </c>
      <c r="S112" s="48" t="s">
        <v>1648</v>
      </c>
      <c r="T112" s="48"/>
    </row>
    <row r="113" spans="1:20" ht="13.5" thickBot="1" x14ac:dyDescent="0.25">
      <c r="A113" s="48" t="s">
        <v>494</v>
      </c>
      <c r="B113" s="224" t="s">
        <v>493</v>
      </c>
      <c r="C113" s="48" t="s">
        <v>17</v>
      </c>
      <c r="D113" s="87" t="s">
        <v>3533</v>
      </c>
      <c r="E113" s="208">
        <v>19050</v>
      </c>
      <c r="F113" s="208">
        <v>31459</v>
      </c>
      <c r="G113" s="244">
        <v>32</v>
      </c>
      <c r="H113" s="48" t="s">
        <v>1649</v>
      </c>
      <c r="I113" s="48" t="s">
        <v>1649</v>
      </c>
      <c r="J113" s="48" t="s">
        <v>1649</v>
      </c>
      <c r="K113" s="48" t="s">
        <v>1649</v>
      </c>
      <c r="L113" s="48" t="s">
        <v>1649</v>
      </c>
      <c r="M113" s="48" t="s">
        <v>1648</v>
      </c>
      <c r="N113" s="48" t="s">
        <v>1648</v>
      </c>
      <c r="O113" s="48" t="s">
        <v>1648</v>
      </c>
      <c r="P113" s="48" t="s">
        <v>1648</v>
      </c>
      <c r="Q113" s="48" t="s">
        <v>1649</v>
      </c>
      <c r="R113" s="48" t="s">
        <v>1649</v>
      </c>
      <c r="S113" s="48" t="s">
        <v>1649</v>
      </c>
      <c r="T113" s="48"/>
    </row>
    <row r="114" spans="1:20" ht="13.5" thickBot="1" x14ac:dyDescent="0.25">
      <c r="A114" s="48" t="s">
        <v>512</v>
      </c>
      <c r="B114" s="224" t="s">
        <v>511</v>
      </c>
      <c r="C114" s="48" t="s">
        <v>17</v>
      </c>
      <c r="D114" s="87" t="s">
        <v>1812</v>
      </c>
      <c r="E114" s="208">
        <v>37417</v>
      </c>
      <c r="F114" s="208">
        <v>37417</v>
      </c>
      <c r="G114" s="244">
        <v>40</v>
      </c>
      <c r="H114" s="48" t="s">
        <v>1648</v>
      </c>
      <c r="I114" s="48" t="s">
        <v>1648</v>
      </c>
      <c r="J114" s="48" t="s">
        <v>1649</v>
      </c>
      <c r="K114" s="48" t="s">
        <v>1649</v>
      </c>
      <c r="L114" s="48" t="s">
        <v>1649</v>
      </c>
      <c r="M114" s="48" t="s">
        <v>1648</v>
      </c>
      <c r="N114" s="48" t="s">
        <v>1648</v>
      </c>
      <c r="O114" s="48" t="s">
        <v>1648</v>
      </c>
      <c r="P114" s="48" t="s">
        <v>1648</v>
      </c>
      <c r="Q114" s="48" t="s">
        <v>1649</v>
      </c>
      <c r="R114" s="48" t="s">
        <v>1649</v>
      </c>
      <c r="S114" s="48" t="s">
        <v>1648</v>
      </c>
      <c r="T114" s="48"/>
    </row>
    <row r="115" spans="1:20" ht="13.5" thickBot="1" x14ac:dyDescent="0.25">
      <c r="A115" s="48" t="s">
        <v>514</v>
      </c>
      <c r="B115" s="224" t="s">
        <v>513</v>
      </c>
      <c r="C115" s="48" t="s">
        <v>17</v>
      </c>
      <c r="D115" s="87" t="s">
        <v>3529</v>
      </c>
      <c r="E115" s="208">
        <v>35000</v>
      </c>
      <c r="F115" s="208">
        <v>45000</v>
      </c>
      <c r="G115" s="244">
        <v>40</v>
      </c>
      <c r="H115" s="48" t="s">
        <v>1648</v>
      </c>
      <c r="I115" s="48" t="s">
        <v>1648</v>
      </c>
      <c r="J115" s="48" t="s">
        <v>1648</v>
      </c>
      <c r="K115" s="48" t="s">
        <v>1649</v>
      </c>
      <c r="L115" s="48" t="s">
        <v>1649</v>
      </c>
      <c r="M115" s="48" t="s">
        <v>1648</v>
      </c>
      <c r="N115" s="48" t="s">
        <v>1648</v>
      </c>
      <c r="O115" s="48" t="s">
        <v>1648</v>
      </c>
      <c r="P115" s="48" t="s">
        <v>1648</v>
      </c>
      <c r="Q115" s="48" t="s">
        <v>1648</v>
      </c>
      <c r="R115" s="48" t="s">
        <v>1649</v>
      </c>
      <c r="S115" s="48" t="s">
        <v>1649</v>
      </c>
      <c r="T115" s="48"/>
    </row>
    <row r="116" spans="1:20" ht="13.5" thickBot="1" x14ac:dyDescent="0.25">
      <c r="A116" s="48" t="s">
        <v>526</v>
      </c>
      <c r="B116" s="224" t="s">
        <v>525</v>
      </c>
      <c r="C116" s="48" t="s">
        <v>17</v>
      </c>
      <c r="D116" s="87" t="s">
        <v>3533</v>
      </c>
      <c r="E116" s="208">
        <v>42400</v>
      </c>
      <c r="F116" s="208">
        <v>66500</v>
      </c>
      <c r="G116" s="244">
        <v>40</v>
      </c>
      <c r="H116" s="48" t="s">
        <v>1648</v>
      </c>
      <c r="I116" s="48" t="s">
        <v>1648</v>
      </c>
      <c r="J116" s="48" t="s">
        <v>1649</v>
      </c>
      <c r="K116" s="48" t="s">
        <v>1649</v>
      </c>
      <c r="L116" s="48" t="s">
        <v>1649</v>
      </c>
      <c r="M116" s="48" t="s">
        <v>1648</v>
      </c>
      <c r="N116" s="48" t="s">
        <v>1648</v>
      </c>
      <c r="O116" s="48" t="s">
        <v>1648</v>
      </c>
      <c r="P116" s="48" t="s">
        <v>1648</v>
      </c>
      <c r="Q116" s="48" t="s">
        <v>1649</v>
      </c>
      <c r="R116" s="48" t="s">
        <v>1649</v>
      </c>
      <c r="S116" s="48" t="s">
        <v>1649</v>
      </c>
      <c r="T116" s="48"/>
    </row>
    <row r="117" spans="1:20" ht="13.5" thickBot="1" x14ac:dyDescent="0.25">
      <c r="A117" s="48" t="s">
        <v>528</v>
      </c>
      <c r="B117" s="224" t="s">
        <v>527</v>
      </c>
      <c r="C117" s="48" t="s">
        <v>17</v>
      </c>
      <c r="D117" s="87" t="s">
        <v>1812</v>
      </c>
      <c r="E117" s="208">
        <v>38000</v>
      </c>
      <c r="F117" s="208">
        <v>45000</v>
      </c>
      <c r="G117" s="244">
        <v>40</v>
      </c>
      <c r="H117" s="48" t="s">
        <v>1649</v>
      </c>
      <c r="I117" s="48" t="s">
        <v>1649</v>
      </c>
      <c r="J117" s="48" t="s">
        <v>1649</v>
      </c>
      <c r="K117" s="48" t="s">
        <v>1649</v>
      </c>
      <c r="L117" s="48" t="s">
        <v>1649</v>
      </c>
      <c r="M117" s="48" t="s">
        <v>1648</v>
      </c>
      <c r="N117" s="48" t="s">
        <v>1648</v>
      </c>
      <c r="O117" s="48" t="s">
        <v>1648</v>
      </c>
      <c r="P117" s="48" t="s">
        <v>1648</v>
      </c>
      <c r="Q117" s="48" t="s">
        <v>1649</v>
      </c>
      <c r="R117" s="48" t="s">
        <v>1649</v>
      </c>
      <c r="S117" s="48" t="s">
        <v>1649</v>
      </c>
      <c r="T117" s="48" t="s">
        <v>3581</v>
      </c>
    </row>
    <row r="118" spans="1:20" ht="13.5" thickBot="1" x14ac:dyDescent="0.25">
      <c r="A118" s="48" t="s">
        <v>532</v>
      </c>
      <c r="B118" s="224" t="s">
        <v>531</v>
      </c>
      <c r="C118" s="48" t="s">
        <v>17</v>
      </c>
      <c r="D118" s="87" t="s">
        <v>1812</v>
      </c>
      <c r="E118" s="208">
        <v>16900</v>
      </c>
      <c r="F118" s="208">
        <v>16900</v>
      </c>
      <c r="G118" s="244">
        <v>30</v>
      </c>
      <c r="H118" s="48" t="s">
        <v>1649</v>
      </c>
      <c r="I118" s="48" t="s">
        <v>1649</v>
      </c>
      <c r="J118" s="48" t="s">
        <v>1649</v>
      </c>
      <c r="K118" s="48" t="s">
        <v>1649</v>
      </c>
      <c r="L118" s="48" t="s">
        <v>1649</v>
      </c>
      <c r="M118" s="48" t="s">
        <v>1648</v>
      </c>
      <c r="N118" s="48" t="s">
        <v>1648</v>
      </c>
      <c r="O118" s="48" t="s">
        <v>1649</v>
      </c>
      <c r="P118" s="48" t="s">
        <v>1648</v>
      </c>
      <c r="Q118" s="48" t="s">
        <v>1649</v>
      </c>
      <c r="R118" s="48" t="s">
        <v>1649</v>
      </c>
      <c r="S118" s="48" t="s">
        <v>1649</v>
      </c>
      <c r="T118" s="48"/>
    </row>
    <row r="119" spans="1:20" ht="13.5" thickBot="1" x14ac:dyDescent="0.25">
      <c r="A119" s="48" t="s">
        <v>540</v>
      </c>
      <c r="B119" s="224" t="s">
        <v>539</v>
      </c>
      <c r="C119" s="48" t="s">
        <v>17</v>
      </c>
      <c r="D119" s="87" t="s">
        <v>1812</v>
      </c>
      <c r="E119" s="208">
        <v>29500</v>
      </c>
      <c r="F119" s="208">
        <v>39000</v>
      </c>
      <c r="G119" s="244">
        <v>24</v>
      </c>
      <c r="H119" s="48" t="s">
        <v>1649</v>
      </c>
      <c r="I119" s="48" t="s">
        <v>1649</v>
      </c>
      <c r="J119" s="48" t="s">
        <v>1649</v>
      </c>
      <c r="K119" s="48" t="s">
        <v>1649</v>
      </c>
      <c r="L119" s="48" t="s">
        <v>1649</v>
      </c>
      <c r="M119" s="48" t="s">
        <v>1648</v>
      </c>
      <c r="N119" s="48" t="s">
        <v>1648</v>
      </c>
      <c r="O119" s="48" t="s">
        <v>1649</v>
      </c>
      <c r="P119" s="48" t="s">
        <v>1648</v>
      </c>
      <c r="Q119" s="48" t="s">
        <v>1649</v>
      </c>
      <c r="R119" s="48" t="s">
        <v>1649</v>
      </c>
      <c r="S119" s="48" t="s">
        <v>1649</v>
      </c>
      <c r="T119" s="48"/>
    </row>
    <row r="120" spans="1:20" ht="13.5" thickBot="1" x14ac:dyDescent="0.25">
      <c r="A120" s="48" t="s">
        <v>560</v>
      </c>
      <c r="B120" s="224" t="s">
        <v>559</v>
      </c>
      <c r="C120" s="48" t="s">
        <v>17</v>
      </c>
      <c r="D120" s="87" t="s">
        <v>1812</v>
      </c>
      <c r="E120" s="87" t="s">
        <v>1660</v>
      </c>
      <c r="F120" s="87" t="s">
        <v>1660</v>
      </c>
      <c r="G120" s="244">
        <v>30</v>
      </c>
      <c r="H120" s="48" t="s">
        <v>1649</v>
      </c>
      <c r="I120" s="48" t="s">
        <v>1649</v>
      </c>
      <c r="J120" s="48" t="s">
        <v>1649</v>
      </c>
      <c r="K120" s="48" t="s">
        <v>1649</v>
      </c>
      <c r="L120" s="48" t="s">
        <v>1649</v>
      </c>
      <c r="M120" s="48" t="s">
        <v>1648</v>
      </c>
      <c r="N120" s="48" t="s">
        <v>1648</v>
      </c>
      <c r="O120" s="48" t="s">
        <v>1649</v>
      </c>
      <c r="P120" s="48" t="s">
        <v>1649</v>
      </c>
      <c r="Q120" s="48" t="s">
        <v>1649</v>
      </c>
      <c r="R120" s="48" t="s">
        <v>1649</v>
      </c>
      <c r="S120" s="48" t="s">
        <v>1649</v>
      </c>
      <c r="T120" s="48"/>
    </row>
    <row r="121" spans="1:20" ht="13.5" thickBot="1" x14ac:dyDescent="0.25">
      <c r="A121" s="48" t="s">
        <v>566</v>
      </c>
      <c r="B121" s="224" t="s">
        <v>565</v>
      </c>
      <c r="C121" s="48" t="s">
        <v>17</v>
      </c>
      <c r="D121" s="87" t="s">
        <v>3533</v>
      </c>
      <c r="E121" s="208">
        <v>27000</v>
      </c>
      <c r="F121" s="208">
        <v>34000</v>
      </c>
      <c r="G121" s="244">
        <v>40</v>
      </c>
      <c r="H121" s="48" t="s">
        <v>1649</v>
      </c>
      <c r="I121" s="48" t="s">
        <v>1649</v>
      </c>
      <c r="J121" s="48" t="s">
        <v>1649</v>
      </c>
      <c r="K121" s="48" t="s">
        <v>1649</v>
      </c>
      <c r="L121" s="48" t="s">
        <v>1648</v>
      </c>
      <c r="M121" s="48" t="s">
        <v>1648</v>
      </c>
      <c r="N121" s="48" t="s">
        <v>1648</v>
      </c>
      <c r="O121" s="48" t="s">
        <v>1649</v>
      </c>
      <c r="P121" s="48" t="s">
        <v>1648</v>
      </c>
      <c r="Q121" s="48" t="s">
        <v>1649</v>
      </c>
      <c r="R121" s="48" t="s">
        <v>1649</v>
      </c>
      <c r="S121" s="48" t="s">
        <v>1649</v>
      </c>
      <c r="T121" s="48"/>
    </row>
    <row r="122" spans="1:20" ht="13.5" thickBot="1" x14ac:dyDescent="0.25">
      <c r="A122" s="48" t="s">
        <v>572</v>
      </c>
      <c r="B122" s="224" t="s">
        <v>571</v>
      </c>
      <c r="C122" s="48" t="s">
        <v>17</v>
      </c>
      <c r="D122" s="87" t="s">
        <v>1812</v>
      </c>
      <c r="E122" s="87" t="s">
        <v>1660</v>
      </c>
      <c r="F122" s="87" t="s">
        <v>1660</v>
      </c>
      <c r="G122" s="87" t="s">
        <v>1660</v>
      </c>
      <c r="H122" s="48" t="s">
        <v>1648</v>
      </c>
      <c r="I122" s="48" t="s">
        <v>1649</v>
      </c>
      <c r="J122" s="48" t="s">
        <v>1649</v>
      </c>
      <c r="K122" s="48" t="s">
        <v>1648</v>
      </c>
      <c r="L122" s="48" t="s">
        <v>1648</v>
      </c>
      <c r="M122" s="48" t="s">
        <v>1648</v>
      </c>
      <c r="N122" s="48" t="s">
        <v>1648</v>
      </c>
      <c r="O122" s="48" t="s">
        <v>1648</v>
      </c>
      <c r="P122" s="48" t="s">
        <v>1648</v>
      </c>
      <c r="Q122" s="48" t="s">
        <v>1648</v>
      </c>
      <c r="R122" s="48" t="s">
        <v>1649</v>
      </c>
      <c r="S122" s="48" t="s">
        <v>1649</v>
      </c>
      <c r="T122" s="48"/>
    </row>
    <row r="123" spans="1:20" ht="13.5" thickBot="1" x14ac:dyDescent="0.25">
      <c r="A123" s="48" t="s">
        <v>582</v>
      </c>
      <c r="B123" s="224" t="s">
        <v>581</v>
      </c>
      <c r="C123" s="48" t="s">
        <v>17</v>
      </c>
      <c r="D123" s="87" t="s">
        <v>1812</v>
      </c>
      <c r="E123" s="208">
        <v>35000</v>
      </c>
      <c r="F123" s="208">
        <v>40000</v>
      </c>
      <c r="G123" s="244">
        <v>40</v>
      </c>
      <c r="H123" s="48" t="s">
        <v>1648</v>
      </c>
      <c r="I123" s="48" t="s">
        <v>1649</v>
      </c>
      <c r="J123" s="48" t="s">
        <v>1649</v>
      </c>
      <c r="K123" s="48" t="s">
        <v>1649</v>
      </c>
      <c r="L123" s="48" t="s">
        <v>1649</v>
      </c>
      <c r="M123" s="48" t="s">
        <v>1648</v>
      </c>
      <c r="N123" s="48" t="s">
        <v>1648</v>
      </c>
      <c r="O123" s="48" t="s">
        <v>1649</v>
      </c>
      <c r="P123" s="48" t="s">
        <v>1648</v>
      </c>
      <c r="Q123" s="48" t="s">
        <v>1649</v>
      </c>
      <c r="R123" s="48" t="s">
        <v>1649</v>
      </c>
      <c r="S123" s="48" t="s">
        <v>1649</v>
      </c>
      <c r="T123" s="48"/>
    </row>
    <row r="124" spans="1:20" ht="13.5" thickBot="1" x14ac:dyDescent="0.25">
      <c r="A124" s="48" t="s">
        <v>586</v>
      </c>
      <c r="B124" s="224" t="s">
        <v>585</v>
      </c>
      <c r="C124" s="48" t="s">
        <v>17</v>
      </c>
      <c r="D124" s="87" t="s">
        <v>3533</v>
      </c>
      <c r="E124" s="208">
        <v>25000</v>
      </c>
      <c r="F124" s="208">
        <v>35000</v>
      </c>
      <c r="G124" s="244">
        <v>28</v>
      </c>
      <c r="H124" s="48" t="s">
        <v>1649</v>
      </c>
      <c r="I124" s="48" t="s">
        <v>1649</v>
      </c>
      <c r="J124" s="48" t="s">
        <v>1649</v>
      </c>
      <c r="K124" s="48" t="s">
        <v>1649</v>
      </c>
      <c r="L124" s="48" t="s">
        <v>1649</v>
      </c>
      <c r="M124" s="48" t="s">
        <v>1648</v>
      </c>
      <c r="N124" s="48" t="s">
        <v>1648</v>
      </c>
      <c r="O124" s="48" t="s">
        <v>1648</v>
      </c>
      <c r="P124" s="48" t="s">
        <v>1648</v>
      </c>
      <c r="Q124" s="48" t="s">
        <v>1649</v>
      </c>
      <c r="R124" s="48" t="s">
        <v>1649</v>
      </c>
      <c r="S124" s="48" t="s">
        <v>1649</v>
      </c>
      <c r="T124" s="48"/>
    </row>
    <row r="125" spans="1:20" ht="13.5" thickBot="1" x14ac:dyDescent="0.25">
      <c r="A125" s="48" t="s">
        <v>592</v>
      </c>
      <c r="B125" s="224" t="s">
        <v>591</v>
      </c>
      <c r="C125" s="48" t="s">
        <v>17</v>
      </c>
      <c r="D125" s="87" t="s">
        <v>3533</v>
      </c>
      <c r="E125" s="208">
        <v>15000</v>
      </c>
      <c r="F125" s="208">
        <v>34000</v>
      </c>
      <c r="G125" s="244">
        <v>40</v>
      </c>
      <c r="H125" s="48" t="s">
        <v>1648</v>
      </c>
      <c r="I125" s="48" t="s">
        <v>1649</v>
      </c>
      <c r="J125" s="48" t="s">
        <v>1649</v>
      </c>
      <c r="K125" s="48" t="s">
        <v>1649</v>
      </c>
      <c r="L125" s="48" t="s">
        <v>1649</v>
      </c>
      <c r="M125" s="48" t="s">
        <v>1648</v>
      </c>
      <c r="N125" s="48" t="s">
        <v>1648</v>
      </c>
      <c r="O125" s="48" t="s">
        <v>1648</v>
      </c>
      <c r="P125" s="48" t="s">
        <v>1648</v>
      </c>
      <c r="Q125" s="48" t="s">
        <v>1649</v>
      </c>
      <c r="R125" s="48" t="s">
        <v>1649</v>
      </c>
      <c r="S125" s="48" t="s">
        <v>1649</v>
      </c>
      <c r="T125" s="48"/>
    </row>
    <row r="126" spans="1:20" ht="13.5" thickBot="1" x14ac:dyDescent="0.25">
      <c r="A126" s="48" t="s">
        <v>600</v>
      </c>
      <c r="B126" s="224" t="s">
        <v>599</v>
      </c>
      <c r="C126" s="48" t="s">
        <v>17</v>
      </c>
      <c r="D126" s="87" t="s">
        <v>3533</v>
      </c>
      <c r="E126" s="208">
        <v>19187</v>
      </c>
      <c r="F126" s="208">
        <v>19187</v>
      </c>
      <c r="G126" s="244">
        <v>27</v>
      </c>
      <c r="H126" s="48" t="s">
        <v>1649</v>
      </c>
      <c r="I126" s="48" t="s">
        <v>1649</v>
      </c>
      <c r="J126" s="48" t="s">
        <v>1649</v>
      </c>
      <c r="K126" s="48" t="s">
        <v>1649</v>
      </c>
      <c r="L126" s="48" t="s">
        <v>1649</v>
      </c>
      <c r="M126" s="48" t="s">
        <v>1648</v>
      </c>
      <c r="N126" s="48" t="s">
        <v>1648</v>
      </c>
      <c r="O126" s="48" t="s">
        <v>1649</v>
      </c>
      <c r="P126" s="48" t="s">
        <v>1648</v>
      </c>
      <c r="Q126" s="48" t="s">
        <v>1649</v>
      </c>
      <c r="R126" s="48" t="s">
        <v>1649</v>
      </c>
      <c r="S126" s="48" t="s">
        <v>1649</v>
      </c>
      <c r="T126" s="48" t="s">
        <v>3592</v>
      </c>
    </row>
    <row r="127" spans="1:20" ht="13.5" thickBot="1" x14ac:dyDescent="0.25">
      <c r="A127" s="48" t="s">
        <v>606</v>
      </c>
      <c r="B127" s="224" t="s">
        <v>605</v>
      </c>
      <c r="C127" s="48" t="s">
        <v>17</v>
      </c>
      <c r="D127" s="87" t="s">
        <v>3533</v>
      </c>
      <c r="E127" s="208">
        <v>24000</v>
      </c>
      <c r="F127" s="208">
        <v>29000</v>
      </c>
      <c r="G127" s="244">
        <v>31</v>
      </c>
      <c r="H127" s="48" t="s">
        <v>1649</v>
      </c>
      <c r="I127" s="48" t="s">
        <v>1649</v>
      </c>
      <c r="J127" s="48" t="s">
        <v>1649</v>
      </c>
      <c r="K127" s="48" t="s">
        <v>1649</v>
      </c>
      <c r="L127" s="48" t="s">
        <v>1649</v>
      </c>
      <c r="M127" s="48" t="s">
        <v>1648</v>
      </c>
      <c r="N127" s="48" t="s">
        <v>1648</v>
      </c>
      <c r="O127" s="48" t="s">
        <v>1649</v>
      </c>
      <c r="P127" s="48" t="s">
        <v>1648</v>
      </c>
      <c r="Q127" s="48" t="s">
        <v>1649</v>
      </c>
      <c r="R127" s="48" t="s">
        <v>1649</v>
      </c>
      <c r="S127" s="48" t="s">
        <v>1649</v>
      </c>
      <c r="T127" s="48"/>
    </row>
    <row r="128" spans="1:20" ht="13.5" thickBot="1" x14ac:dyDescent="0.25">
      <c r="A128" s="48" t="s">
        <v>608</v>
      </c>
      <c r="B128" s="224" t="s">
        <v>607</v>
      </c>
      <c r="C128" s="48" t="s">
        <v>17</v>
      </c>
      <c r="D128" s="87" t="s">
        <v>1812</v>
      </c>
      <c r="E128" s="208">
        <v>21000</v>
      </c>
      <c r="F128" s="208">
        <v>42000</v>
      </c>
      <c r="G128" s="244">
        <v>45</v>
      </c>
      <c r="H128" s="48" t="s">
        <v>1648</v>
      </c>
      <c r="I128" s="48" t="s">
        <v>1648</v>
      </c>
      <c r="J128" s="48" t="s">
        <v>1648</v>
      </c>
      <c r="K128" s="48" t="s">
        <v>1649</v>
      </c>
      <c r="L128" s="48" t="s">
        <v>1649</v>
      </c>
      <c r="M128" s="48" t="s">
        <v>1649</v>
      </c>
      <c r="N128" s="48" t="s">
        <v>1648</v>
      </c>
      <c r="O128" s="48" t="s">
        <v>1648</v>
      </c>
      <c r="P128" s="48" t="s">
        <v>1648</v>
      </c>
      <c r="Q128" s="48" t="s">
        <v>1649</v>
      </c>
      <c r="R128" s="48" t="s">
        <v>1649</v>
      </c>
      <c r="S128" s="48" t="s">
        <v>1649</v>
      </c>
      <c r="T128" s="48"/>
    </row>
    <row r="129" spans="1:20" ht="13.5" thickBot="1" x14ac:dyDescent="0.25">
      <c r="A129" s="48" t="s">
        <v>614</v>
      </c>
      <c r="B129" s="224" t="s">
        <v>613</v>
      </c>
      <c r="C129" s="48" t="s">
        <v>17</v>
      </c>
      <c r="D129" s="87" t="s">
        <v>1812</v>
      </c>
      <c r="E129" s="208">
        <v>27300</v>
      </c>
      <c r="F129" s="208">
        <v>29120</v>
      </c>
      <c r="G129" s="244">
        <v>35</v>
      </c>
      <c r="H129" s="48" t="s">
        <v>1649</v>
      </c>
      <c r="I129" s="48" t="s">
        <v>1649</v>
      </c>
      <c r="J129" s="48" t="s">
        <v>1649</v>
      </c>
      <c r="K129" s="48" t="s">
        <v>1649</v>
      </c>
      <c r="L129" s="48" t="s">
        <v>1649</v>
      </c>
      <c r="M129" s="48" t="s">
        <v>1648</v>
      </c>
      <c r="N129" s="48" t="s">
        <v>1648</v>
      </c>
      <c r="O129" s="48" t="s">
        <v>1648</v>
      </c>
      <c r="P129" s="48" t="s">
        <v>1648</v>
      </c>
      <c r="Q129" s="48" t="s">
        <v>1649</v>
      </c>
      <c r="R129" s="48" t="s">
        <v>1649</v>
      </c>
      <c r="S129" s="48" t="s">
        <v>1649</v>
      </c>
      <c r="T129" s="48"/>
    </row>
    <row r="130" spans="1:20" ht="13.5" thickBot="1" x14ac:dyDescent="0.25">
      <c r="A130" s="48" t="s">
        <v>620</v>
      </c>
      <c r="B130" s="224" t="s">
        <v>619</v>
      </c>
      <c r="C130" s="48" t="s">
        <v>17</v>
      </c>
      <c r="D130" s="87" t="s">
        <v>1812</v>
      </c>
      <c r="E130" s="87" t="s">
        <v>1660</v>
      </c>
      <c r="F130" s="87" t="s">
        <v>1660</v>
      </c>
      <c r="G130" s="87" t="s">
        <v>1660</v>
      </c>
      <c r="H130" s="48" t="s">
        <v>1649</v>
      </c>
      <c r="I130" s="48" t="s">
        <v>1649</v>
      </c>
      <c r="J130" s="48" t="s">
        <v>1649</v>
      </c>
      <c r="K130" s="48" t="s">
        <v>1649</v>
      </c>
      <c r="L130" s="48" t="s">
        <v>1649</v>
      </c>
      <c r="M130" s="48" t="s">
        <v>1649</v>
      </c>
      <c r="N130" s="48" t="s">
        <v>1648</v>
      </c>
      <c r="O130" s="48" t="s">
        <v>1648</v>
      </c>
      <c r="P130" s="48" t="s">
        <v>1648</v>
      </c>
      <c r="Q130" s="48" t="s">
        <v>1649</v>
      </c>
      <c r="R130" s="48" t="s">
        <v>1649</v>
      </c>
      <c r="S130" s="48" t="s">
        <v>1649</v>
      </c>
      <c r="T130" s="48"/>
    </row>
    <row r="131" spans="1:20" ht="13.5" thickBot="1" x14ac:dyDescent="0.25">
      <c r="A131" s="48" t="s">
        <v>632</v>
      </c>
      <c r="B131" s="224" t="s">
        <v>631</v>
      </c>
      <c r="C131" s="48" t="s">
        <v>17</v>
      </c>
      <c r="D131" s="87" t="s">
        <v>1812</v>
      </c>
      <c r="E131" s="208">
        <v>28000</v>
      </c>
      <c r="F131" s="208">
        <v>33000</v>
      </c>
      <c r="G131" s="244">
        <v>40</v>
      </c>
      <c r="H131" s="48" t="s">
        <v>1649</v>
      </c>
      <c r="I131" s="48" t="s">
        <v>1649</v>
      </c>
      <c r="J131" s="48" t="s">
        <v>1649</v>
      </c>
      <c r="K131" s="48" t="s">
        <v>1649</v>
      </c>
      <c r="L131" s="48" t="s">
        <v>1649</v>
      </c>
      <c r="M131" s="48" t="s">
        <v>1648</v>
      </c>
      <c r="N131" s="48" t="s">
        <v>1648</v>
      </c>
      <c r="O131" s="48" t="s">
        <v>1648</v>
      </c>
      <c r="P131" s="48" t="s">
        <v>1648</v>
      </c>
      <c r="Q131" s="48" t="s">
        <v>1649</v>
      </c>
      <c r="R131" s="48" t="s">
        <v>1649</v>
      </c>
      <c r="S131" s="48" t="s">
        <v>1649</v>
      </c>
      <c r="T131" s="48"/>
    </row>
    <row r="132" spans="1:20" ht="13.5" thickBot="1" x14ac:dyDescent="0.25">
      <c r="A132" s="48" t="s">
        <v>644</v>
      </c>
      <c r="B132" s="224" t="s">
        <v>643</v>
      </c>
      <c r="C132" s="48" t="s">
        <v>17</v>
      </c>
      <c r="D132" s="87" t="s">
        <v>1812</v>
      </c>
      <c r="E132" s="208">
        <v>35500</v>
      </c>
      <c r="F132" s="208">
        <v>50000</v>
      </c>
      <c r="G132" s="244">
        <v>40</v>
      </c>
      <c r="H132" s="48" t="s">
        <v>1649</v>
      </c>
      <c r="I132" s="48" t="s">
        <v>1649</v>
      </c>
      <c r="J132" s="48" t="s">
        <v>1649</v>
      </c>
      <c r="K132" s="48" t="s">
        <v>1649</v>
      </c>
      <c r="L132" s="48" t="s">
        <v>1649</v>
      </c>
      <c r="M132" s="48" t="s">
        <v>1648</v>
      </c>
      <c r="N132" s="48" t="s">
        <v>1648</v>
      </c>
      <c r="O132" s="48" t="s">
        <v>1648</v>
      </c>
      <c r="P132" s="48" t="s">
        <v>1648</v>
      </c>
      <c r="Q132" s="48" t="s">
        <v>1649</v>
      </c>
      <c r="R132" s="48" t="s">
        <v>1649</v>
      </c>
      <c r="S132" s="48" t="s">
        <v>1649</v>
      </c>
      <c r="T132" s="48"/>
    </row>
    <row r="133" spans="1:20" ht="13.5" thickBot="1" x14ac:dyDescent="0.25">
      <c r="A133" s="48" t="s">
        <v>658</v>
      </c>
      <c r="B133" s="224" t="s">
        <v>657</v>
      </c>
      <c r="C133" s="48" t="s">
        <v>17</v>
      </c>
      <c r="D133" s="87" t="s">
        <v>3533</v>
      </c>
      <c r="E133" s="208">
        <v>38000</v>
      </c>
      <c r="F133" s="208">
        <v>42000</v>
      </c>
      <c r="G133" s="244">
        <v>40</v>
      </c>
      <c r="H133" s="48" t="s">
        <v>1648</v>
      </c>
      <c r="I133" s="48" t="s">
        <v>1648</v>
      </c>
      <c r="J133" s="48" t="s">
        <v>1648</v>
      </c>
      <c r="K133" s="48" t="s">
        <v>1648</v>
      </c>
      <c r="L133" s="48" t="s">
        <v>1648</v>
      </c>
      <c r="M133" s="48" t="s">
        <v>1648</v>
      </c>
      <c r="N133" s="48" t="s">
        <v>1648</v>
      </c>
      <c r="O133" s="48" t="s">
        <v>1648</v>
      </c>
      <c r="P133" s="48" t="s">
        <v>1648</v>
      </c>
      <c r="Q133" s="48" t="s">
        <v>1648</v>
      </c>
      <c r="R133" s="48" t="s">
        <v>1648</v>
      </c>
      <c r="S133" s="48" t="s">
        <v>1648</v>
      </c>
      <c r="T133" s="48"/>
    </row>
    <row r="134" spans="1:20" ht="13.5" thickBot="1" x14ac:dyDescent="0.25">
      <c r="A134" s="48" t="s">
        <v>668</v>
      </c>
      <c r="B134" s="224" t="s">
        <v>667</v>
      </c>
      <c r="C134" s="48" t="s">
        <v>17</v>
      </c>
      <c r="D134" s="87" t="s">
        <v>3533</v>
      </c>
      <c r="E134" s="208">
        <v>38000</v>
      </c>
      <c r="F134" s="208">
        <v>42000</v>
      </c>
      <c r="G134" s="244">
        <v>40</v>
      </c>
      <c r="H134" s="48" t="s">
        <v>1649</v>
      </c>
      <c r="I134" s="48" t="s">
        <v>1649</v>
      </c>
      <c r="J134" s="48" t="s">
        <v>1649</v>
      </c>
      <c r="K134" s="48" t="s">
        <v>1649</v>
      </c>
      <c r="L134" s="48" t="s">
        <v>1649</v>
      </c>
      <c r="M134" s="48" t="s">
        <v>1648</v>
      </c>
      <c r="N134" s="48" t="s">
        <v>1648</v>
      </c>
      <c r="O134" s="48" t="s">
        <v>1648</v>
      </c>
      <c r="P134" s="48" t="s">
        <v>1648</v>
      </c>
      <c r="Q134" s="48" t="s">
        <v>1649</v>
      </c>
      <c r="R134" s="48" t="s">
        <v>1649</v>
      </c>
      <c r="S134" s="48" t="s">
        <v>1648</v>
      </c>
      <c r="T134" s="48" t="s">
        <v>3603</v>
      </c>
    </row>
    <row r="135" spans="1:20" ht="13.5" thickBot="1" x14ac:dyDescent="0.25">
      <c r="A135" s="48" t="s">
        <v>672</v>
      </c>
      <c r="B135" s="224" t="s">
        <v>671</v>
      </c>
      <c r="C135" s="48" t="s">
        <v>17</v>
      </c>
      <c r="D135" s="87" t="s">
        <v>3529</v>
      </c>
      <c r="E135" s="208">
        <v>54730</v>
      </c>
      <c r="F135" s="208">
        <v>54730</v>
      </c>
      <c r="G135" s="244">
        <v>35</v>
      </c>
      <c r="H135" s="48" t="s">
        <v>1648</v>
      </c>
      <c r="I135" s="48" t="s">
        <v>1649</v>
      </c>
      <c r="J135" s="48" t="s">
        <v>1649</v>
      </c>
      <c r="K135" s="48" t="s">
        <v>1649</v>
      </c>
      <c r="L135" s="48" t="s">
        <v>1649</v>
      </c>
      <c r="M135" s="48" t="s">
        <v>1648</v>
      </c>
      <c r="N135" s="48" t="s">
        <v>1648</v>
      </c>
      <c r="O135" s="48" t="s">
        <v>1648</v>
      </c>
      <c r="P135" s="48" t="s">
        <v>1648</v>
      </c>
      <c r="Q135" s="48" t="s">
        <v>1648</v>
      </c>
      <c r="R135" s="48" t="s">
        <v>1648</v>
      </c>
      <c r="S135" s="48" t="s">
        <v>1649</v>
      </c>
      <c r="T135" s="48"/>
    </row>
    <row r="136" spans="1:20" ht="13.5" thickBot="1" x14ac:dyDescent="0.25">
      <c r="A136" s="48" t="s">
        <v>678</v>
      </c>
      <c r="B136" s="224" t="s">
        <v>677</v>
      </c>
      <c r="C136" s="48" t="s">
        <v>17</v>
      </c>
      <c r="D136" s="87" t="s">
        <v>3533</v>
      </c>
      <c r="E136" s="208">
        <v>25000</v>
      </c>
      <c r="F136" s="208">
        <v>35000</v>
      </c>
      <c r="G136" s="244">
        <v>34</v>
      </c>
      <c r="H136" s="48" t="s">
        <v>1649</v>
      </c>
      <c r="I136" s="48" t="s">
        <v>1649</v>
      </c>
      <c r="J136" s="48" t="s">
        <v>1649</v>
      </c>
      <c r="K136" s="48" t="s">
        <v>1649</v>
      </c>
      <c r="L136" s="48" t="s">
        <v>1648</v>
      </c>
      <c r="M136" s="48" t="s">
        <v>1648</v>
      </c>
      <c r="N136" s="48" t="s">
        <v>1648</v>
      </c>
      <c r="O136" s="48" t="s">
        <v>1648</v>
      </c>
      <c r="P136" s="48" t="s">
        <v>1648</v>
      </c>
      <c r="Q136" s="48" t="s">
        <v>1649</v>
      </c>
      <c r="R136" s="48" t="s">
        <v>1649</v>
      </c>
      <c r="S136" s="48" t="s">
        <v>1649</v>
      </c>
      <c r="T136" s="48"/>
    </row>
    <row r="137" spans="1:20" ht="13.5" thickBot="1" x14ac:dyDescent="0.25">
      <c r="A137" s="48" t="s">
        <v>686</v>
      </c>
      <c r="B137" s="224" t="s">
        <v>685</v>
      </c>
      <c r="C137" s="48" t="s">
        <v>17</v>
      </c>
      <c r="D137" s="87" t="s">
        <v>1812</v>
      </c>
      <c r="E137" s="208">
        <v>45240</v>
      </c>
      <c r="F137" s="208">
        <v>45240</v>
      </c>
      <c r="G137" s="244">
        <v>40</v>
      </c>
      <c r="H137" s="48" t="s">
        <v>1649</v>
      </c>
      <c r="I137" s="48" t="s">
        <v>1649</v>
      </c>
      <c r="J137" s="48" t="s">
        <v>1649</v>
      </c>
      <c r="K137" s="48" t="s">
        <v>1649</v>
      </c>
      <c r="L137" s="48" t="s">
        <v>1649</v>
      </c>
      <c r="M137" s="48" t="s">
        <v>1649</v>
      </c>
      <c r="N137" s="48" t="s">
        <v>1648</v>
      </c>
      <c r="O137" s="48" t="s">
        <v>1648</v>
      </c>
      <c r="P137" s="48" t="s">
        <v>1648</v>
      </c>
      <c r="Q137" s="48" t="s">
        <v>1649</v>
      </c>
      <c r="R137" s="48" t="s">
        <v>1649</v>
      </c>
      <c r="S137" s="48" t="s">
        <v>1649</v>
      </c>
      <c r="T137" s="48"/>
    </row>
    <row r="138" spans="1:20" ht="13.5" thickBot="1" x14ac:dyDescent="0.25">
      <c r="A138" s="48" t="s">
        <v>708</v>
      </c>
      <c r="B138" s="224" t="s">
        <v>707</v>
      </c>
      <c r="C138" s="48" t="s">
        <v>17</v>
      </c>
      <c r="D138" s="87" t="s">
        <v>1812</v>
      </c>
      <c r="E138" s="208">
        <v>32000</v>
      </c>
      <c r="F138" s="208">
        <v>40640</v>
      </c>
      <c r="G138" s="244">
        <v>40</v>
      </c>
      <c r="H138" s="48" t="s">
        <v>1648</v>
      </c>
      <c r="I138" s="48" t="s">
        <v>1648</v>
      </c>
      <c r="J138" s="48" t="s">
        <v>1648</v>
      </c>
      <c r="K138" s="48" t="s">
        <v>1648</v>
      </c>
      <c r="L138" s="48" t="s">
        <v>1649</v>
      </c>
      <c r="M138" s="48" t="s">
        <v>1648</v>
      </c>
      <c r="N138" s="48" t="s">
        <v>1648</v>
      </c>
      <c r="O138" s="48" t="s">
        <v>1648</v>
      </c>
      <c r="P138" s="48" t="s">
        <v>1648</v>
      </c>
      <c r="Q138" s="48" t="s">
        <v>1649</v>
      </c>
      <c r="R138" s="48" t="s">
        <v>1648</v>
      </c>
      <c r="S138" s="48" t="s">
        <v>1649</v>
      </c>
      <c r="T138" s="48"/>
    </row>
    <row r="139" spans="1:20" ht="13.5" thickBot="1" x14ac:dyDescent="0.25">
      <c r="A139" s="48" t="s">
        <v>720</v>
      </c>
      <c r="B139" s="224" t="s">
        <v>719</v>
      </c>
      <c r="C139" s="48" t="s">
        <v>17</v>
      </c>
      <c r="D139" s="87" t="s">
        <v>3530</v>
      </c>
      <c r="E139" s="208">
        <v>58000</v>
      </c>
      <c r="F139" s="208">
        <v>58000</v>
      </c>
      <c r="G139" s="244">
        <v>40</v>
      </c>
      <c r="H139" s="48" t="s">
        <v>1649</v>
      </c>
      <c r="I139" s="48" t="s">
        <v>1649</v>
      </c>
      <c r="J139" s="48" t="s">
        <v>1649</v>
      </c>
      <c r="K139" s="48" t="s">
        <v>1649</v>
      </c>
      <c r="L139" s="48" t="s">
        <v>1649</v>
      </c>
      <c r="M139" s="48" t="s">
        <v>1648</v>
      </c>
      <c r="N139" s="48" t="s">
        <v>1648</v>
      </c>
      <c r="O139" s="48" t="s">
        <v>1648</v>
      </c>
      <c r="P139" s="48" t="s">
        <v>1648</v>
      </c>
      <c r="Q139" s="48" t="s">
        <v>1648</v>
      </c>
      <c r="R139" s="48" t="s">
        <v>1649</v>
      </c>
      <c r="S139" s="48" t="s">
        <v>1649</v>
      </c>
      <c r="T139" s="48"/>
    </row>
    <row r="140" spans="1:20" ht="13.5" thickBot="1" x14ac:dyDescent="0.25">
      <c r="A140" s="48" t="s">
        <v>728</v>
      </c>
      <c r="B140" s="224" t="s">
        <v>727</v>
      </c>
      <c r="C140" s="48" t="s">
        <v>17</v>
      </c>
      <c r="D140" s="87" t="s">
        <v>3533</v>
      </c>
      <c r="E140" s="208">
        <v>29000</v>
      </c>
      <c r="F140" s="208">
        <v>31395</v>
      </c>
      <c r="G140" s="244">
        <v>35</v>
      </c>
      <c r="H140" s="48" t="s">
        <v>1648</v>
      </c>
      <c r="I140" s="48" t="s">
        <v>1649</v>
      </c>
      <c r="J140" s="48" t="s">
        <v>1649</v>
      </c>
      <c r="K140" s="48" t="s">
        <v>1649</v>
      </c>
      <c r="L140" s="48" t="s">
        <v>1649</v>
      </c>
      <c r="M140" s="48" t="s">
        <v>1648</v>
      </c>
      <c r="N140" s="48" t="s">
        <v>1648</v>
      </c>
      <c r="O140" s="48" t="s">
        <v>1648</v>
      </c>
      <c r="P140" s="48" t="s">
        <v>1648</v>
      </c>
      <c r="Q140" s="48" t="s">
        <v>1648</v>
      </c>
      <c r="R140" s="48" t="s">
        <v>1649</v>
      </c>
      <c r="S140" s="48" t="s">
        <v>1649</v>
      </c>
      <c r="T140" s="48"/>
    </row>
    <row r="141" spans="1:20" ht="13.5" thickBot="1" x14ac:dyDescent="0.25">
      <c r="A141" s="48" t="s">
        <v>736</v>
      </c>
      <c r="B141" s="224" t="s">
        <v>735</v>
      </c>
      <c r="C141" s="48" t="s">
        <v>17</v>
      </c>
      <c r="D141" s="87" t="s">
        <v>1812</v>
      </c>
      <c r="E141" s="208">
        <v>41600</v>
      </c>
      <c r="F141" s="208">
        <v>42800</v>
      </c>
      <c r="G141" s="244">
        <v>40</v>
      </c>
      <c r="H141" s="48" t="s">
        <v>1648</v>
      </c>
      <c r="I141" s="48" t="s">
        <v>1648</v>
      </c>
      <c r="J141" s="48" t="s">
        <v>1648</v>
      </c>
      <c r="K141" s="48" t="s">
        <v>1649</v>
      </c>
      <c r="L141" s="48" t="s">
        <v>1649</v>
      </c>
      <c r="M141" s="48" t="s">
        <v>1648</v>
      </c>
      <c r="N141" s="48" t="s">
        <v>1648</v>
      </c>
      <c r="O141" s="48" t="s">
        <v>1648</v>
      </c>
      <c r="P141" s="48" t="s">
        <v>1648</v>
      </c>
      <c r="Q141" s="48" t="s">
        <v>1648</v>
      </c>
      <c r="R141" s="48" t="s">
        <v>1649</v>
      </c>
      <c r="S141" s="48" t="s">
        <v>1649</v>
      </c>
      <c r="T141" s="48"/>
    </row>
    <row r="142" spans="1:20" ht="13.5" thickBot="1" x14ac:dyDescent="0.25">
      <c r="A142" s="48" t="s">
        <v>744</v>
      </c>
      <c r="B142" s="224" t="s">
        <v>743</v>
      </c>
      <c r="C142" s="48" t="s">
        <v>17</v>
      </c>
      <c r="D142" s="87" t="s">
        <v>3533</v>
      </c>
      <c r="E142" s="87" t="s">
        <v>1660</v>
      </c>
      <c r="F142" s="208">
        <v>26624</v>
      </c>
      <c r="G142" s="244">
        <v>32</v>
      </c>
      <c r="H142" s="48" t="s">
        <v>1649</v>
      </c>
      <c r="I142" s="48" t="s">
        <v>1649</v>
      </c>
      <c r="J142" s="48" t="s">
        <v>1649</v>
      </c>
      <c r="K142" s="48" t="s">
        <v>1649</v>
      </c>
      <c r="L142" s="48" t="s">
        <v>1649</v>
      </c>
      <c r="M142" s="48" t="s">
        <v>1649</v>
      </c>
      <c r="N142" s="48" t="s">
        <v>1648</v>
      </c>
      <c r="O142" s="48" t="s">
        <v>1649</v>
      </c>
      <c r="P142" s="48" t="s">
        <v>1649</v>
      </c>
      <c r="Q142" s="48" t="s">
        <v>1649</v>
      </c>
      <c r="R142" s="48" t="s">
        <v>1649</v>
      </c>
      <c r="S142" s="48" t="s">
        <v>1649</v>
      </c>
      <c r="T142" s="48"/>
    </row>
    <row r="143" spans="1:20" ht="13.5" thickBot="1" x14ac:dyDescent="0.25">
      <c r="A143" s="48" t="s">
        <v>758</v>
      </c>
      <c r="B143" s="224" t="s">
        <v>757</v>
      </c>
      <c r="C143" s="48" t="s">
        <v>17</v>
      </c>
      <c r="D143" s="87" t="s">
        <v>1812</v>
      </c>
      <c r="E143" s="208">
        <v>33470</v>
      </c>
      <c r="F143" s="208">
        <v>45700</v>
      </c>
      <c r="G143" s="244">
        <v>40</v>
      </c>
      <c r="H143" s="48" t="s">
        <v>1648</v>
      </c>
      <c r="I143" s="48" t="s">
        <v>1648</v>
      </c>
      <c r="J143" s="48" t="s">
        <v>1648</v>
      </c>
      <c r="K143" s="48" t="s">
        <v>1648</v>
      </c>
      <c r="L143" s="48" t="s">
        <v>1648</v>
      </c>
      <c r="M143" s="48" t="s">
        <v>1648</v>
      </c>
      <c r="N143" s="48" t="s">
        <v>1648</v>
      </c>
      <c r="O143" s="48" t="s">
        <v>1648</v>
      </c>
      <c r="P143" s="48" t="s">
        <v>1648</v>
      </c>
      <c r="Q143" s="48" t="s">
        <v>1649</v>
      </c>
      <c r="R143" s="48" t="s">
        <v>1648</v>
      </c>
      <c r="S143" s="48" t="s">
        <v>1648</v>
      </c>
      <c r="T143" s="48"/>
    </row>
    <row r="144" spans="1:20" ht="13.5" thickBot="1" x14ac:dyDescent="0.25">
      <c r="A144" s="48" t="s">
        <v>764</v>
      </c>
      <c r="B144" s="224" t="s">
        <v>763</v>
      </c>
      <c r="C144" s="48" t="s">
        <v>17</v>
      </c>
      <c r="D144" s="87" t="s">
        <v>3533</v>
      </c>
      <c r="E144" s="208">
        <v>20000</v>
      </c>
      <c r="F144" s="208">
        <v>36000</v>
      </c>
      <c r="G144" s="244">
        <v>32</v>
      </c>
      <c r="H144" s="48" t="s">
        <v>1649</v>
      </c>
      <c r="I144" s="48" t="s">
        <v>1649</v>
      </c>
      <c r="J144" s="48" t="s">
        <v>1649</v>
      </c>
      <c r="K144" s="48" t="s">
        <v>1649</v>
      </c>
      <c r="L144" s="48" t="s">
        <v>1649</v>
      </c>
      <c r="M144" s="48" t="s">
        <v>1648</v>
      </c>
      <c r="N144" s="48" t="s">
        <v>1648</v>
      </c>
      <c r="O144" s="48" t="s">
        <v>1648</v>
      </c>
      <c r="P144" s="48" t="s">
        <v>1648</v>
      </c>
      <c r="Q144" s="48" t="s">
        <v>1649</v>
      </c>
      <c r="R144" s="48" t="s">
        <v>1649</v>
      </c>
      <c r="S144" s="48" t="s">
        <v>1649</v>
      </c>
      <c r="T144" s="48"/>
    </row>
    <row r="145" spans="1:20" ht="13.5" thickBot="1" x14ac:dyDescent="0.25">
      <c r="A145" s="48" t="s">
        <v>774</v>
      </c>
      <c r="B145" s="224" t="s">
        <v>773</v>
      </c>
      <c r="C145" s="48" t="s">
        <v>17</v>
      </c>
      <c r="D145" s="87" t="s">
        <v>3530</v>
      </c>
      <c r="E145" s="208">
        <v>56000</v>
      </c>
      <c r="F145" s="208">
        <v>65000</v>
      </c>
      <c r="G145" s="244">
        <v>40</v>
      </c>
      <c r="H145" s="48" t="s">
        <v>1648</v>
      </c>
      <c r="I145" s="48" t="s">
        <v>1648</v>
      </c>
      <c r="J145" s="48" t="s">
        <v>1648</v>
      </c>
      <c r="K145" s="48" t="s">
        <v>1648</v>
      </c>
      <c r="L145" s="48" t="s">
        <v>1648</v>
      </c>
      <c r="M145" s="48" t="s">
        <v>1648</v>
      </c>
      <c r="N145" s="48" t="s">
        <v>1648</v>
      </c>
      <c r="O145" s="48" t="s">
        <v>1649</v>
      </c>
      <c r="P145" s="48" t="s">
        <v>1648</v>
      </c>
      <c r="Q145" s="48" t="s">
        <v>1649</v>
      </c>
      <c r="R145" s="48" t="s">
        <v>1648</v>
      </c>
      <c r="S145" s="48" t="s">
        <v>1649</v>
      </c>
      <c r="T145" s="48"/>
    </row>
    <row r="146" spans="1:20" ht="13.5" thickBot="1" x14ac:dyDescent="0.25">
      <c r="A146" s="48" t="s">
        <v>784</v>
      </c>
      <c r="B146" s="224" t="s">
        <v>783</v>
      </c>
      <c r="C146" s="48" t="s">
        <v>17</v>
      </c>
      <c r="D146" s="87" t="s">
        <v>3530</v>
      </c>
      <c r="E146" s="208">
        <v>29000</v>
      </c>
      <c r="F146" s="208">
        <v>36000</v>
      </c>
      <c r="G146" s="244">
        <v>40</v>
      </c>
      <c r="H146" s="48" t="s">
        <v>1649</v>
      </c>
      <c r="I146" s="48" t="s">
        <v>1649</v>
      </c>
      <c r="J146" s="48" t="s">
        <v>1649</v>
      </c>
      <c r="K146" s="48" t="s">
        <v>1649</v>
      </c>
      <c r="L146" s="48" t="s">
        <v>1649</v>
      </c>
      <c r="M146" s="48" t="s">
        <v>1648</v>
      </c>
      <c r="N146" s="48" t="s">
        <v>1648</v>
      </c>
      <c r="O146" s="48" t="s">
        <v>1648</v>
      </c>
      <c r="P146" s="48" t="s">
        <v>1648</v>
      </c>
      <c r="Q146" s="48" t="s">
        <v>1649</v>
      </c>
      <c r="R146" s="48" t="s">
        <v>1649</v>
      </c>
      <c r="S146" s="48" t="s">
        <v>1649</v>
      </c>
      <c r="T146" s="48"/>
    </row>
    <row r="147" spans="1:20" ht="13.5" thickBot="1" x14ac:dyDescent="0.25">
      <c r="A147" s="48" t="s">
        <v>802</v>
      </c>
      <c r="B147" s="224" t="s">
        <v>801</v>
      </c>
      <c r="C147" s="48" t="s">
        <v>17</v>
      </c>
      <c r="D147" s="87" t="s">
        <v>3533</v>
      </c>
      <c r="E147" s="208">
        <v>30000</v>
      </c>
      <c r="F147" s="208">
        <v>55000</v>
      </c>
      <c r="G147" s="244">
        <v>32</v>
      </c>
      <c r="H147" s="48" t="s">
        <v>1649</v>
      </c>
      <c r="I147" s="48" t="s">
        <v>1649</v>
      </c>
      <c r="J147" s="48" t="s">
        <v>1649</v>
      </c>
      <c r="K147" s="48" t="s">
        <v>1649</v>
      </c>
      <c r="L147" s="48" t="s">
        <v>1649</v>
      </c>
      <c r="M147" s="48" t="s">
        <v>1648</v>
      </c>
      <c r="N147" s="48" t="s">
        <v>1648</v>
      </c>
      <c r="O147" s="48" t="s">
        <v>1648</v>
      </c>
      <c r="P147" s="48" t="s">
        <v>1648</v>
      </c>
      <c r="Q147" s="48" t="s">
        <v>1648</v>
      </c>
      <c r="R147" s="48" t="s">
        <v>1649</v>
      </c>
      <c r="S147" s="48" t="s">
        <v>1649</v>
      </c>
      <c r="T147" s="48"/>
    </row>
    <row r="148" spans="1:20" ht="13.5" thickBot="1" x14ac:dyDescent="0.25">
      <c r="A148" s="48" t="s">
        <v>24</v>
      </c>
      <c r="B148" s="224" t="s">
        <v>23</v>
      </c>
      <c r="C148" s="48" t="s">
        <v>25</v>
      </c>
      <c r="D148" s="87" t="s">
        <v>3530</v>
      </c>
      <c r="E148" s="208">
        <v>37296</v>
      </c>
      <c r="F148" s="208">
        <v>50429</v>
      </c>
      <c r="G148" s="244">
        <v>40</v>
      </c>
      <c r="H148" s="48" t="s">
        <v>1648</v>
      </c>
      <c r="I148" s="48" t="s">
        <v>1648</v>
      </c>
      <c r="J148" s="48" t="s">
        <v>1649</v>
      </c>
      <c r="K148" s="48" t="s">
        <v>1649</v>
      </c>
      <c r="L148" s="48" t="s">
        <v>1648</v>
      </c>
      <c r="M148" s="48" t="s">
        <v>1649</v>
      </c>
      <c r="N148" s="48" t="s">
        <v>1649</v>
      </c>
      <c r="O148" s="48" t="s">
        <v>1648</v>
      </c>
      <c r="P148" s="48" t="s">
        <v>1648</v>
      </c>
      <c r="Q148" s="48" t="s">
        <v>1649</v>
      </c>
      <c r="R148" s="48" t="s">
        <v>1649</v>
      </c>
      <c r="S148" s="48" t="s">
        <v>1649</v>
      </c>
      <c r="T148" s="48"/>
    </row>
    <row r="149" spans="1:20" ht="13.5" thickBot="1" x14ac:dyDescent="0.25">
      <c r="A149" s="48" t="s">
        <v>27</v>
      </c>
      <c r="B149" s="224" t="s">
        <v>26</v>
      </c>
      <c r="C149" s="48" t="s">
        <v>25</v>
      </c>
      <c r="D149" s="87" t="s">
        <v>3529</v>
      </c>
      <c r="E149" s="208">
        <v>38592</v>
      </c>
      <c r="F149" s="208">
        <v>39310</v>
      </c>
      <c r="G149" s="244">
        <v>40</v>
      </c>
      <c r="H149" s="48" t="s">
        <v>1649</v>
      </c>
      <c r="I149" s="48" t="s">
        <v>1649</v>
      </c>
      <c r="J149" s="48" t="s">
        <v>1649</v>
      </c>
      <c r="K149" s="48" t="s">
        <v>1649</v>
      </c>
      <c r="L149" s="48" t="s">
        <v>1649</v>
      </c>
      <c r="M149" s="48" t="s">
        <v>1648</v>
      </c>
      <c r="N149" s="48" t="s">
        <v>1648</v>
      </c>
      <c r="O149" s="48" t="s">
        <v>1649</v>
      </c>
      <c r="P149" s="48" t="s">
        <v>1648</v>
      </c>
      <c r="Q149" s="48" t="s">
        <v>1649</v>
      </c>
      <c r="R149" s="48" t="s">
        <v>1648</v>
      </c>
      <c r="S149" s="48" t="s">
        <v>1649</v>
      </c>
      <c r="T149" s="48" t="s">
        <v>3531</v>
      </c>
    </row>
    <row r="150" spans="1:20" ht="13.5" thickBot="1" x14ac:dyDescent="0.25">
      <c r="A150" s="48" t="s">
        <v>29</v>
      </c>
      <c r="B150" s="224" t="s">
        <v>28</v>
      </c>
      <c r="C150" s="48" t="s">
        <v>25</v>
      </c>
      <c r="D150" s="87" t="s">
        <v>3529</v>
      </c>
      <c r="E150" s="208">
        <v>55000</v>
      </c>
      <c r="F150" s="208">
        <v>65000</v>
      </c>
      <c r="G150" s="244">
        <v>35</v>
      </c>
      <c r="H150" s="48" t="s">
        <v>1648</v>
      </c>
      <c r="I150" s="48" t="s">
        <v>1648</v>
      </c>
      <c r="J150" s="48" t="s">
        <v>1648</v>
      </c>
      <c r="K150" s="48" t="s">
        <v>1648</v>
      </c>
      <c r="L150" s="48" t="s">
        <v>1648</v>
      </c>
      <c r="M150" s="48" t="s">
        <v>1648</v>
      </c>
      <c r="N150" s="48" t="s">
        <v>1648</v>
      </c>
      <c r="O150" s="48" t="s">
        <v>1648</v>
      </c>
      <c r="P150" s="48" t="s">
        <v>1648</v>
      </c>
      <c r="Q150" s="48" t="s">
        <v>1648</v>
      </c>
      <c r="R150" s="48" t="s">
        <v>1648</v>
      </c>
      <c r="S150" s="48" t="s">
        <v>1648</v>
      </c>
      <c r="T150" s="48" t="s">
        <v>3532</v>
      </c>
    </row>
    <row r="151" spans="1:20" ht="13.5" thickBot="1" x14ac:dyDescent="0.25">
      <c r="A151" s="48" t="s">
        <v>31</v>
      </c>
      <c r="B151" s="224" t="s">
        <v>30</v>
      </c>
      <c r="C151" s="48" t="s">
        <v>25</v>
      </c>
      <c r="D151" s="87" t="s">
        <v>3529</v>
      </c>
      <c r="E151" s="208">
        <v>50000</v>
      </c>
      <c r="F151" s="208">
        <v>60000</v>
      </c>
      <c r="G151" s="244">
        <v>40</v>
      </c>
      <c r="H151" s="48" t="s">
        <v>1648</v>
      </c>
      <c r="I151" s="48" t="s">
        <v>1648</v>
      </c>
      <c r="J151" s="48" t="s">
        <v>1648</v>
      </c>
      <c r="K151" s="48" t="s">
        <v>1648</v>
      </c>
      <c r="L151" s="48" t="s">
        <v>1648</v>
      </c>
      <c r="M151" s="48" t="s">
        <v>1649</v>
      </c>
      <c r="N151" s="48" t="s">
        <v>1649</v>
      </c>
      <c r="O151" s="48" t="s">
        <v>1648</v>
      </c>
      <c r="P151" s="48" t="s">
        <v>1648</v>
      </c>
      <c r="Q151" s="48" t="s">
        <v>1648</v>
      </c>
      <c r="R151" s="48" t="s">
        <v>1648</v>
      </c>
      <c r="S151" s="48" t="s">
        <v>1649</v>
      </c>
      <c r="T151" s="48"/>
    </row>
    <row r="152" spans="1:20" ht="13.5" thickBot="1" x14ac:dyDescent="0.25">
      <c r="A152" s="48" t="s">
        <v>43</v>
      </c>
      <c r="B152" s="224" t="s">
        <v>42</v>
      </c>
      <c r="C152" s="48" t="s">
        <v>25</v>
      </c>
      <c r="D152" s="87" t="s">
        <v>3529</v>
      </c>
      <c r="E152" s="208">
        <v>54453</v>
      </c>
      <c r="F152" s="208">
        <v>70806</v>
      </c>
      <c r="G152" s="244">
        <v>40</v>
      </c>
      <c r="H152" s="48" t="s">
        <v>1648</v>
      </c>
      <c r="I152" s="48" t="s">
        <v>1648</v>
      </c>
      <c r="J152" s="48" t="s">
        <v>1649</v>
      </c>
      <c r="K152" s="48" t="s">
        <v>1648</v>
      </c>
      <c r="L152" s="48" t="s">
        <v>1648</v>
      </c>
      <c r="M152" s="48" t="s">
        <v>1648</v>
      </c>
      <c r="N152" s="48" t="s">
        <v>1648</v>
      </c>
      <c r="O152" s="48" t="s">
        <v>1648</v>
      </c>
      <c r="P152" s="48" t="s">
        <v>1648</v>
      </c>
      <c r="Q152" s="48" t="s">
        <v>1649</v>
      </c>
      <c r="R152" s="48" t="s">
        <v>1649</v>
      </c>
      <c r="S152" s="48" t="s">
        <v>1649</v>
      </c>
      <c r="T152" s="48"/>
    </row>
    <row r="153" spans="1:20" ht="13.5" thickBot="1" x14ac:dyDescent="0.25">
      <c r="A153" s="48" t="s">
        <v>51</v>
      </c>
      <c r="B153" s="224" t="s">
        <v>50</v>
      </c>
      <c r="C153" s="48" t="s">
        <v>25</v>
      </c>
      <c r="D153" s="87" t="s">
        <v>1812</v>
      </c>
      <c r="E153" s="208">
        <v>31000</v>
      </c>
      <c r="F153" s="208">
        <v>50186</v>
      </c>
      <c r="G153" s="244">
        <v>40</v>
      </c>
      <c r="H153" s="48" t="s">
        <v>1648</v>
      </c>
      <c r="I153" s="48" t="s">
        <v>1648</v>
      </c>
      <c r="J153" s="48" t="s">
        <v>1648</v>
      </c>
      <c r="K153" s="48" t="s">
        <v>1648</v>
      </c>
      <c r="L153" s="48" t="s">
        <v>1648</v>
      </c>
      <c r="M153" s="48" t="s">
        <v>1648</v>
      </c>
      <c r="N153" s="48" t="s">
        <v>1648</v>
      </c>
      <c r="O153" s="48" t="s">
        <v>1648</v>
      </c>
      <c r="P153" s="48" t="s">
        <v>1648</v>
      </c>
      <c r="Q153" s="48" t="s">
        <v>1649</v>
      </c>
      <c r="R153" s="48" t="s">
        <v>1648</v>
      </c>
      <c r="S153" s="48" t="s">
        <v>1648</v>
      </c>
      <c r="T153" s="48"/>
    </row>
    <row r="154" spans="1:20" ht="13.5" thickBot="1" x14ac:dyDescent="0.25">
      <c r="A154" s="48" t="s">
        <v>66</v>
      </c>
      <c r="B154" s="224" t="s">
        <v>65</v>
      </c>
      <c r="C154" s="48" t="s">
        <v>25</v>
      </c>
      <c r="D154" s="87" t="s">
        <v>1812</v>
      </c>
      <c r="E154" s="208">
        <v>61000</v>
      </c>
      <c r="F154" s="208">
        <v>69000</v>
      </c>
      <c r="G154" s="244">
        <v>44</v>
      </c>
      <c r="H154" s="48" t="s">
        <v>1648</v>
      </c>
      <c r="I154" s="48" t="s">
        <v>1649</v>
      </c>
      <c r="J154" s="48" t="s">
        <v>1649</v>
      </c>
      <c r="K154" s="48" t="s">
        <v>1649</v>
      </c>
      <c r="L154" s="48" t="s">
        <v>1649</v>
      </c>
      <c r="M154" s="48" t="s">
        <v>1648</v>
      </c>
      <c r="N154" s="48" t="s">
        <v>1648</v>
      </c>
      <c r="O154" s="48" t="s">
        <v>1648</v>
      </c>
      <c r="P154" s="48" t="s">
        <v>1648</v>
      </c>
      <c r="Q154" s="48" t="s">
        <v>1649</v>
      </c>
      <c r="R154" s="48" t="s">
        <v>1649</v>
      </c>
      <c r="S154" s="48" t="s">
        <v>1649</v>
      </c>
      <c r="T154" s="48" t="s">
        <v>3534</v>
      </c>
    </row>
    <row r="155" spans="1:20" ht="13.5" thickBot="1" x14ac:dyDescent="0.25">
      <c r="A155" s="48" t="s">
        <v>76</v>
      </c>
      <c r="B155" s="224" t="s">
        <v>75</v>
      </c>
      <c r="C155" s="48" t="s">
        <v>25</v>
      </c>
      <c r="D155" s="87" t="s">
        <v>3529</v>
      </c>
      <c r="E155" s="208">
        <v>45000</v>
      </c>
      <c r="F155" s="208">
        <v>47500</v>
      </c>
      <c r="G155" s="244">
        <v>40</v>
      </c>
      <c r="H155" s="48" t="s">
        <v>1648</v>
      </c>
      <c r="I155" s="48" t="s">
        <v>1648</v>
      </c>
      <c r="J155" s="48" t="s">
        <v>1648</v>
      </c>
      <c r="K155" s="48" t="s">
        <v>1649</v>
      </c>
      <c r="L155" s="48" t="s">
        <v>1649</v>
      </c>
      <c r="M155" s="48" t="s">
        <v>1648</v>
      </c>
      <c r="N155" s="48" t="s">
        <v>1648</v>
      </c>
      <c r="O155" s="48" t="s">
        <v>1649</v>
      </c>
      <c r="P155" s="48" t="s">
        <v>1648</v>
      </c>
      <c r="Q155" s="48" t="s">
        <v>1649</v>
      </c>
      <c r="R155" s="48" t="s">
        <v>1649</v>
      </c>
      <c r="S155" s="48" t="s">
        <v>1649</v>
      </c>
      <c r="T155" s="48" t="s">
        <v>3535</v>
      </c>
    </row>
    <row r="156" spans="1:20" ht="13.5" thickBot="1" x14ac:dyDescent="0.25">
      <c r="A156" s="48" t="s">
        <v>96</v>
      </c>
      <c r="B156" s="224" t="s">
        <v>95</v>
      </c>
      <c r="C156" s="48" t="s">
        <v>25</v>
      </c>
      <c r="D156" s="87" t="s">
        <v>1812</v>
      </c>
      <c r="E156" s="208">
        <v>33000</v>
      </c>
      <c r="F156" s="208">
        <v>50000</v>
      </c>
      <c r="G156" s="244">
        <v>40</v>
      </c>
      <c r="H156" s="48" t="s">
        <v>1648</v>
      </c>
      <c r="I156" s="48" t="s">
        <v>1649</v>
      </c>
      <c r="J156" s="48" t="s">
        <v>1649</v>
      </c>
      <c r="K156" s="48" t="s">
        <v>1649</v>
      </c>
      <c r="L156" s="48" t="s">
        <v>1649</v>
      </c>
      <c r="M156" s="48" t="s">
        <v>1648</v>
      </c>
      <c r="N156" s="48" t="s">
        <v>1648</v>
      </c>
      <c r="O156" s="48" t="s">
        <v>1648</v>
      </c>
      <c r="P156" s="48" t="s">
        <v>1648</v>
      </c>
      <c r="Q156" s="48" t="s">
        <v>1649</v>
      </c>
      <c r="R156" s="48" t="s">
        <v>1649</v>
      </c>
      <c r="S156" s="48" t="s">
        <v>1648</v>
      </c>
      <c r="T156" s="48" t="s">
        <v>3537</v>
      </c>
    </row>
    <row r="157" spans="1:20" ht="13.5" thickBot="1" x14ac:dyDescent="0.25">
      <c r="A157" s="48" t="s">
        <v>106</v>
      </c>
      <c r="B157" s="224" t="s">
        <v>105</v>
      </c>
      <c r="C157" s="48" t="s">
        <v>25</v>
      </c>
      <c r="D157" s="87" t="s">
        <v>3529</v>
      </c>
      <c r="E157" s="208">
        <v>56221</v>
      </c>
      <c r="F157" s="208">
        <v>72479</v>
      </c>
      <c r="G157" s="244">
        <v>36</v>
      </c>
      <c r="H157" s="48" t="s">
        <v>1648</v>
      </c>
      <c r="I157" s="48" t="s">
        <v>1648</v>
      </c>
      <c r="J157" s="48" t="s">
        <v>1648</v>
      </c>
      <c r="K157" s="48" t="s">
        <v>1648</v>
      </c>
      <c r="L157" s="48" t="s">
        <v>1649</v>
      </c>
      <c r="M157" s="48" t="s">
        <v>1648</v>
      </c>
      <c r="N157" s="48" t="s">
        <v>1648</v>
      </c>
      <c r="O157" s="48" t="s">
        <v>1648</v>
      </c>
      <c r="P157" s="48" t="s">
        <v>1648</v>
      </c>
      <c r="Q157" s="48" t="s">
        <v>1648</v>
      </c>
      <c r="R157" s="48" t="s">
        <v>1648</v>
      </c>
      <c r="S157" s="48" t="s">
        <v>1649</v>
      </c>
      <c r="T157" s="48" t="s">
        <v>3539</v>
      </c>
    </row>
    <row r="158" spans="1:20" ht="13.5" thickBot="1" x14ac:dyDescent="0.25">
      <c r="A158" s="48" t="s">
        <v>110</v>
      </c>
      <c r="B158" s="224" t="s">
        <v>109</v>
      </c>
      <c r="C158" s="48" t="s">
        <v>25</v>
      </c>
      <c r="D158" s="87" t="s">
        <v>3530</v>
      </c>
      <c r="E158" s="208">
        <v>51000</v>
      </c>
      <c r="F158" s="208">
        <v>64000</v>
      </c>
      <c r="G158" s="244">
        <v>40</v>
      </c>
      <c r="H158" s="48" t="s">
        <v>1648</v>
      </c>
      <c r="I158" s="48" t="s">
        <v>1648</v>
      </c>
      <c r="J158" s="48" t="s">
        <v>1648</v>
      </c>
      <c r="K158" s="48" t="s">
        <v>1648</v>
      </c>
      <c r="L158" s="48" t="s">
        <v>1649</v>
      </c>
      <c r="M158" s="48" t="s">
        <v>1648</v>
      </c>
      <c r="N158" s="48" t="s">
        <v>1648</v>
      </c>
      <c r="O158" s="48" t="s">
        <v>1648</v>
      </c>
      <c r="P158" s="48" t="s">
        <v>1648</v>
      </c>
      <c r="Q158" s="48" t="s">
        <v>1649</v>
      </c>
      <c r="R158" s="48" t="s">
        <v>1649</v>
      </c>
      <c r="S158" s="48" t="s">
        <v>1649</v>
      </c>
      <c r="T158" s="48" t="s">
        <v>3541</v>
      </c>
    </row>
    <row r="159" spans="1:20" ht="13.5" thickBot="1" x14ac:dyDescent="0.25">
      <c r="A159" s="48" t="s">
        <v>128</v>
      </c>
      <c r="B159" s="224" t="s">
        <v>127</v>
      </c>
      <c r="C159" s="48" t="s">
        <v>25</v>
      </c>
      <c r="D159" s="87" t="s">
        <v>3530</v>
      </c>
      <c r="E159" s="208">
        <v>35000</v>
      </c>
      <c r="F159" s="208">
        <v>55000</v>
      </c>
      <c r="G159" s="244">
        <v>40</v>
      </c>
      <c r="H159" s="48" t="s">
        <v>1648</v>
      </c>
      <c r="I159" s="48" t="s">
        <v>1648</v>
      </c>
      <c r="J159" s="48" t="s">
        <v>1648</v>
      </c>
      <c r="K159" s="48" t="s">
        <v>1648</v>
      </c>
      <c r="L159" s="48" t="s">
        <v>1648</v>
      </c>
      <c r="M159" s="48" t="s">
        <v>1648</v>
      </c>
      <c r="N159" s="48" t="s">
        <v>1648</v>
      </c>
      <c r="O159" s="48" t="s">
        <v>1648</v>
      </c>
      <c r="P159" s="48" t="s">
        <v>1648</v>
      </c>
      <c r="Q159" s="48" t="s">
        <v>1648</v>
      </c>
      <c r="R159" s="48" t="s">
        <v>1648</v>
      </c>
      <c r="S159" s="48" t="s">
        <v>1649</v>
      </c>
      <c r="T159" s="48"/>
    </row>
    <row r="160" spans="1:20" ht="13.5" thickBot="1" x14ac:dyDescent="0.25">
      <c r="A160" s="48" t="s">
        <v>130</v>
      </c>
      <c r="B160" s="224" t="s">
        <v>129</v>
      </c>
      <c r="C160" s="48" t="s">
        <v>25</v>
      </c>
      <c r="D160" s="87" t="s">
        <v>3529</v>
      </c>
      <c r="E160" s="87" t="s">
        <v>1660</v>
      </c>
      <c r="F160" s="87" t="s">
        <v>1660</v>
      </c>
      <c r="G160" s="87" t="s">
        <v>1660</v>
      </c>
      <c r="H160" s="48" t="s">
        <v>1648</v>
      </c>
      <c r="I160" s="48" t="s">
        <v>1648</v>
      </c>
      <c r="J160" s="48" t="s">
        <v>1648</v>
      </c>
      <c r="K160" s="48" t="s">
        <v>1649</v>
      </c>
      <c r="L160" s="48" t="s">
        <v>1649</v>
      </c>
      <c r="M160" s="48" t="s">
        <v>1649</v>
      </c>
      <c r="N160" s="48" t="s">
        <v>1648</v>
      </c>
      <c r="O160" s="48" t="s">
        <v>1649</v>
      </c>
      <c r="P160" s="48" t="s">
        <v>1648</v>
      </c>
      <c r="Q160" s="48" t="s">
        <v>1648</v>
      </c>
      <c r="R160" s="48" t="s">
        <v>1649</v>
      </c>
      <c r="S160" s="48" t="s">
        <v>1649</v>
      </c>
      <c r="T160" s="48"/>
    </row>
    <row r="161" spans="1:20" ht="13.5" thickBot="1" x14ac:dyDescent="0.25">
      <c r="A161" s="48" t="s">
        <v>136</v>
      </c>
      <c r="B161" s="224" t="s">
        <v>135</v>
      </c>
      <c r="C161" s="48" t="s">
        <v>25</v>
      </c>
      <c r="D161" s="87" t="s">
        <v>1812</v>
      </c>
      <c r="E161" s="208">
        <v>46425</v>
      </c>
      <c r="F161" s="208">
        <v>51068</v>
      </c>
      <c r="G161" s="244">
        <v>38</v>
      </c>
      <c r="H161" s="48" t="s">
        <v>1648</v>
      </c>
      <c r="I161" s="48" t="s">
        <v>1648</v>
      </c>
      <c r="J161" s="48" t="s">
        <v>1648</v>
      </c>
      <c r="K161" s="48" t="s">
        <v>1648</v>
      </c>
      <c r="L161" s="48" t="s">
        <v>1648</v>
      </c>
      <c r="M161" s="48" t="s">
        <v>1648</v>
      </c>
      <c r="N161" s="48" t="s">
        <v>1648</v>
      </c>
      <c r="O161" s="48" t="s">
        <v>1648</v>
      </c>
      <c r="P161" s="48" t="s">
        <v>1648</v>
      </c>
      <c r="Q161" s="48" t="s">
        <v>1649</v>
      </c>
      <c r="R161" s="48" t="s">
        <v>1649</v>
      </c>
      <c r="S161" s="48" t="s">
        <v>1648</v>
      </c>
      <c r="T161" s="48"/>
    </row>
    <row r="162" spans="1:20" ht="13.5" thickBot="1" x14ac:dyDescent="0.25">
      <c r="A162" s="48" t="s">
        <v>144</v>
      </c>
      <c r="B162" s="224" t="s">
        <v>143</v>
      </c>
      <c r="C162" s="48" t="s">
        <v>25</v>
      </c>
      <c r="D162" s="87" t="s">
        <v>3529</v>
      </c>
      <c r="E162" s="208">
        <v>56393</v>
      </c>
      <c r="F162" s="208">
        <v>59973</v>
      </c>
      <c r="G162" s="244">
        <v>40</v>
      </c>
      <c r="H162" s="48" t="s">
        <v>1648</v>
      </c>
      <c r="I162" s="48" t="s">
        <v>1649</v>
      </c>
      <c r="J162" s="48" t="s">
        <v>1649</v>
      </c>
      <c r="K162" s="48" t="s">
        <v>1649</v>
      </c>
      <c r="L162" s="48" t="s">
        <v>1649</v>
      </c>
      <c r="M162" s="48" t="s">
        <v>1648</v>
      </c>
      <c r="N162" s="48" t="s">
        <v>1648</v>
      </c>
      <c r="O162" s="48" t="s">
        <v>1648</v>
      </c>
      <c r="P162" s="48" t="s">
        <v>1648</v>
      </c>
      <c r="Q162" s="48" t="s">
        <v>1648</v>
      </c>
      <c r="R162" s="48" t="s">
        <v>1649</v>
      </c>
      <c r="S162" s="48" t="s">
        <v>1649</v>
      </c>
      <c r="T162" s="48"/>
    </row>
    <row r="163" spans="1:20" ht="13.5" thickBot="1" x14ac:dyDescent="0.25">
      <c r="A163" s="48" t="s">
        <v>148</v>
      </c>
      <c r="B163" s="224" t="s">
        <v>147</v>
      </c>
      <c r="C163" s="48" t="s">
        <v>25</v>
      </c>
      <c r="D163" s="87" t="s">
        <v>1812</v>
      </c>
      <c r="E163" s="208">
        <v>51919</v>
      </c>
      <c r="F163" s="208">
        <v>51919</v>
      </c>
      <c r="G163" s="244">
        <v>40</v>
      </c>
      <c r="H163" s="48" t="s">
        <v>1649</v>
      </c>
      <c r="I163" s="48" t="s">
        <v>1649</v>
      </c>
      <c r="J163" s="48" t="s">
        <v>1649</v>
      </c>
      <c r="K163" s="48" t="s">
        <v>1649</v>
      </c>
      <c r="L163" s="48" t="s">
        <v>1649</v>
      </c>
      <c r="M163" s="48" t="s">
        <v>1648</v>
      </c>
      <c r="N163" s="48" t="s">
        <v>1648</v>
      </c>
      <c r="O163" s="48" t="s">
        <v>1648</v>
      </c>
      <c r="P163" s="48" t="s">
        <v>1648</v>
      </c>
      <c r="Q163" s="48" t="s">
        <v>1649</v>
      </c>
      <c r="R163" s="48" t="s">
        <v>1649</v>
      </c>
      <c r="S163" s="48" t="s">
        <v>1649</v>
      </c>
      <c r="T163" s="48"/>
    </row>
    <row r="164" spans="1:20" ht="13.5" thickBot="1" x14ac:dyDescent="0.25">
      <c r="A164" s="48" t="s">
        <v>152</v>
      </c>
      <c r="B164" s="224" t="s">
        <v>151</v>
      </c>
      <c r="C164" s="48" t="s">
        <v>25</v>
      </c>
      <c r="D164" s="87" t="s">
        <v>1812</v>
      </c>
      <c r="E164" s="208">
        <v>37423</v>
      </c>
      <c r="F164" s="208">
        <v>37423</v>
      </c>
      <c r="G164" s="244">
        <v>45</v>
      </c>
      <c r="H164" s="48" t="s">
        <v>1648</v>
      </c>
      <c r="I164" s="48" t="s">
        <v>1649</v>
      </c>
      <c r="J164" s="48" t="s">
        <v>1649</v>
      </c>
      <c r="K164" s="48" t="s">
        <v>1649</v>
      </c>
      <c r="L164" s="48" t="s">
        <v>1649</v>
      </c>
      <c r="M164" s="48" t="s">
        <v>1648</v>
      </c>
      <c r="N164" s="48" t="s">
        <v>1648</v>
      </c>
      <c r="O164" s="48" t="s">
        <v>1648</v>
      </c>
      <c r="P164" s="48" t="s">
        <v>1648</v>
      </c>
      <c r="Q164" s="48" t="s">
        <v>1649</v>
      </c>
      <c r="R164" s="48" t="s">
        <v>1649</v>
      </c>
      <c r="S164" s="48" t="s">
        <v>1649</v>
      </c>
      <c r="T164" s="48"/>
    </row>
    <row r="165" spans="1:20" ht="13.5" thickBot="1" x14ac:dyDescent="0.25">
      <c r="A165" s="48" t="s">
        <v>154</v>
      </c>
      <c r="B165" s="224" t="s">
        <v>153</v>
      </c>
      <c r="C165" s="48" t="s">
        <v>25</v>
      </c>
      <c r="D165" s="87" t="s">
        <v>3530</v>
      </c>
      <c r="E165" s="208">
        <v>46675.199999999997</v>
      </c>
      <c r="F165" s="208">
        <v>46675.199999999997</v>
      </c>
      <c r="G165" s="244">
        <v>40</v>
      </c>
      <c r="H165" s="48" t="s">
        <v>1648</v>
      </c>
      <c r="I165" s="48" t="s">
        <v>1648</v>
      </c>
      <c r="J165" s="48" t="s">
        <v>1648</v>
      </c>
      <c r="K165" s="48" t="s">
        <v>1648</v>
      </c>
      <c r="L165" s="48" t="s">
        <v>1649</v>
      </c>
      <c r="M165" s="48" t="s">
        <v>1648</v>
      </c>
      <c r="N165" s="48" t="s">
        <v>1648</v>
      </c>
      <c r="O165" s="48" t="s">
        <v>1649</v>
      </c>
      <c r="P165" s="48" t="s">
        <v>1648</v>
      </c>
      <c r="Q165" s="48" t="s">
        <v>1648</v>
      </c>
      <c r="R165" s="48" t="s">
        <v>1648</v>
      </c>
      <c r="S165" s="48" t="s">
        <v>1649</v>
      </c>
      <c r="T165" s="48" t="s">
        <v>3547</v>
      </c>
    </row>
    <row r="166" spans="1:20" ht="13.5" thickBot="1" x14ac:dyDescent="0.25">
      <c r="A166" s="48" t="s">
        <v>160</v>
      </c>
      <c r="B166" s="224" t="s">
        <v>159</v>
      </c>
      <c r="C166" s="48" t="s">
        <v>25</v>
      </c>
      <c r="D166" s="87" t="s">
        <v>3529</v>
      </c>
      <c r="E166" s="208">
        <v>60000</v>
      </c>
      <c r="F166" s="208">
        <v>70000</v>
      </c>
      <c r="G166" s="244">
        <v>38</v>
      </c>
      <c r="H166" s="48" t="s">
        <v>1648</v>
      </c>
      <c r="I166" s="48" t="s">
        <v>1648</v>
      </c>
      <c r="J166" s="48" t="s">
        <v>1648</v>
      </c>
      <c r="K166" s="48" t="s">
        <v>1648</v>
      </c>
      <c r="L166" s="48" t="s">
        <v>1649</v>
      </c>
      <c r="M166" s="48" t="s">
        <v>1648</v>
      </c>
      <c r="N166" s="48" t="s">
        <v>1648</v>
      </c>
      <c r="O166" s="48" t="s">
        <v>1648</v>
      </c>
      <c r="P166" s="48" t="s">
        <v>1648</v>
      </c>
      <c r="Q166" s="48" t="s">
        <v>1648</v>
      </c>
      <c r="R166" s="48" t="s">
        <v>1648</v>
      </c>
      <c r="S166" s="48" t="s">
        <v>1649</v>
      </c>
      <c r="T166" s="48"/>
    </row>
    <row r="167" spans="1:20" ht="13.5" thickBot="1" x14ac:dyDescent="0.25">
      <c r="A167" s="48" t="s">
        <v>196</v>
      </c>
      <c r="B167" s="224" t="s">
        <v>195</v>
      </c>
      <c r="C167" s="48" t="s">
        <v>25</v>
      </c>
      <c r="D167" s="87" t="s">
        <v>1812</v>
      </c>
      <c r="E167" s="208">
        <v>44720</v>
      </c>
      <c r="F167" s="208">
        <v>48000</v>
      </c>
      <c r="G167" s="244">
        <v>40</v>
      </c>
      <c r="H167" s="48" t="s">
        <v>1648</v>
      </c>
      <c r="I167" s="48" t="s">
        <v>1649</v>
      </c>
      <c r="J167" s="48" t="s">
        <v>1649</v>
      </c>
      <c r="K167" s="48" t="s">
        <v>1649</v>
      </c>
      <c r="L167" s="48" t="s">
        <v>1648</v>
      </c>
      <c r="M167" s="48" t="s">
        <v>1648</v>
      </c>
      <c r="N167" s="48" t="s">
        <v>1648</v>
      </c>
      <c r="O167" s="48" t="s">
        <v>1648</v>
      </c>
      <c r="P167" s="48" t="s">
        <v>1648</v>
      </c>
      <c r="Q167" s="48" t="s">
        <v>1649</v>
      </c>
      <c r="R167" s="48" t="s">
        <v>1649</v>
      </c>
      <c r="S167" s="48" t="s">
        <v>1649</v>
      </c>
      <c r="T167" s="48" t="s">
        <v>3550</v>
      </c>
    </row>
    <row r="168" spans="1:20" ht="13.5" thickBot="1" x14ac:dyDescent="0.25">
      <c r="A168" s="48" t="s">
        <v>220</v>
      </c>
      <c r="B168" s="224" t="s">
        <v>219</v>
      </c>
      <c r="C168" s="48" t="s">
        <v>25</v>
      </c>
      <c r="D168" s="87" t="s">
        <v>1812</v>
      </c>
      <c r="E168" s="208">
        <v>29000</v>
      </c>
      <c r="F168" s="208">
        <v>35000</v>
      </c>
      <c r="G168" s="244">
        <v>36</v>
      </c>
      <c r="H168" s="48" t="s">
        <v>1649</v>
      </c>
      <c r="I168" s="48" t="s">
        <v>1649</v>
      </c>
      <c r="J168" s="48" t="s">
        <v>1649</v>
      </c>
      <c r="K168" s="48" t="s">
        <v>1649</v>
      </c>
      <c r="L168" s="48" t="s">
        <v>1648</v>
      </c>
      <c r="M168" s="48" t="s">
        <v>1649</v>
      </c>
      <c r="N168" s="48" t="s">
        <v>1648</v>
      </c>
      <c r="O168" s="48" t="s">
        <v>1649</v>
      </c>
      <c r="P168" s="48" t="s">
        <v>1649</v>
      </c>
      <c r="Q168" s="48" t="s">
        <v>1649</v>
      </c>
      <c r="R168" s="48" t="s">
        <v>1649</v>
      </c>
      <c r="S168" s="48" t="s">
        <v>1649</v>
      </c>
      <c r="T168" s="48" t="s">
        <v>3552</v>
      </c>
    </row>
    <row r="169" spans="1:20" ht="13.5" thickBot="1" x14ac:dyDescent="0.25">
      <c r="A169" s="48" t="s">
        <v>232</v>
      </c>
      <c r="B169" s="224" t="s">
        <v>231</v>
      </c>
      <c r="C169" s="48" t="s">
        <v>25</v>
      </c>
      <c r="D169" s="87" t="s">
        <v>3530</v>
      </c>
      <c r="E169" s="208">
        <v>2000</v>
      </c>
      <c r="F169" s="87" t="s">
        <v>1660</v>
      </c>
      <c r="G169" s="244">
        <v>40</v>
      </c>
      <c r="H169" s="48" t="s">
        <v>1648</v>
      </c>
      <c r="I169" s="48" t="s">
        <v>1649</v>
      </c>
      <c r="J169" s="48" t="s">
        <v>1649</v>
      </c>
      <c r="K169" s="48" t="s">
        <v>1649</v>
      </c>
      <c r="L169" s="48" t="s">
        <v>1649</v>
      </c>
      <c r="M169" s="48" t="s">
        <v>1648</v>
      </c>
      <c r="N169" s="48" t="s">
        <v>1648</v>
      </c>
      <c r="O169" s="48" t="s">
        <v>1649</v>
      </c>
      <c r="P169" s="48" t="s">
        <v>1648</v>
      </c>
      <c r="Q169" s="48" t="s">
        <v>1649</v>
      </c>
      <c r="R169" s="48" t="s">
        <v>1649</v>
      </c>
      <c r="S169" s="48" t="s">
        <v>1649</v>
      </c>
      <c r="T169" s="48"/>
    </row>
    <row r="170" spans="1:20" ht="13.5" thickBot="1" x14ac:dyDescent="0.25">
      <c r="A170" s="48" t="s">
        <v>246</v>
      </c>
      <c r="B170" s="224" t="s">
        <v>245</v>
      </c>
      <c r="C170" s="48" t="s">
        <v>25</v>
      </c>
      <c r="D170" s="87" t="s">
        <v>3529</v>
      </c>
      <c r="E170" s="208">
        <v>48600</v>
      </c>
      <c r="F170" s="208">
        <v>49600</v>
      </c>
      <c r="G170" s="244">
        <v>40</v>
      </c>
      <c r="H170" s="48" t="s">
        <v>1648</v>
      </c>
      <c r="I170" s="48" t="s">
        <v>1648</v>
      </c>
      <c r="J170" s="48" t="s">
        <v>1648</v>
      </c>
      <c r="K170" s="48" t="s">
        <v>1648</v>
      </c>
      <c r="L170" s="48" t="s">
        <v>1648</v>
      </c>
      <c r="M170" s="48" t="s">
        <v>1648</v>
      </c>
      <c r="N170" s="48" t="s">
        <v>1648</v>
      </c>
      <c r="O170" s="48" t="s">
        <v>1648</v>
      </c>
      <c r="P170" s="48" t="s">
        <v>1648</v>
      </c>
      <c r="Q170" s="48" t="s">
        <v>1649</v>
      </c>
      <c r="R170" s="48" t="s">
        <v>1649</v>
      </c>
      <c r="S170" s="48" t="s">
        <v>1649</v>
      </c>
      <c r="T170" s="48"/>
    </row>
    <row r="171" spans="1:20" ht="13.5" thickBot="1" x14ac:dyDescent="0.25">
      <c r="A171" s="48" t="s">
        <v>250</v>
      </c>
      <c r="B171" s="224" t="s">
        <v>249</v>
      </c>
      <c r="C171" s="48" t="s">
        <v>25</v>
      </c>
      <c r="D171" s="87" t="s">
        <v>3529</v>
      </c>
      <c r="E171" s="208">
        <v>44928</v>
      </c>
      <c r="F171" s="208">
        <v>46000</v>
      </c>
      <c r="G171" s="244">
        <v>29</v>
      </c>
      <c r="H171" s="48" t="s">
        <v>1649</v>
      </c>
      <c r="I171" s="48" t="s">
        <v>1649</v>
      </c>
      <c r="J171" s="48" t="s">
        <v>1649</v>
      </c>
      <c r="K171" s="48" t="s">
        <v>1649</v>
      </c>
      <c r="L171" s="48" t="s">
        <v>1649</v>
      </c>
      <c r="M171" s="48" t="s">
        <v>1648</v>
      </c>
      <c r="N171" s="48" t="s">
        <v>1648</v>
      </c>
      <c r="O171" s="48" t="s">
        <v>1649</v>
      </c>
      <c r="P171" s="48" t="s">
        <v>1648</v>
      </c>
      <c r="Q171" s="48" t="s">
        <v>1649</v>
      </c>
      <c r="R171" s="48" t="s">
        <v>1649</v>
      </c>
      <c r="S171" s="48" t="s">
        <v>1649</v>
      </c>
      <c r="T171" s="48"/>
    </row>
    <row r="172" spans="1:20" ht="13.5" thickBot="1" x14ac:dyDescent="0.25">
      <c r="A172" s="48" t="s">
        <v>262</v>
      </c>
      <c r="B172" s="224" t="s">
        <v>261</v>
      </c>
      <c r="C172" s="48" t="s">
        <v>25</v>
      </c>
      <c r="D172" s="87" t="s">
        <v>3533</v>
      </c>
      <c r="E172" s="208">
        <v>30000</v>
      </c>
      <c r="F172" s="208">
        <v>35000</v>
      </c>
      <c r="G172" s="244">
        <v>38</v>
      </c>
      <c r="H172" s="48" t="s">
        <v>1649</v>
      </c>
      <c r="I172" s="48" t="s">
        <v>1649</v>
      </c>
      <c r="J172" s="48" t="s">
        <v>1649</v>
      </c>
      <c r="K172" s="48" t="s">
        <v>1649</v>
      </c>
      <c r="L172" s="48" t="s">
        <v>1648</v>
      </c>
      <c r="M172" s="48" t="s">
        <v>1649</v>
      </c>
      <c r="N172" s="48" t="s">
        <v>1648</v>
      </c>
      <c r="O172" s="48" t="s">
        <v>1648</v>
      </c>
      <c r="P172" s="48" t="s">
        <v>1649</v>
      </c>
      <c r="Q172" s="48" t="s">
        <v>1649</v>
      </c>
      <c r="R172" s="48" t="s">
        <v>1649</v>
      </c>
      <c r="S172" s="48" t="s">
        <v>1649</v>
      </c>
      <c r="T172" s="48"/>
    </row>
    <row r="173" spans="1:20" ht="13.5" thickBot="1" x14ac:dyDescent="0.25">
      <c r="A173" s="48" t="s">
        <v>284</v>
      </c>
      <c r="B173" s="224" t="s">
        <v>283</v>
      </c>
      <c r="C173" s="48" t="s">
        <v>25</v>
      </c>
      <c r="D173" s="87" t="s">
        <v>1812</v>
      </c>
      <c r="E173" s="208">
        <v>52000</v>
      </c>
      <c r="F173" s="208">
        <v>62000</v>
      </c>
      <c r="G173" s="244">
        <v>40</v>
      </c>
      <c r="H173" s="48" t="s">
        <v>1649</v>
      </c>
      <c r="I173" s="48" t="s">
        <v>1649</v>
      </c>
      <c r="J173" s="48" t="s">
        <v>1649</v>
      </c>
      <c r="K173" s="48" t="s">
        <v>1649</v>
      </c>
      <c r="L173" s="48" t="s">
        <v>1649</v>
      </c>
      <c r="M173" s="48" t="s">
        <v>1648</v>
      </c>
      <c r="N173" s="48" t="s">
        <v>1648</v>
      </c>
      <c r="O173" s="48" t="s">
        <v>1648</v>
      </c>
      <c r="P173" s="48" t="s">
        <v>1648</v>
      </c>
      <c r="Q173" s="48" t="s">
        <v>1648</v>
      </c>
      <c r="R173" s="48" t="s">
        <v>1649</v>
      </c>
      <c r="S173" s="48" t="s">
        <v>1649</v>
      </c>
      <c r="T173" s="48"/>
    </row>
    <row r="174" spans="1:20" ht="13.5" thickBot="1" x14ac:dyDescent="0.25">
      <c r="A174" s="48" t="s">
        <v>296</v>
      </c>
      <c r="B174" s="224" t="s">
        <v>295</v>
      </c>
      <c r="C174" s="48" t="s">
        <v>25</v>
      </c>
      <c r="D174" s="87" t="s">
        <v>3529</v>
      </c>
      <c r="E174" s="87" t="s">
        <v>1660</v>
      </c>
      <c r="F174" s="208">
        <v>37500</v>
      </c>
      <c r="G174" s="244">
        <v>32</v>
      </c>
      <c r="H174" s="48" t="s">
        <v>1649</v>
      </c>
      <c r="I174" s="48" t="s">
        <v>1649</v>
      </c>
      <c r="J174" s="48" t="s">
        <v>1649</v>
      </c>
      <c r="K174" s="48" t="s">
        <v>1649</v>
      </c>
      <c r="L174" s="48" t="s">
        <v>1649</v>
      </c>
      <c r="M174" s="48" t="s">
        <v>1648</v>
      </c>
      <c r="N174" s="48" t="s">
        <v>1648</v>
      </c>
      <c r="O174" s="48" t="s">
        <v>1649</v>
      </c>
      <c r="P174" s="48" t="s">
        <v>1648</v>
      </c>
      <c r="Q174" s="48" t="s">
        <v>1649</v>
      </c>
      <c r="R174" s="48" t="s">
        <v>1649</v>
      </c>
      <c r="S174" s="48" t="s">
        <v>1649</v>
      </c>
      <c r="T174" s="48"/>
    </row>
    <row r="175" spans="1:20" ht="13.5" thickBot="1" x14ac:dyDescent="0.25">
      <c r="A175" s="48" t="s">
        <v>302</v>
      </c>
      <c r="B175" s="224" t="s">
        <v>301</v>
      </c>
      <c r="C175" s="48" t="s">
        <v>25</v>
      </c>
      <c r="D175" s="87" t="s">
        <v>3529</v>
      </c>
      <c r="E175" s="208">
        <v>51314</v>
      </c>
      <c r="F175" s="208">
        <v>69139</v>
      </c>
      <c r="G175" s="244">
        <v>40</v>
      </c>
      <c r="H175" s="48" t="s">
        <v>1648</v>
      </c>
      <c r="I175" s="48" t="s">
        <v>1648</v>
      </c>
      <c r="J175" s="48" t="s">
        <v>1648</v>
      </c>
      <c r="K175" s="48" t="s">
        <v>1648</v>
      </c>
      <c r="L175" s="48" t="s">
        <v>1649</v>
      </c>
      <c r="M175" s="48" t="s">
        <v>1648</v>
      </c>
      <c r="N175" s="48" t="s">
        <v>1648</v>
      </c>
      <c r="O175" s="48" t="s">
        <v>1648</v>
      </c>
      <c r="P175" s="48" t="s">
        <v>1648</v>
      </c>
      <c r="Q175" s="48" t="s">
        <v>1648</v>
      </c>
      <c r="R175" s="48" t="s">
        <v>1648</v>
      </c>
      <c r="S175" s="48" t="s">
        <v>1649</v>
      </c>
      <c r="T175" s="48"/>
    </row>
    <row r="176" spans="1:20" ht="13.5" thickBot="1" x14ac:dyDescent="0.25">
      <c r="A176" s="48" t="s">
        <v>310</v>
      </c>
      <c r="B176" s="224" t="s">
        <v>309</v>
      </c>
      <c r="C176" s="48" t="s">
        <v>25</v>
      </c>
      <c r="D176" s="87" t="s">
        <v>1812</v>
      </c>
      <c r="E176" s="208">
        <v>52500</v>
      </c>
      <c r="F176" s="208">
        <v>91000</v>
      </c>
      <c r="G176" s="87" t="s">
        <v>1660</v>
      </c>
      <c r="H176" s="48" t="s">
        <v>1648</v>
      </c>
      <c r="I176" s="48" t="s">
        <v>1648</v>
      </c>
      <c r="J176" s="48" t="s">
        <v>1648</v>
      </c>
      <c r="K176" s="48" t="s">
        <v>1648</v>
      </c>
      <c r="L176" s="48" t="s">
        <v>1648</v>
      </c>
      <c r="M176" s="48" t="s">
        <v>1648</v>
      </c>
      <c r="N176" s="48" t="s">
        <v>1649</v>
      </c>
      <c r="O176" s="48" t="s">
        <v>1648</v>
      </c>
      <c r="P176" s="48" t="s">
        <v>1649</v>
      </c>
      <c r="Q176" s="48" t="s">
        <v>1649</v>
      </c>
      <c r="R176" s="48" t="s">
        <v>1648</v>
      </c>
      <c r="S176" s="48" t="s">
        <v>1649</v>
      </c>
      <c r="T176" s="48"/>
    </row>
    <row r="177" spans="1:20" ht="13.5" thickBot="1" x14ac:dyDescent="0.25">
      <c r="A177" s="48" t="s">
        <v>324</v>
      </c>
      <c r="B177" s="224" t="s">
        <v>323</v>
      </c>
      <c r="C177" s="48" t="s">
        <v>25</v>
      </c>
      <c r="D177" s="87" t="s">
        <v>3530</v>
      </c>
      <c r="E177" s="208">
        <v>45000</v>
      </c>
      <c r="F177" s="208">
        <v>62200</v>
      </c>
      <c r="G177" s="87" t="s">
        <v>1660</v>
      </c>
      <c r="H177" s="48" t="s">
        <v>1649</v>
      </c>
      <c r="I177" s="48" t="s">
        <v>1649</v>
      </c>
      <c r="J177" s="48" t="s">
        <v>1649</v>
      </c>
      <c r="K177" s="48" t="s">
        <v>1649</v>
      </c>
      <c r="L177" s="48" t="s">
        <v>1649</v>
      </c>
      <c r="M177" s="48" t="s">
        <v>1648</v>
      </c>
      <c r="N177" s="48" t="s">
        <v>1648</v>
      </c>
      <c r="O177" s="48" t="s">
        <v>1649</v>
      </c>
      <c r="P177" s="48" t="s">
        <v>1648</v>
      </c>
      <c r="Q177" s="48" t="s">
        <v>1649</v>
      </c>
      <c r="R177" s="48" t="s">
        <v>1649</v>
      </c>
      <c r="S177" s="48" t="s">
        <v>1649</v>
      </c>
      <c r="T177" s="48"/>
    </row>
    <row r="178" spans="1:20" ht="13.5" thickBot="1" x14ac:dyDescent="0.25">
      <c r="A178" s="48" t="s">
        <v>342</v>
      </c>
      <c r="B178" s="224" t="s">
        <v>341</v>
      </c>
      <c r="C178" s="48" t="s">
        <v>25</v>
      </c>
      <c r="D178" s="87" t="s">
        <v>1812</v>
      </c>
      <c r="E178" s="208">
        <v>31000</v>
      </c>
      <c r="F178" s="208">
        <v>35000</v>
      </c>
      <c r="G178" s="244">
        <v>30</v>
      </c>
      <c r="H178" s="48" t="s">
        <v>1649</v>
      </c>
      <c r="I178" s="48" t="s">
        <v>1649</v>
      </c>
      <c r="J178" s="48" t="s">
        <v>1649</v>
      </c>
      <c r="K178" s="48" t="s">
        <v>1649</v>
      </c>
      <c r="L178" s="48" t="s">
        <v>1649</v>
      </c>
      <c r="M178" s="48" t="s">
        <v>1648</v>
      </c>
      <c r="N178" s="48" t="s">
        <v>1648</v>
      </c>
      <c r="O178" s="48" t="s">
        <v>1648</v>
      </c>
      <c r="P178" s="48" t="s">
        <v>1648</v>
      </c>
      <c r="Q178" s="48" t="s">
        <v>1648</v>
      </c>
      <c r="R178" s="48" t="s">
        <v>1649</v>
      </c>
      <c r="S178" s="48" t="s">
        <v>1648</v>
      </c>
      <c r="T178" s="48"/>
    </row>
    <row r="179" spans="1:20" ht="13.5" thickBot="1" x14ac:dyDescent="0.25">
      <c r="A179" s="48" t="s">
        <v>350</v>
      </c>
      <c r="B179" s="224" t="s">
        <v>349</v>
      </c>
      <c r="C179" s="48" t="s">
        <v>25</v>
      </c>
      <c r="D179" s="87" t="s">
        <v>3530</v>
      </c>
      <c r="E179" s="208">
        <v>40000</v>
      </c>
      <c r="F179" s="208">
        <v>45000</v>
      </c>
      <c r="G179" s="244">
        <v>40</v>
      </c>
      <c r="H179" s="48" t="s">
        <v>1648</v>
      </c>
      <c r="I179" s="48" t="s">
        <v>1648</v>
      </c>
      <c r="J179" s="48" t="s">
        <v>1648</v>
      </c>
      <c r="K179" s="48" t="s">
        <v>1648</v>
      </c>
      <c r="L179" s="48" t="s">
        <v>1648</v>
      </c>
      <c r="M179" s="48" t="s">
        <v>1648</v>
      </c>
      <c r="N179" s="48" t="s">
        <v>1648</v>
      </c>
      <c r="O179" s="48" t="s">
        <v>1648</v>
      </c>
      <c r="P179" s="48" t="s">
        <v>1648</v>
      </c>
      <c r="Q179" s="48" t="s">
        <v>1649</v>
      </c>
      <c r="R179" s="48" t="s">
        <v>1648</v>
      </c>
      <c r="S179" s="48" t="s">
        <v>1649</v>
      </c>
      <c r="T179" s="48"/>
    </row>
    <row r="180" spans="1:20" ht="13.5" thickBot="1" x14ac:dyDescent="0.25">
      <c r="A180" s="48" t="s">
        <v>358</v>
      </c>
      <c r="B180" s="224" t="s">
        <v>357</v>
      </c>
      <c r="C180" s="48" t="s">
        <v>25</v>
      </c>
      <c r="D180" s="87" t="s">
        <v>3529</v>
      </c>
      <c r="E180" s="208">
        <v>53000</v>
      </c>
      <c r="F180" s="208">
        <v>65000</v>
      </c>
      <c r="G180" s="244">
        <v>40</v>
      </c>
      <c r="H180" s="48" t="s">
        <v>1648</v>
      </c>
      <c r="I180" s="48" t="s">
        <v>1648</v>
      </c>
      <c r="J180" s="48" t="s">
        <v>1648</v>
      </c>
      <c r="K180" s="48" t="s">
        <v>1648</v>
      </c>
      <c r="L180" s="48" t="s">
        <v>1648</v>
      </c>
      <c r="M180" s="48" t="s">
        <v>1648</v>
      </c>
      <c r="N180" s="48" t="s">
        <v>1648</v>
      </c>
      <c r="O180" s="48" t="s">
        <v>1648</v>
      </c>
      <c r="P180" s="48" t="s">
        <v>1648</v>
      </c>
      <c r="Q180" s="48" t="s">
        <v>1648</v>
      </c>
      <c r="R180" s="48" t="s">
        <v>1648</v>
      </c>
      <c r="S180" s="48" t="s">
        <v>1649</v>
      </c>
      <c r="T180" s="48"/>
    </row>
    <row r="181" spans="1:20" ht="13.5" thickBot="1" x14ac:dyDescent="0.25">
      <c r="A181" s="48" t="s">
        <v>378</v>
      </c>
      <c r="B181" s="224" t="s">
        <v>377</v>
      </c>
      <c r="C181" s="48" t="s">
        <v>25</v>
      </c>
      <c r="D181" s="87" t="s">
        <v>3529</v>
      </c>
      <c r="E181" s="208">
        <v>60175</v>
      </c>
      <c r="F181" s="208">
        <v>78225</v>
      </c>
      <c r="G181" s="244">
        <v>40</v>
      </c>
      <c r="H181" s="48" t="s">
        <v>1648</v>
      </c>
      <c r="I181" s="48" t="s">
        <v>1648</v>
      </c>
      <c r="J181" s="48" t="s">
        <v>1648</v>
      </c>
      <c r="K181" s="48" t="s">
        <v>1648</v>
      </c>
      <c r="L181" s="48" t="s">
        <v>1648</v>
      </c>
      <c r="M181" s="48" t="s">
        <v>1648</v>
      </c>
      <c r="N181" s="48" t="s">
        <v>1648</v>
      </c>
      <c r="O181" s="48" t="s">
        <v>1648</v>
      </c>
      <c r="P181" s="48" t="s">
        <v>1648</v>
      </c>
      <c r="Q181" s="48" t="s">
        <v>1649</v>
      </c>
      <c r="R181" s="48" t="s">
        <v>1648</v>
      </c>
      <c r="S181" s="48" t="s">
        <v>1649</v>
      </c>
      <c r="T181" s="48"/>
    </row>
    <row r="182" spans="1:20" ht="13.5" thickBot="1" x14ac:dyDescent="0.25">
      <c r="A182" s="48" t="s">
        <v>410</v>
      </c>
      <c r="B182" s="224" t="s">
        <v>409</v>
      </c>
      <c r="C182" s="48" t="s">
        <v>25</v>
      </c>
      <c r="D182" s="87" t="s">
        <v>3533</v>
      </c>
      <c r="E182" s="208">
        <v>35838</v>
      </c>
      <c r="F182" s="208">
        <v>35838</v>
      </c>
      <c r="G182" s="244">
        <v>40</v>
      </c>
      <c r="H182" s="48" t="s">
        <v>1648</v>
      </c>
      <c r="I182" s="48" t="s">
        <v>1649</v>
      </c>
      <c r="J182" s="48" t="s">
        <v>1649</v>
      </c>
      <c r="K182" s="48" t="s">
        <v>1648</v>
      </c>
      <c r="L182" s="48" t="s">
        <v>1648</v>
      </c>
      <c r="M182" s="48" t="s">
        <v>1648</v>
      </c>
      <c r="N182" s="48" t="s">
        <v>1648</v>
      </c>
      <c r="O182" s="48" t="s">
        <v>1648</v>
      </c>
      <c r="P182" s="48" t="s">
        <v>1648</v>
      </c>
      <c r="Q182" s="48" t="s">
        <v>1648</v>
      </c>
      <c r="R182" s="48" t="s">
        <v>1648</v>
      </c>
      <c r="S182" s="48" t="s">
        <v>1648</v>
      </c>
      <c r="T182" s="48"/>
    </row>
    <row r="183" spans="1:20" ht="13.5" thickBot="1" x14ac:dyDescent="0.25">
      <c r="A183" s="48" t="s">
        <v>408</v>
      </c>
      <c r="B183" s="224" t="s">
        <v>407</v>
      </c>
      <c r="C183" s="48" t="s">
        <v>25</v>
      </c>
      <c r="D183" s="87" t="s">
        <v>1812</v>
      </c>
      <c r="E183" s="208">
        <v>11310</v>
      </c>
      <c r="F183" s="208">
        <v>16000</v>
      </c>
      <c r="G183" s="244">
        <v>18</v>
      </c>
      <c r="H183" s="48" t="s">
        <v>1649</v>
      </c>
      <c r="I183" s="48" t="s">
        <v>1649</v>
      </c>
      <c r="J183" s="48" t="s">
        <v>1649</v>
      </c>
      <c r="K183" s="48" t="s">
        <v>1648</v>
      </c>
      <c r="L183" s="48" t="s">
        <v>1648</v>
      </c>
      <c r="M183" s="48" t="s">
        <v>1648</v>
      </c>
      <c r="N183" s="48" t="s">
        <v>1649</v>
      </c>
      <c r="O183" s="48" t="s">
        <v>1648</v>
      </c>
      <c r="P183" s="48" t="s">
        <v>1648</v>
      </c>
      <c r="Q183" s="48" t="s">
        <v>1649</v>
      </c>
      <c r="R183" s="48" t="s">
        <v>1649</v>
      </c>
      <c r="S183" s="48" t="s">
        <v>1649</v>
      </c>
      <c r="T183" s="48"/>
    </row>
    <row r="184" spans="1:20" ht="13.5" thickBot="1" x14ac:dyDescent="0.25">
      <c r="A184" s="48" t="s">
        <v>433</v>
      </c>
      <c r="B184" s="224" t="s">
        <v>432</v>
      </c>
      <c r="C184" s="48" t="s">
        <v>25</v>
      </c>
      <c r="D184" s="87" t="s">
        <v>3529</v>
      </c>
      <c r="E184" s="208">
        <v>38500</v>
      </c>
      <c r="F184" s="208">
        <v>51000</v>
      </c>
      <c r="G184" s="244">
        <v>40</v>
      </c>
      <c r="H184" s="48" t="s">
        <v>1648</v>
      </c>
      <c r="I184" s="48" t="s">
        <v>1649</v>
      </c>
      <c r="J184" s="48" t="s">
        <v>1649</v>
      </c>
      <c r="K184" s="48" t="s">
        <v>1649</v>
      </c>
      <c r="L184" s="48" t="s">
        <v>1648</v>
      </c>
      <c r="M184" s="48" t="s">
        <v>1648</v>
      </c>
      <c r="N184" s="48" t="s">
        <v>1648</v>
      </c>
      <c r="O184" s="48" t="s">
        <v>1649</v>
      </c>
      <c r="P184" s="48" t="s">
        <v>1648</v>
      </c>
      <c r="Q184" s="48" t="s">
        <v>1648</v>
      </c>
      <c r="R184" s="48" t="s">
        <v>1649</v>
      </c>
      <c r="S184" s="48" t="s">
        <v>1649</v>
      </c>
      <c r="T184" s="48"/>
    </row>
    <row r="185" spans="1:20" ht="13.5" thickBot="1" x14ac:dyDescent="0.25">
      <c r="A185" s="48" t="s">
        <v>446</v>
      </c>
      <c r="B185" s="224" t="s">
        <v>445</v>
      </c>
      <c r="C185" s="48" t="s">
        <v>25</v>
      </c>
      <c r="D185" s="87" t="s">
        <v>3530</v>
      </c>
      <c r="E185" s="208">
        <v>37530</v>
      </c>
      <c r="F185" s="208">
        <v>60000</v>
      </c>
      <c r="G185" s="244">
        <v>40</v>
      </c>
      <c r="H185" s="48" t="s">
        <v>1648</v>
      </c>
      <c r="I185" s="48" t="s">
        <v>1648</v>
      </c>
      <c r="J185" s="48" t="s">
        <v>1648</v>
      </c>
      <c r="K185" s="48" t="s">
        <v>1648</v>
      </c>
      <c r="L185" s="48" t="s">
        <v>1649</v>
      </c>
      <c r="M185" s="48" t="s">
        <v>1648</v>
      </c>
      <c r="N185" s="48" t="s">
        <v>1648</v>
      </c>
      <c r="O185" s="48" t="s">
        <v>1648</v>
      </c>
      <c r="P185" s="48" t="s">
        <v>1648</v>
      </c>
      <c r="Q185" s="48" t="s">
        <v>1648</v>
      </c>
      <c r="R185" s="48" t="s">
        <v>1648</v>
      </c>
      <c r="S185" s="48" t="s">
        <v>1649</v>
      </c>
      <c r="T185" s="48"/>
    </row>
    <row r="186" spans="1:20" ht="13.5" thickBot="1" x14ac:dyDescent="0.25">
      <c r="A186" s="48" t="s">
        <v>468</v>
      </c>
      <c r="B186" s="224" t="s">
        <v>467</v>
      </c>
      <c r="C186" s="48" t="s">
        <v>25</v>
      </c>
      <c r="D186" s="87" t="s">
        <v>1812</v>
      </c>
      <c r="E186" s="208">
        <v>40000</v>
      </c>
      <c r="F186" s="208">
        <v>55000</v>
      </c>
      <c r="G186" s="244">
        <v>38</v>
      </c>
      <c r="H186" s="48" t="s">
        <v>1648</v>
      </c>
      <c r="I186" s="48" t="s">
        <v>1648</v>
      </c>
      <c r="J186" s="48" t="s">
        <v>1648</v>
      </c>
      <c r="K186" s="48" t="s">
        <v>1649</v>
      </c>
      <c r="L186" s="48" t="s">
        <v>1649</v>
      </c>
      <c r="M186" s="48" t="s">
        <v>1648</v>
      </c>
      <c r="N186" s="48" t="s">
        <v>1648</v>
      </c>
      <c r="O186" s="48" t="s">
        <v>1649</v>
      </c>
      <c r="P186" s="48" t="s">
        <v>1649</v>
      </c>
      <c r="Q186" s="48" t="s">
        <v>1649</v>
      </c>
      <c r="R186" s="48" t="s">
        <v>1649</v>
      </c>
      <c r="S186" s="48" t="s">
        <v>1649</v>
      </c>
      <c r="T186" s="48"/>
    </row>
    <row r="187" spans="1:20" ht="13.5" thickBot="1" x14ac:dyDescent="0.25">
      <c r="A187" s="48" t="s">
        <v>474</v>
      </c>
      <c r="B187" s="224" t="s">
        <v>473</v>
      </c>
      <c r="C187" s="48" t="s">
        <v>25</v>
      </c>
      <c r="D187" s="87" t="s">
        <v>1812</v>
      </c>
      <c r="E187" s="208">
        <v>25643</v>
      </c>
      <c r="F187" s="208">
        <v>55000</v>
      </c>
      <c r="G187" s="244">
        <v>40</v>
      </c>
      <c r="H187" s="48" t="s">
        <v>1648</v>
      </c>
      <c r="I187" s="48" t="s">
        <v>1648</v>
      </c>
      <c r="J187" s="48" t="s">
        <v>1648</v>
      </c>
      <c r="K187" s="48" t="s">
        <v>1648</v>
      </c>
      <c r="L187" s="48" t="s">
        <v>1648</v>
      </c>
      <c r="M187" s="48" t="s">
        <v>1648</v>
      </c>
      <c r="N187" s="48" t="s">
        <v>1648</v>
      </c>
      <c r="O187" s="48" t="s">
        <v>1648</v>
      </c>
      <c r="P187" s="48" t="s">
        <v>1648</v>
      </c>
      <c r="Q187" s="48" t="s">
        <v>1648</v>
      </c>
      <c r="R187" s="48" t="s">
        <v>1648</v>
      </c>
      <c r="S187" s="48" t="s">
        <v>1648</v>
      </c>
      <c r="T187" s="48"/>
    </row>
    <row r="188" spans="1:20" ht="13.5" thickBot="1" x14ac:dyDescent="0.25">
      <c r="A188" s="48" t="s">
        <v>492</v>
      </c>
      <c r="B188" s="224" t="s">
        <v>491</v>
      </c>
      <c r="C188" s="48" t="s">
        <v>25</v>
      </c>
      <c r="D188" s="87" t="s">
        <v>3529</v>
      </c>
      <c r="E188" s="208">
        <v>36750</v>
      </c>
      <c r="F188" s="208">
        <v>36750</v>
      </c>
      <c r="G188" s="244">
        <v>30</v>
      </c>
      <c r="H188" s="48" t="s">
        <v>1649</v>
      </c>
      <c r="I188" s="48" t="s">
        <v>1649</v>
      </c>
      <c r="J188" s="48" t="s">
        <v>1649</v>
      </c>
      <c r="K188" s="48" t="s">
        <v>1649</v>
      </c>
      <c r="L188" s="48" t="s">
        <v>1649</v>
      </c>
      <c r="M188" s="48" t="s">
        <v>1648</v>
      </c>
      <c r="N188" s="48" t="s">
        <v>1649</v>
      </c>
      <c r="O188" s="48" t="s">
        <v>1649</v>
      </c>
      <c r="P188" s="48" t="s">
        <v>1649</v>
      </c>
      <c r="Q188" s="48" t="s">
        <v>1648</v>
      </c>
      <c r="R188" s="48" t="s">
        <v>1649</v>
      </c>
      <c r="S188" s="48" t="s">
        <v>1649</v>
      </c>
      <c r="T188" s="48"/>
    </row>
    <row r="189" spans="1:20" ht="13.5" thickBot="1" x14ac:dyDescent="0.25">
      <c r="A189" s="48" t="s">
        <v>504</v>
      </c>
      <c r="B189" s="224" t="s">
        <v>503</v>
      </c>
      <c r="C189" s="48" t="s">
        <v>25</v>
      </c>
      <c r="D189" s="87" t="s">
        <v>3530</v>
      </c>
      <c r="E189" s="208">
        <v>36000</v>
      </c>
      <c r="F189" s="208">
        <v>36000</v>
      </c>
      <c r="G189" s="244">
        <v>40</v>
      </c>
      <c r="H189" s="48" t="s">
        <v>1648</v>
      </c>
      <c r="I189" s="48" t="s">
        <v>1648</v>
      </c>
      <c r="J189" s="48" t="s">
        <v>1648</v>
      </c>
      <c r="K189" s="48" t="s">
        <v>1649</v>
      </c>
      <c r="L189" s="48" t="s">
        <v>1649</v>
      </c>
      <c r="M189" s="48" t="s">
        <v>1648</v>
      </c>
      <c r="N189" s="48" t="s">
        <v>1648</v>
      </c>
      <c r="O189" s="48" t="s">
        <v>1649</v>
      </c>
      <c r="P189" s="48" t="s">
        <v>1648</v>
      </c>
      <c r="Q189" s="48" t="s">
        <v>1648</v>
      </c>
      <c r="R189" s="48" t="s">
        <v>1649</v>
      </c>
      <c r="S189" s="48" t="s">
        <v>1649</v>
      </c>
      <c r="T189" s="48"/>
    </row>
    <row r="190" spans="1:20" ht="13.5" thickBot="1" x14ac:dyDescent="0.25">
      <c r="A190" s="48" t="s">
        <v>510</v>
      </c>
      <c r="B190" s="224" t="s">
        <v>509</v>
      </c>
      <c r="C190" s="48" t="s">
        <v>25</v>
      </c>
      <c r="D190" s="87" t="s">
        <v>3529</v>
      </c>
      <c r="E190" s="208">
        <v>37818</v>
      </c>
      <c r="F190" s="208">
        <v>52265</v>
      </c>
      <c r="G190" s="244">
        <v>40</v>
      </c>
      <c r="H190" s="48" t="s">
        <v>1649</v>
      </c>
      <c r="I190" s="48" t="s">
        <v>1649</v>
      </c>
      <c r="J190" s="48" t="s">
        <v>1649</v>
      </c>
      <c r="K190" s="48" t="s">
        <v>1648</v>
      </c>
      <c r="L190" s="48" t="s">
        <v>1648</v>
      </c>
      <c r="M190" s="48" t="s">
        <v>1648</v>
      </c>
      <c r="N190" s="48" t="s">
        <v>1648</v>
      </c>
      <c r="O190" s="48" t="s">
        <v>1648</v>
      </c>
      <c r="P190" s="48" t="s">
        <v>1648</v>
      </c>
      <c r="Q190" s="48" t="s">
        <v>1649</v>
      </c>
      <c r="R190" s="48" t="s">
        <v>1648</v>
      </c>
      <c r="S190" s="48" t="s">
        <v>1648</v>
      </c>
      <c r="T190" s="48" t="s">
        <v>3579</v>
      </c>
    </row>
    <row r="191" spans="1:20" ht="13.5" thickBot="1" x14ac:dyDescent="0.25">
      <c r="A191" s="48" t="s">
        <v>520</v>
      </c>
      <c r="B191" s="224" t="s">
        <v>519</v>
      </c>
      <c r="C191" s="48" t="s">
        <v>25</v>
      </c>
      <c r="D191" s="87" t="s">
        <v>1812</v>
      </c>
      <c r="E191" s="208">
        <v>42778</v>
      </c>
      <c r="F191" s="208">
        <v>42778</v>
      </c>
      <c r="G191" s="244">
        <v>40</v>
      </c>
      <c r="H191" s="48" t="s">
        <v>1648</v>
      </c>
      <c r="I191" s="48" t="s">
        <v>1648</v>
      </c>
      <c r="J191" s="48" t="s">
        <v>1648</v>
      </c>
      <c r="K191" s="48" t="s">
        <v>1648</v>
      </c>
      <c r="L191" s="48" t="s">
        <v>1648</v>
      </c>
      <c r="M191" s="48" t="s">
        <v>1648</v>
      </c>
      <c r="N191" s="48" t="s">
        <v>1648</v>
      </c>
      <c r="O191" s="48" t="s">
        <v>1648</v>
      </c>
      <c r="P191" s="48" t="s">
        <v>1648</v>
      </c>
      <c r="Q191" s="48" t="s">
        <v>1648</v>
      </c>
      <c r="R191" s="48" t="s">
        <v>1648</v>
      </c>
      <c r="S191" s="48" t="s">
        <v>1649</v>
      </c>
      <c r="T191" s="48"/>
    </row>
    <row r="192" spans="1:20" ht="13.5" thickBot="1" x14ac:dyDescent="0.25">
      <c r="A192" s="48" t="s">
        <v>524</v>
      </c>
      <c r="B192" s="224" t="s">
        <v>523</v>
      </c>
      <c r="C192" s="48" t="s">
        <v>25</v>
      </c>
      <c r="D192" s="87" t="s">
        <v>3529</v>
      </c>
      <c r="E192" s="208">
        <v>28641</v>
      </c>
      <c r="F192" s="208">
        <v>31824</v>
      </c>
      <c r="G192" s="244">
        <v>40</v>
      </c>
      <c r="H192" s="48" t="s">
        <v>1648</v>
      </c>
      <c r="I192" s="48" t="s">
        <v>1648</v>
      </c>
      <c r="J192" s="48" t="s">
        <v>1649</v>
      </c>
      <c r="K192" s="48" t="s">
        <v>1649</v>
      </c>
      <c r="L192" s="48" t="s">
        <v>1648</v>
      </c>
      <c r="M192" s="48" t="s">
        <v>1648</v>
      </c>
      <c r="N192" s="48" t="s">
        <v>1648</v>
      </c>
      <c r="O192" s="48" t="s">
        <v>1649</v>
      </c>
      <c r="P192" s="48" t="s">
        <v>1648</v>
      </c>
      <c r="Q192" s="48" t="s">
        <v>1649</v>
      </c>
      <c r="R192" s="48" t="s">
        <v>1649</v>
      </c>
      <c r="S192" s="48" t="s">
        <v>1649</v>
      </c>
      <c r="T192" s="48"/>
    </row>
    <row r="193" spans="1:20" ht="13.5" thickBot="1" x14ac:dyDescent="0.25">
      <c r="A193" s="48" t="s">
        <v>536</v>
      </c>
      <c r="B193" s="224" t="s">
        <v>535</v>
      </c>
      <c r="C193" s="48" t="s">
        <v>25</v>
      </c>
      <c r="D193" s="87" t="s">
        <v>1812</v>
      </c>
      <c r="E193" s="208">
        <v>65000</v>
      </c>
      <c r="F193" s="208">
        <v>89975</v>
      </c>
      <c r="G193" s="244">
        <v>37</v>
      </c>
      <c r="H193" s="48" t="s">
        <v>1649</v>
      </c>
      <c r="I193" s="48" t="s">
        <v>1648</v>
      </c>
      <c r="J193" s="48" t="s">
        <v>1648</v>
      </c>
      <c r="K193" s="48" t="s">
        <v>1648</v>
      </c>
      <c r="L193" s="48" t="s">
        <v>1648</v>
      </c>
      <c r="M193" s="48" t="s">
        <v>1648</v>
      </c>
      <c r="N193" s="48" t="s">
        <v>1648</v>
      </c>
      <c r="O193" s="48" t="s">
        <v>1649</v>
      </c>
      <c r="P193" s="48" t="s">
        <v>1648</v>
      </c>
      <c r="Q193" s="48" t="s">
        <v>1649</v>
      </c>
      <c r="R193" s="48" t="s">
        <v>1648</v>
      </c>
      <c r="S193" s="48" t="s">
        <v>1649</v>
      </c>
      <c r="T193" s="48" t="s">
        <v>3582</v>
      </c>
    </row>
    <row r="194" spans="1:20" ht="13.5" thickBot="1" x14ac:dyDescent="0.25">
      <c r="A194" s="48" t="s">
        <v>554</v>
      </c>
      <c r="B194" s="224" t="s">
        <v>553</v>
      </c>
      <c r="C194" s="48" t="s">
        <v>25</v>
      </c>
      <c r="D194" s="87" t="s">
        <v>3529</v>
      </c>
      <c r="E194" s="208">
        <v>42436</v>
      </c>
      <c r="F194" s="208">
        <v>42436</v>
      </c>
      <c r="G194" s="244">
        <v>40</v>
      </c>
      <c r="H194" s="48" t="s">
        <v>1648</v>
      </c>
      <c r="I194" s="48" t="s">
        <v>1648</v>
      </c>
      <c r="J194" s="48" t="s">
        <v>1648</v>
      </c>
      <c r="K194" s="48" t="s">
        <v>1648</v>
      </c>
      <c r="L194" s="48" t="s">
        <v>1648</v>
      </c>
      <c r="M194" s="48" t="s">
        <v>1649</v>
      </c>
      <c r="N194" s="48" t="s">
        <v>1648</v>
      </c>
      <c r="O194" s="48" t="s">
        <v>1648</v>
      </c>
      <c r="P194" s="48" t="s">
        <v>1648</v>
      </c>
      <c r="Q194" s="48" t="s">
        <v>1649</v>
      </c>
      <c r="R194" s="48" t="s">
        <v>1648</v>
      </c>
      <c r="S194" s="48" t="s">
        <v>1649</v>
      </c>
      <c r="T194" s="48"/>
    </row>
    <row r="195" spans="1:20" ht="13.5" thickBot="1" x14ac:dyDescent="0.25">
      <c r="A195" s="48" t="s">
        <v>564</v>
      </c>
      <c r="B195" s="224" t="s">
        <v>563</v>
      </c>
      <c r="C195" s="48" t="s">
        <v>25</v>
      </c>
      <c r="D195" s="87" t="s">
        <v>3529</v>
      </c>
      <c r="E195" s="208">
        <v>62986</v>
      </c>
      <c r="F195" s="208">
        <v>62986</v>
      </c>
      <c r="G195" s="244">
        <v>40</v>
      </c>
      <c r="H195" s="48" t="s">
        <v>1648</v>
      </c>
      <c r="I195" s="48" t="s">
        <v>1648</v>
      </c>
      <c r="J195" s="48" t="s">
        <v>1648</v>
      </c>
      <c r="K195" s="48" t="s">
        <v>1649</v>
      </c>
      <c r="L195" s="48" t="s">
        <v>1649</v>
      </c>
      <c r="M195" s="48" t="s">
        <v>1648</v>
      </c>
      <c r="N195" s="48" t="s">
        <v>1648</v>
      </c>
      <c r="O195" s="48" t="s">
        <v>1649</v>
      </c>
      <c r="P195" s="48" t="s">
        <v>1648</v>
      </c>
      <c r="Q195" s="48" t="s">
        <v>1649</v>
      </c>
      <c r="R195" s="48" t="s">
        <v>1649</v>
      </c>
      <c r="S195" s="48" t="s">
        <v>1649</v>
      </c>
      <c r="T195" s="48"/>
    </row>
    <row r="196" spans="1:20" ht="13.5" thickBot="1" x14ac:dyDescent="0.25">
      <c r="A196" s="48" t="s">
        <v>568</v>
      </c>
      <c r="B196" s="224" t="s">
        <v>567</v>
      </c>
      <c r="C196" s="48" t="s">
        <v>25</v>
      </c>
      <c r="D196" s="87" t="s">
        <v>3530</v>
      </c>
      <c r="E196" s="208">
        <v>42000</v>
      </c>
      <c r="F196" s="208">
        <v>45000</v>
      </c>
      <c r="G196" s="244">
        <v>30</v>
      </c>
      <c r="H196" s="48" t="s">
        <v>1649</v>
      </c>
      <c r="I196" s="48" t="s">
        <v>1649</v>
      </c>
      <c r="J196" s="48" t="s">
        <v>1649</v>
      </c>
      <c r="K196" s="48" t="s">
        <v>1649</v>
      </c>
      <c r="L196" s="48" t="s">
        <v>1648</v>
      </c>
      <c r="M196" s="48" t="s">
        <v>1648</v>
      </c>
      <c r="N196" s="48" t="s">
        <v>1648</v>
      </c>
      <c r="O196" s="48" t="s">
        <v>1649</v>
      </c>
      <c r="P196" s="48" t="s">
        <v>1649</v>
      </c>
      <c r="Q196" s="48" t="s">
        <v>1649</v>
      </c>
      <c r="R196" s="48" t="s">
        <v>1649</v>
      </c>
      <c r="S196" s="48" t="s">
        <v>1649</v>
      </c>
      <c r="T196" s="48" t="s">
        <v>3588</v>
      </c>
    </row>
    <row r="197" spans="1:20" ht="13.5" thickBot="1" x14ac:dyDescent="0.25">
      <c r="A197" s="48" t="s">
        <v>576</v>
      </c>
      <c r="B197" s="224" t="s">
        <v>575</v>
      </c>
      <c r="C197" s="48" t="s">
        <v>25</v>
      </c>
      <c r="D197" s="87" t="s">
        <v>3529</v>
      </c>
      <c r="E197" s="208">
        <v>24500</v>
      </c>
      <c r="F197" s="208">
        <v>55000</v>
      </c>
      <c r="G197" s="244">
        <v>36</v>
      </c>
      <c r="H197" s="48" t="s">
        <v>1649</v>
      </c>
      <c r="I197" s="48" t="s">
        <v>1649</v>
      </c>
      <c r="J197" s="48" t="s">
        <v>1649</v>
      </c>
      <c r="K197" s="48" t="s">
        <v>1648</v>
      </c>
      <c r="L197" s="48" t="s">
        <v>1648</v>
      </c>
      <c r="M197" s="48" t="s">
        <v>1648</v>
      </c>
      <c r="N197" s="48" t="s">
        <v>1648</v>
      </c>
      <c r="O197" s="48" t="s">
        <v>1648</v>
      </c>
      <c r="P197" s="48" t="s">
        <v>1648</v>
      </c>
      <c r="Q197" s="48" t="s">
        <v>1648</v>
      </c>
      <c r="R197" s="48" t="s">
        <v>1648</v>
      </c>
      <c r="S197" s="48" t="s">
        <v>1649</v>
      </c>
      <c r="T197" s="48"/>
    </row>
    <row r="198" spans="1:20" ht="13.5" thickBot="1" x14ac:dyDescent="0.25">
      <c r="A198" s="48" t="s">
        <v>584</v>
      </c>
      <c r="B198" s="224" t="s">
        <v>583</v>
      </c>
      <c r="C198" s="48" t="s">
        <v>25</v>
      </c>
      <c r="D198" s="87" t="s">
        <v>3529</v>
      </c>
      <c r="E198" s="208">
        <v>92785</v>
      </c>
      <c r="F198" s="208">
        <v>92785</v>
      </c>
      <c r="G198" s="244">
        <v>40</v>
      </c>
      <c r="H198" s="48" t="s">
        <v>1648</v>
      </c>
      <c r="I198" s="48" t="s">
        <v>1648</v>
      </c>
      <c r="J198" s="48" t="s">
        <v>1648</v>
      </c>
      <c r="K198" s="48" t="s">
        <v>1649</v>
      </c>
      <c r="L198" s="48" t="s">
        <v>1649</v>
      </c>
      <c r="M198" s="48" t="s">
        <v>1648</v>
      </c>
      <c r="N198" s="48" t="s">
        <v>1648</v>
      </c>
      <c r="O198" s="48" t="s">
        <v>1648</v>
      </c>
      <c r="P198" s="48" t="s">
        <v>1648</v>
      </c>
      <c r="Q198" s="48" t="s">
        <v>1649</v>
      </c>
      <c r="R198" s="48" t="s">
        <v>1649</v>
      </c>
      <c r="S198" s="48" t="s">
        <v>1649</v>
      </c>
      <c r="T198" s="48" t="s">
        <v>3590</v>
      </c>
    </row>
    <row r="199" spans="1:20" ht="13.5" thickBot="1" x14ac:dyDescent="0.25">
      <c r="A199" s="48" t="s">
        <v>610</v>
      </c>
      <c r="B199" s="224" t="s">
        <v>609</v>
      </c>
      <c r="C199" s="48" t="s">
        <v>25</v>
      </c>
      <c r="D199" s="87" t="s">
        <v>3529</v>
      </c>
      <c r="E199" s="208">
        <v>35000</v>
      </c>
      <c r="F199" s="208">
        <v>55000</v>
      </c>
      <c r="G199" s="244">
        <v>45</v>
      </c>
      <c r="H199" s="48" t="s">
        <v>1648</v>
      </c>
      <c r="I199" s="48" t="s">
        <v>1649</v>
      </c>
      <c r="J199" s="48" t="s">
        <v>1649</v>
      </c>
      <c r="K199" s="48" t="s">
        <v>1649</v>
      </c>
      <c r="L199" s="48" t="s">
        <v>1648</v>
      </c>
      <c r="M199" s="48" t="s">
        <v>1648</v>
      </c>
      <c r="N199" s="48" t="s">
        <v>1648</v>
      </c>
      <c r="O199" s="48" t="s">
        <v>1648</v>
      </c>
      <c r="P199" s="48" t="s">
        <v>1648</v>
      </c>
      <c r="Q199" s="48" t="s">
        <v>1649</v>
      </c>
      <c r="R199" s="48" t="s">
        <v>1649</v>
      </c>
      <c r="S199" s="48" t="s">
        <v>1649</v>
      </c>
      <c r="T199" s="48"/>
    </row>
    <row r="200" spans="1:20" ht="13.5" thickBot="1" x14ac:dyDescent="0.25">
      <c r="A200" s="48" t="s">
        <v>618</v>
      </c>
      <c r="B200" s="224" t="s">
        <v>617</v>
      </c>
      <c r="C200" s="48" t="s">
        <v>25</v>
      </c>
      <c r="D200" s="87" t="s">
        <v>1812</v>
      </c>
      <c r="E200" s="208">
        <v>30000</v>
      </c>
      <c r="F200" s="208">
        <v>38500</v>
      </c>
      <c r="G200" s="244">
        <v>35</v>
      </c>
      <c r="H200" s="48" t="s">
        <v>1649</v>
      </c>
      <c r="I200" s="48" t="s">
        <v>1649</v>
      </c>
      <c r="J200" s="48" t="s">
        <v>1649</v>
      </c>
      <c r="K200" s="48" t="s">
        <v>1649</v>
      </c>
      <c r="L200" s="48" t="s">
        <v>1649</v>
      </c>
      <c r="M200" s="48" t="s">
        <v>1649</v>
      </c>
      <c r="N200" s="48" t="s">
        <v>1648</v>
      </c>
      <c r="O200" s="48" t="s">
        <v>1649</v>
      </c>
      <c r="P200" s="48" t="s">
        <v>1648</v>
      </c>
      <c r="Q200" s="48" t="s">
        <v>1649</v>
      </c>
      <c r="R200" s="48" t="s">
        <v>1649</v>
      </c>
      <c r="S200" s="48" t="s">
        <v>1649</v>
      </c>
      <c r="T200" s="48"/>
    </row>
    <row r="201" spans="1:20" ht="13.5" thickBot="1" x14ac:dyDescent="0.25">
      <c r="A201" s="48" t="s">
        <v>626</v>
      </c>
      <c r="B201" s="224" t="s">
        <v>625</v>
      </c>
      <c r="C201" s="48" t="s">
        <v>25</v>
      </c>
      <c r="D201" s="87" t="s">
        <v>1812</v>
      </c>
      <c r="E201" s="208">
        <v>36000</v>
      </c>
      <c r="F201" s="208">
        <v>60000</v>
      </c>
      <c r="G201" s="244">
        <v>38</v>
      </c>
      <c r="H201" s="48" t="s">
        <v>1649</v>
      </c>
      <c r="I201" s="48" t="s">
        <v>1649</v>
      </c>
      <c r="J201" s="48" t="s">
        <v>1649</v>
      </c>
      <c r="K201" s="48" t="s">
        <v>1649</v>
      </c>
      <c r="L201" s="48" t="s">
        <v>1649</v>
      </c>
      <c r="M201" s="48" t="s">
        <v>1649</v>
      </c>
      <c r="N201" s="48" t="s">
        <v>1648</v>
      </c>
      <c r="O201" s="48" t="s">
        <v>1648</v>
      </c>
      <c r="P201" s="48" t="s">
        <v>1648</v>
      </c>
      <c r="Q201" s="48" t="s">
        <v>1648</v>
      </c>
      <c r="R201" s="48" t="s">
        <v>1649</v>
      </c>
      <c r="S201" s="48" t="s">
        <v>1649</v>
      </c>
      <c r="T201" s="48" t="s">
        <v>3594</v>
      </c>
    </row>
    <row r="202" spans="1:20" ht="13.5" thickBot="1" x14ac:dyDescent="0.25">
      <c r="A202" s="48" t="s">
        <v>634</v>
      </c>
      <c r="B202" s="224" t="s">
        <v>633</v>
      </c>
      <c r="C202" s="48" t="s">
        <v>25</v>
      </c>
      <c r="D202" s="87" t="s">
        <v>3529</v>
      </c>
      <c r="E202" s="208">
        <v>64854</v>
      </c>
      <c r="F202" s="208">
        <v>66934</v>
      </c>
      <c r="G202" s="244">
        <v>38</v>
      </c>
      <c r="H202" s="48" t="s">
        <v>1648</v>
      </c>
      <c r="I202" s="48" t="s">
        <v>1648</v>
      </c>
      <c r="J202" s="48" t="s">
        <v>1648</v>
      </c>
      <c r="K202" s="48" t="s">
        <v>1648</v>
      </c>
      <c r="L202" s="48" t="s">
        <v>1649</v>
      </c>
      <c r="M202" s="48" t="s">
        <v>1648</v>
      </c>
      <c r="N202" s="48" t="s">
        <v>1648</v>
      </c>
      <c r="O202" s="48" t="s">
        <v>1649</v>
      </c>
      <c r="P202" s="48" t="s">
        <v>1648</v>
      </c>
      <c r="Q202" s="48" t="s">
        <v>1648</v>
      </c>
      <c r="R202" s="48" t="s">
        <v>1649</v>
      </c>
      <c r="S202" s="48" t="s">
        <v>1648</v>
      </c>
      <c r="T202" s="48"/>
    </row>
    <row r="203" spans="1:20" ht="13.5" thickBot="1" x14ac:dyDescent="0.25">
      <c r="A203" s="48" t="s">
        <v>650</v>
      </c>
      <c r="B203" s="224" t="s">
        <v>649</v>
      </c>
      <c r="C203" s="48" t="s">
        <v>25</v>
      </c>
      <c r="D203" s="87" t="s">
        <v>3529</v>
      </c>
      <c r="E203" s="208">
        <v>54000</v>
      </c>
      <c r="F203" s="208">
        <v>64000</v>
      </c>
      <c r="G203" s="244">
        <v>40</v>
      </c>
      <c r="H203" s="48" t="s">
        <v>1648</v>
      </c>
      <c r="I203" s="48" t="s">
        <v>1648</v>
      </c>
      <c r="J203" s="48" t="s">
        <v>1648</v>
      </c>
      <c r="K203" s="48" t="s">
        <v>1648</v>
      </c>
      <c r="L203" s="48" t="s">
        <v>1649</v>
      </c>
      <c r="M203" s="48" t="s">
        <v>1648</v>
      </c>
      <c r="N203" s="48" t="s">
        <v>1648</v>
      </c>
      <c r="O203" s="48" t="s">
        <v>1648</v>
      </c>
      <c r="P203" s="48" t="s">
        <v>1648</v>
      </c>
      <c r="Q203" s="48" t="s">
        <v>1649</v>
      </c>
      <c r="R203" s="48" t="s">
        <v>1648</v>
      </c>
      <c r="S203" s="48" t="s">
        <v>1649</v>
      </c>
      <c r="T203" s="48" t="s">
        <v>3599</v>
      </c>
    </row>
    <row r="204" spans="1:20" ht="13.5" thickBot="1" x14ac:dyDescent="0.25">
      <c r="A204" s="48" t="s">
        <v>652</v>
      </c>
      <c r="B204" s="224" t="s">
        <v>651</v>
      </c>
      <c r="C204" s="48" t="s">
        <v>25</v>
      </c>
      <c r="D204" s="87" t="s">
        <v>1812</v>
      </c>
      <c r="E204" s="208">
        <v>54224</v>
      </c>
      <c r="F204" s="208">
        <v>54224</v>
      </c>
      <c r="G204" s="244">
        <v>45</v>
      </c>
      <c r="H204" s="48" t="s">
        <v>1649</v>
      </c>
      <c r="I204" s="48" t="s">
        <v>1649</v>
      </c>
      <c r="J204" s="48" t="s">
        <v>1649</v>
      </c>
      <c r="K204" s="48" t="s">
        <v>1649</v>
      </c>
      <c r="L204" s="48" t="s">
        <v>1649</v>
      </c>
      <c r="M204" s="48" t="s">
        <v>1649</v>
      </c>
      <c r="N204" s="48" t="s">
        <v>1648</v>
      </c>
      <c r="O204" s="48" t="s">
        <v>1648</v>
      </c>
      <c r="P204" s="48" t="s">
        <v>1648</v>
      </c>
      <c r="Q204" s="48" t="s">
        <v>1649</v>
      </c>
      <c r="R204" s="48" t="s">
        <v>1649</v>
      </c>
      <c r="S204" s="48" t="s">
        <v>1649</v>
      </c>
      <c r="T204" s="48"/>
    </row>
    <row r="205" spans="1:20" ht="13.5" thickBot="1" x14ac:dyDescent="0.25">
      <c r="A205" s="48" t="s">
        <v>660</v>
      </c>
      <c r="B205" s="224" t="s">
        <v>659</v>
      </c>
      <c r="C205" s="48" t="s">
        <v>25</v>
      </c>
      <c r="D205" s="87" t="s">
        <v>3533</v>
      </c>
      <c r="E205" s="208">
        <v>24359</v>
      </c>
      <c r="F205" s="208">
        <v>38794</v>
      </c>
      <c r="G205" s="244">
        <v>27</v>
      </c>
      <c r="H205" s="48" t="s">
        <v>1649</v>
      </c>
      <c r="I205" s="48" t="s">
        <v>1649</v>
      </c>
      <c r="J205" s="48" t="s">
        <v>1649</v>
      </c>
      <c r="K205" s="48" t="s">
        <v>1649</v>
      </c>
      <c r="L205" s="48" t="s">
        <v>1649</v>
      </c>
      <c r="M205" s="48" t="s">
        <v>1649</v>
      </c>
      <c r="N205" s="48" t="s">
        <v>1648</v>
      </c>
      <c r="O205" s="48" t="s">
        <v>1649</v>
      </c>
      <c r="P205" s="48" t="s">
        <v>1648</v>
      </c>
      <c r="Q205" s="48" t="s">
        <v>1649</v>
      </c>
      <c r="R205" s="48" t="s">
        <v>1649</v>
      </c>
      <c r="S205" s="48" t="s">
        <v>1649</v>
      </c>
      <c r="T205" s="48"/>
    </row>
    <row r="206" spans="1:20" ht="13.5" thickBot="1" x14ac:dyDescent="0.25">
      <c r="A206" s="48" t="s">
        <v>666</v>
      </c>
      <c r="B206" s="224" t="s">
        <v>665</v>
      </c>
      <c r="C206" s="48" t="s">
        <v>25</v>
      </c>
      <c r="D206" s="87" t="s">
        <v>1812</v>
      </c>
      <c r="E206" s="208">
        <v>50000</v>
      </c>
      <c r="F206" s="208">
        <v>52000</v>
      </c>
      <c r="G206" s="244">
        <v>40</v>
      </c>
      <c r="H206" s="48" t="s">
        <v>1649</v>
      </c>
      <c r="I206" s="48" t="s">
        <v>1649</v>
      </c>
      <c r="J206" s="48" t="s">
        <v>1649</v>
      </c>
      <c r="K206" s="48" t="s">
        <v>1649</v>
      </c>
      <c r="L206" s="48" t="s">
        <v>1648</v>
      </c>
      <c r="M206" s="48" t="s">
        <v>1648</v>
      </c>
      <c r="N206" s="48" t="s">
        <v>1648</v>
      </c>
      <c r="O206" s="48" t="s">
        <v>1648</v>
      </c>
      <c r="P206" s="48" t="s">
        <v>1648</v>
      </c>
      <c r="Q206" s="48" t="s">
        <v>1649</v>
      </c>
      <c r="R206" s="48" t="s">
        <v>1649</v>
      </c>
      <c r="S206" s="48" t="s">
        <v>1649</v>
      </c>
      <c r="T206" s="48" t="s">
        <v>3602</v>
      </c>
    </row>
    <row r="207" spans="1:20" ht="13.5" thickBot="1" x14ac:dyDescent="0.25">
      <c r="A207" s="48" t="s">
        <v>670</v>
      </c>
      <c r="B207" s="224" t="s">
        <v>669</v>
      </c>
      <c r="C207" s="48" t="s">
        <v>25</v>
      </c>
      <c r="D207" s="87" t="s">
        <v>1812</v>
      </c>
      <c r="E207" s="208">
        <v>38000</v>
      </c>
      <c r="F207" s="208">
        <v>55000</v>
      </c>
      <c r="G207" s="244">
        <v>40</v>
      </c>
      <c r="H207" s="48" t="s">
        <v>1648</v>
      </c>
      <c r="I207" s="48" t="s">
        <v>1648</v>
      </c>
      <c r="J207" s="48" t="s">
        <v>1649</v>
      </c>
      <c r="K207" s="48" t="s">
        <v>1649</v>
      </c>
      <c r="L207" s="48" t="s">
        <v>1649</v>
      </c>
      <c r="M207" s="48" t="s">
        <v>1649</v>
      </c>
      <c r="N207" s="48" t="s">
        <v>1648</v>
      </c>
      <c r="O207" s="48" t="s">
        <v>1648</v>
      </c>
      <c r="P207" s="48" t="s">
        <v>1648</v>
      </c>
      <c r="Q207" s="48" t="s">
        <v>1649</v>
      </c>
      <c r="R207" s="48" t="s">
        <v>1649</v>
      </c>
      <c r="S207" s="48" t="s">
        <v>1649</v>
      </c>
      <c r="T207" s="48"/>
    </row>
    <row r="208" spans="1:20" ht="13.5" thickBot="1" x14ac:dyDescent="0.25">
      <c r="A208" s="48" t="s">
        <v>676</v>
      </c>
      <c r="B208" s="224" t="s">
        <v>675</v>
      </c>
      <c r="C208" s="48" t="s">
        <v>25</v>
      </c>
      <c r="D208" s="87" t="s">
        <v>1812</v>
      </c>
      <c r="E208" s="208">
        <v>49920</v>
      </c>
      <c r="F208" s="208">
        <v>49920</v>
      </c>
      <c r="G208" s="244">
        <v>40</v>
      </c>
      <c r="H208" s="48" t="s">
        <v>1648</v>
      </c>
      <c r="I208" s="48" t="s">
        <v>1648</v>
      </c>
      <c r="J208" s="48" t="s">
        <v>1649</v>
      </c>
      <c r="K208" s="48" t="s">
        <v>1649</v>
      </c>
      <c r="L208" s="48" t="s">
        <v>1648</v>
      </c>
      <c r="M208" s="48" t="s">
        <v>1649</v>
      </c>
      <c r="N208" s="48" t="s">
        <v>1649</v>
      </c>
      <c r="O208" s="48" t="s">
        <v>1648</v>
      </c>
      <c r="P208" s="48" t="s">
        <v>1648</v>
      </c>
      <c r="Q208" s="48" t="s">
        <v>1649</v>
      </c>
      <c r="R208" s="48" t="s">
        <v>1649</v>
      </c>
      <c r="S208" s="48" t="s">
        <v>1648</v>
      </c>
      <c r="T208" s="48"/>
    </row>
    <row r="209" spans="1:20" ht="13.5" thickBot="1" x14ac:dyDescent="0.25">
      <c r="A209" s="48" t="s">
        <v>682</v>
      </c>
      <c r="B209" s="224" t="s">
        <v>681</v>
      </c>
      <c r="C209" s="48" t="s">
        <v>25</v>
      </c>
      <c r="D209" s="87" t="s">
        <v>1812</v>
      </c>
      <c r="E209" s="208">
        <v>35000</v>
      </c>
      <c r="F209" s="208">
        <v>38000</v>
      </c>
      <c r="G209" s="244">
        <v>35</v>
      </c>
      <c r="H209" s="48" t="s">
        <v>1648</v>
      </c>
      <c r="I209" s="48" t="s">
        <v>1649</v>
      </c>
      <c r="J209" s="48" t="s">
        <v>1648</v>
      </c>
      <c r="K209" s="48" t="s">
        <v>1649</v>
      </c>
      <c r="L209" s="48" t="s">
        <v>1649</v>
      </c>
      <c r="M209" s="48" t="s">
        <v>1648</v>
      </c>
      <c r="N209" s="48" t="s">
        <v>1648</v>
      </c>
      <c r="O209" s="48" t="s">
        <v>1648</v>
      </c>
      <c r="P209" s="48" t="s">
        <v>1648</v>
      </c>
      <c r="Q209" s="48" t="s">
        <v>1648</v>
      </c>
      <c r="R209" s="48" t="s">
        <v>1649</v>
      </c>
      <c r="S209" s="48" t="s">
        <v>1648</v>
      </c>
      <c r="T209" s="48"/>
    </row>
    <row r="210" spans="1:20" ht="13.5" thickBot="1" x14ac:dyDescent="0.25">
      <c r="A210" s="48" t="s">
        <v>694</v>
      </c>
      <c r="B210" s="224" t="s">
        <v>693</v>
      </c>
      <c r="C210" s="48" t="s">
        <v>25</v>
      </c>
      <c r="D210" s="87" t="s">
        <v>3529</v>
      </c>
      <c r="E210" s="208">
        <v>42000</v>
      </c>
      <c r="F210" s="208">
        <v>60000</v>
      </c>
      <c r="G210" s="244">
        <v>40</v>
      </c>
      <c r="H210" s="48" t="s">
        <v>1648</v>
      </c>
      <c r="I210" s="48" t="s">
        <v>1649</v>
      </c>
      <c r="J210" s="48" t="s">
        <v>1649</v>
      </c>
      <c r="K210" s="48" t="s">
        <v>1648</v>
      </c>
      <c r="L210" s="48" t="s">
        <v>1648</v>
      </c>
      <c r="M210" s="48" t="s">
        <v>1648</v>
      </c>
      <c r="N210" s="48" t="s">
        <v>1648</v>
      </c>
      <c r="O210" s="48" t="s">
        <v>1649</v>
      </c>
      <c r="P210" s="48" t="s">
        <v>1648</v>
      </c>
      <c r="Q210" s="48" t="s">
        <v>1649</v>
      </c>
      <c r="R210" s="48" t="s">
        <v>1648</v>
      </c>
      <c r="S210" s="48" t="s">
        <v>1649</v>
      </c>
      <c r="T210" s="48"/>
    </row>
    <row r="211" spans="1:20" ht="13.5" thickBot="1" x14ac:dyDescent="0.25">
      <c r="A211" s="48" t="s">
        <v>700</v>
      </c>
      <c r="B211" s="224" t="s">
        <v>699</v>
      </c>
      <c r="C211" s="48" t="s">
        <v>25</v>
      </c>
      <c r="D211" s="87" t="s">
        <v>1812</v>
      </c>
      <c r="E211" s="208">
        <v>36000</v>
      </c>
      <c r="F211" s="208">
        <v>42000</v>
      </c>
      <c r="G211" s="244">
        <v>35</v>
      </c>
      <c r="H211" s="48" t="s">
        <v>1649</v>
      </c>
      <c r="I211" s="48" t="s">
        <v>1649</v>
      </c>
      <c r="J211" s="48" t="s">
        <v>1649</v>
      </c>
      <c r="K211" s="48" t="s">
        <v>1649</v>
      </c>
      <c r="L211" s="48" t="s">
        <v>1649</v>
      </c>
      <c r="M211" s="48" t="s">
        <v>1648</v>
      </c>
      <c r="N211" s="48" t="s">
        <v>1648</v>
      </c>
      <c r="O211" s="48" t="s">
        <v>1648</v>
      </c>
      <c r="P211" s="48" t="s">
        <v>1648</v>
      </c>
      <c r="Q211" s="48" t="s">
        <v>1649</v>
      </c>
      <c r="R211" s="48" t="s">
        <v>1649</v>
      </c>
      <c r="S211" s="48" t="s">
        <v>1649</v>
      </c>
      <c r="T211" s="48"/>
    </row>
    <row r="212" spans="1:20" ht="13.5" thickBot="1" x14ac:dyDescent="0.25">
      <c r="A212" s="48" t="s">
        <v>702</v>
      </c>
      <c r="B212" s="224" t="s">
        <v>701</v>
      </c>
      <c r="C212" s="48" t="s">
        <v>25</v>
      </c>
      <c r="D212" s="87" t="s">
        <v>3529</v>
      </c>
      <c r="E212" s="208">
        <v>59238</v>
      </c>
      <c r="F212" s="208">
        <v>59238</v>
      </c>
      <c r="G212" s="87" t="s">
        <v>1660</v>
      </c>
      <c r="H212" s="48" t="s">
        <v>1648</v>
      </c>
      <c r="I212" s="48" t="s">
        <v>1648</v>
      </c>
      <c r="J212" s="48" t="s">
        <v>1648</v>
      </c>
      <c r="K212" s="48" t="s">
        <v>1648</v>
      </c>
      <c r="L212" s="48" t="s">
        <v>1648</v>
      </c>
      <c r="M212" s="48" t="s">
        <v>1648</v>
      </c>
      <c r="N212" s="48" t="s">
        <v>1648</v>
      </c>
      <c r="O212" s="48" t="s">
        <v>1648</v>
      </c>
      <c r="P212" s="48" t="s">
        <v>1648</v>
      </c>
      <c r="Q212" s="48" t="s">
        <v>1648</v>
      </c>
      <c r="R212" s="48" t="s">
        <v>1649</v>
      </c>
      <c r="S212" s="48" t="s">
        <v>1648</v>
      </c>
      <c r="T212" s="48"/>
    </row>
    <row r="213" spans="1:20" ht="13.5" thickBot="1" x14ac:dyDescent="0.25">
      <c r="A213" s="48" t="s">
        <v>718</v>
      </c>
      <c r="B213" s="224" t="s">
        <v>717</v>
      </c>
      <c r="C213" s="48" t="s">
        <v>25</v>
      </c>
      <c r="D213" s="87" t="s">
        <v>3529</v>
      </c>
      <c r="E213" s="208">
        <v>30000</v>
      </c>
      <c r="F213" s="208">
        <v>50000</v>
      </c>
      <c r="G213" s="244">
        <v>40</v>
      </c>
      <c r="H213" s="48" t="s">
        <v>1649</v>
      </c>
      <c r="I213" s="48" t="s">
        <v>1649</v>
      </c>
      <c r="J213" s="48" t="s">
        <v>1649</v>
      </c>
      <c r="K213" s="48" t="s">
        <v>1649</v>
      </c>
      <c r="L213" s="48" t="s">
        <v>1649</v>
      </c>
      <c r="M213" s="48" t="s">
        <v>1648</v>
      </c>
      <c r="N213" s="48" t="s">
        <v>1648</v>
      </c>
      <c r="O213" s="48" t="s">
        <v>1648</v>
      </c>
      <c r="P213" s="48" t="s">
        <v>1648</v>
      </c>
      <c r="Q213" s="48" t="s">
        <v>1649</v>
      </c>
      <c r="R213" s="48" t="s">
        <v>1649</v>
      </c>
      <c r="S213" s="48" t="s">
        <v>1649</v>
      </c>
      <c r="T213" s="48"/>
    </row>
    <row r="214" spans="1:20" ht="13.5" thickBot="1" x14ac:dyDescent="0.25">
      <c r="A214" s="48" t="s">
        <v>722</v>
      </c>
      <c r="B214" s="224" t="s">
        <v>721</v>
      </c>
      <c r="C214" s="48" t="s">
        <v>25</v>
      </c>
      <c r="D214" s="87" t="s">
        <v>1812</v>
      </c>
      <c r="E214" s="208">
        <v>35568</v>
      </c>
      <c r="F214" s="208">
        <v>49000</v>
      </c>
      <c r="G214" s="244">
        <v>40</v>
      </c>
      <c r="H214" s="48" t="s">
        <v>1649</v>
      </c>
      <c r="I214" s="48" t="s">
        <v>1649</v>
      </c>
      <c r="J214" s="48" t="s">
        <v>1649</v>
      </c>
      <c r="K214" s="48" t="s">
        <v>1649</v>
      </c>
      <c r="L214" s="48" t="s">
        <v>1649</v>
      </c>
      <c r="M214" s="48" t="s">
        <v>1649</v>
      </c>
      <c r="N214" s="48" t="s">
        <v>1649</v>
      </c>
      <c r="O214" s="48" t="s">
        <v>1648</v>
      </c>
      <c r="P214" s="48" t="s">
        <v>1648</v>
      </c>
      <c r="Q214" s="48" t="s">
        <v>1649</v>
      </c>
      <c r="R214" s="48" t="s">
        <v>1649</v>
      </c>
      <c r="S214" s="48" t="s">
        <v>1649</v>
      </c>
      <c r="T214" s="48"/>
    </row>
    <row r="215" spans="1:20" ht="13.5" thickBot="1" x14ac:dyDescent="0.25">
      <c r="A215" s="48" t="s">
        <v>724</v>
      </c>
      <c r="B215" s="224" t="s">
        <v>723</v>
      </c>
      <c r="C215" s="48" t="s">
        <v>25</v>
      </c>
      <c r="D215" s="87" t="s">
        <v>3530</v>
      </c>
      <c r="E215" s="208">
        <v>50000</v>
      </c>
      <c r="F215" s="208">
        <v>55000</v>
      </c>
      <c r="G215" s="244">
        <v>40</v>
      </c>
      <c r="H215" s="48" t="s">
        <v>1649</v>
      </c>
      <c r="I215" s="48" t="s">
        <v>1649</v>
      </c>
      <c r="J215" s="48" t="s">
        <v>1649</v>
      </c>
      <c r="K215" s="48" t="s">
        <v>1649</v>
      </c>
      <c r="L215" s="48" t="s">
        <v>1649</v>
      </c>
      <c r="M215" s="48" t="s">
        <v>1648</v>
      </c>
      <c r="N215" s="48" t="s">
        <v>1648</v>
      </c>
      <c r="O215" s="48" t="s">
        <v>1649</v>
      </c>
      <c r="P215" s="48" t="s">
        <v>1648</v>
      </c>
      <c r="Q215" s="48" t="s">
        <v>1649</v>
      </c>
      <c r="R215" s="48" t="s">
        <v>1649</v>
      </c>
      <c r="S215" s="48" t="s">
        <v>1649</v>
      </c>
      <c r="T215" s="48"/>
    </row>
    <row r="216" spans="1:20" ht="13.5" thickBot="1" x14ac:dyDescent="0.25">
      <c r="A216" s="48" t="s">
        <v>734</v>
      </c>
      <c r="B216" s="224" t="s">
        <v>733</v>
      </c>
      <c r="C216" s="48" t="s">
        <v>25</v>
      </c>
      <c r="D216" s="87" t="s">
        <v>3529</v>
      </c>
      <c r="E216" s="208">
        <v>51707</v>
      </c>
      <c r="F216" s="208">
        <v>51707</v>
      </c>
      <c r="G216" s="244">
        <v>40</v>
      </c>
      <c r="H216" s="48" t="s">
        <v>1648</v>
      </c>
      <c r="I216" s="48" t="s">
        <v>1648</v>
      </c>
      <c r="J216" s="48" t="s">
        <v>1649</v>
      </c>
      <c r="K216" s="48" t="s">
        <v>1648</v>
      </c>
      <c r="L216" s="48" t="s">
        <v>1649</v>
      </c>
      <c r="M216" s="48" t="s">
        <v>1648</v>
      </c>
      <c r="N216" s="48" t="s">
        <v>1648</v>
      </c>
      <c r="O216" s="48" t="s">
        <v>1648</v>
      </c>
      <c r="P216" s="48" t="s">
        <v>1648</v>
      </c>
      <c r="Q216" s="48" t="s">
        <v>1649</v>
      </c>
      <c r="R216" s="48" t="s">
        <v>1648</v>
      </c>
      <c r="S216" s="48" t="s">
        <v>1649</v>
      </c>
      <c r="T216" s="48"/>
    </row>
    <row r="217" spans="1:20" ht="13.5" thickBot="1" x14ac:dyDescent="0.25">
      <c r="A217" s="48" t="s">
        <v>738</v>
      </c>
      <c r="B217" s="224" t="s">
        <v>737</v>
      </c>
      <c r="C217" s="48" t="s">
        <v>25</v>
      </c>
      <c r="D217" s="87" t="s">
        <v>1812</v>
      </c>
      <c r="E217" s="87" t="s">
        <v>1660</v>
      </c>
      <c r="F217" s="208">
        <v>69577</v>
      </c>
      <c r="G217" s="244">
        <v>40</v>
      </c>
      <c r="H217" s="48" t="s">
        <v>1648</v>
      </c>
      <c r="I217" s="48" t="s">
        <v>1648</v>
      </c>
      <c r="J217" s="48" t="s">
        <v>1648</v>
      </c>
      <c r="K217" s="48" t="s">
        <v>1649</v>
      </c>
      <c r="L217" s="48" t="s">
        <v>1649</v>
      </c>
      <c r="M217" s="48" t="s">
        <v>1648</v>
      </c>
      <c r="N217" s="48" t="s">
        <v>1648</v>
      </c>
      <c r="O217" s="48" t="s">
        <v>1649</v>
      </c>
      <c r="P217" s="48" t="s">
        <v>1648</v>
      </c>
      <c r="Q217" s="48" t="s">
        <v>1648</v>
      </c>
      <c r="R217" s="48" t="s">
        <v>1648</v>
      </c>
      <c r="S217" s="48" t="s">
        <v>1649</v>
      </c>
      <c r="T217" s="48"/>
    </row>
    <row r="218" spans="1:20" ht="13.5" thickBot="1" x14ac:dyDescent="0.25">
      <c r="A218" s="48" t="s">
        <v>740</v>
      </c>
      <c r="B218" s="224" t="s">
        <v>739</v>
      </c>
      <c r="C218" s="48" t="s">
        <v>25</v>
      </c>
      <c r="D218" s="87" t="s">
        <v>1812</v>
      </c>
      <c r="E218" s="208">
        <v>37450</v>
      </c>
      <c r="F218" s="208">
        <v>37450</v>
      </c>
      <c r="G218" s="244">
        <v>40</v>
      </c>
      <c r="H218" s="48" t="s">
        <v>1648</v>
      </c>
      <c r="I218" s="48" t="s">
        <v>1648</v>
      </c>
      <c r="J218" s="48" t="s">
        <v>1648</v>
      </c>
      <c r="K218" s="48" t="s">
        <v>1648</v>
      </c>
      <c r="L218" s="48" t="s">
        <v>1649</v>
      </c>
      <c r="M218" s="48" t="s">
        <v>1648</v>
      </c>
      <c r="N218" s="48" t="s">
        <v>1648</v>
      </c>
      <c r="O218" s="48" t="s">
        <v>1648</v>
      </c>
      <c r="P218" s="48" t="s">
        <v>1648</v>
      </c>
      <c r="Q218" s="48" t="s">
        <v>1648</v>
      </c>
      <c r="R218" s="48" t="s">
        <v>1648</v>
      </c>
      <c r="S218" s="48" t="s">
        <v>1649</v>
      </c>
      <c r="T218" s="48"/>
    </row>
    <row r="219" spans="1:20" ht="13.5" thickBot="1" x14ac:dyDescent="0.25">
      <c r="A219" s="48" t="s">
        <v>748</v>
      </c>
      <c r="B219" s="224" t="s">
        <v>747</v>
      </c>
      <c r="C219" s="48" t="s">
        <v>25</v>
      </c>
      <c r="D219" s="87" t="s">
        <v>1812</v>
      </c>
      <c r="E219" s="208">
        <v>50466</v>
      </c>
      <c r="F219" s="208">
        <v>50466</v>
      </c>
      <c r="G219" s="244">
        <v>40</v>
      </c>
      <c r="H219" s="48" t="s">
        <v>1648</v>
      </c>
      <c r="I219" s="48" t="s">
        <v>1648</v>
      </c>
      <c r="J219" s="48" t="s">
        <v>1648</v>
      </c>
      <c r="K219" s="48" t="s">
        <v>1649</v>
      </c>
      <c r="L219" s="48" t="s">
        <v>1649</v>
      </c>
      <c r="M219" s="48" t="s">
        <v>1648</v>
      </c>
      <c r="N219" s="48" t="s">
        <v>1648</v>
      </c>
      <c r="O219" s="48" t="s">
        <v>1648</v>
      </c>
      <c r="P219" s="48" t="s">
        <v>1648</v>
      </c>
      <c r="Q219" s="48" t="s">
        <v>1649</v>
      </c>
      <c r="R219" s="48" t="s">
        <v>1649</v>
      </c>
      <c r="S219" s="48" t="s">
        <v>1649</v>
      </c>
      <c r="T219" s="48"/>
    </row>
    <row r="220" spans="1:20" ht="13.5" thickBot="1" x14ac:dyDescent="0.25">
      <c r="A220" s="48" t="s">
        <v>776</v>
      </c>
      <c r="B220" s="224" t="s">
        <v>775</v>
      </c>
      <c r="C220" s="48" t="s">
        <v>25</v>
      </c>
      <c r="D220" s="87" t="s">
        <v>3533</v>
      </c>
      <c r="E220" s="208">
        <v>26000</v>
      </c>
      <c r="F220" s="208">
        <v>28500</v>
      </c>
      <c r="G220" s="244">
        <v>37</v>
      </c>
      <c r="H220" s="48" t="s">
        <v>1649</v>
      </c>
      <c r="I220" s="48" t="s">
        <v>1649</v>
      </c>
      <c r="J220" s="48" t="s">
        <v>1649</v>
      </c>
      <c r="K220" s="48" t="s">
        <v>1648</v>
      </c>
      <c r="L220" s="48" t="s">
        <v>1648</v>
      </c>
      <c r="M220" s="48" t="s">
        <v>1648</v>
      </c>
      <c r="N220" s="48" t="s">
        <v>1648</v>
      </c>
      <c r="O220" s="48" t="s">
        <v>1649</v>
      </c>
      <c r="P220" s="48" t="s">
        <v>1649</v>
      </c>
      <c r="Q220" s="48" t="s">
        <v>1649</v>
      </c>
      <c r="R220" s="48" t="s">
        <v>1649</v>
      </c>
      <c r="S220" s="48" t="s">
        <v>1649</v>
      </c>
      <c r="T220" s="48"/>
    </row>
    <row r="221" spans="1:20" ht="13.5" thickBot="1" x14ac:dyDescent="0.25">
      <c r="A221" s="48" t="s">
        <v>790</v>
      </c>
      <c r="B221" s="224" t="s">
        <v>789</v>
      </c>
      <c r="C221" s="48" t="s">
        <v>25</v>
      </c>
      <c r="D221" s="87" t="s">
        <v>3529</v>
      </c>
      <c r="E221" s="208">
        <v>43500</v>
      </c>
      <c r="F221" s="208">
        <v>45000</v>
      </c>
      <c r="G221" s="244">
        <v>40</v>
      </c>
      <c r="H221" s="48" t="s">
        <v>1648</v>
      </c>
      <c r="I221" s="48" t="s">
        <v>1649</v>
      </c>
      <c r="J221" s="48" t="s">
        <v>1649</v>
      </c>
      <c r="K221" s="48" t="s">
        <v>1648</v>
      </c>
      <c r="L221" s="48" t="s">
        <v>1648</v>
      </c>
      <c r="M221" s="48" t="s">
        <v>1648</v>
      </c>
      <c r="N221" s="48" t="s">
        <v>1648</v>
      </c>
      <c r="O221" s="48" t="s">
        <v>1648</v>
      </c>
      <c r="P221" s="48" t="s">
        <v>1648</v>
      </c>
      <c r="Q221" s="48" t="s">
        <v>1648</v>
      </c>
      <c r="R221" s="48" t="s">
        <v>1649</v>
      </c>
      <c r="S221" s="48" t="s">
        <v>1649</v>
      </c>
      <c r="T221" s="48"/>
    </row>
    <row r="222" spans="1:20" ht="13.5" thickBot="1" x14ac:dyDescent="0.25">
      <c r="A222" s="48" t="s">
        <v>792</v>
      </c>
      <c r="B222" s="224" t="s">
        <v>791</v>
      </c>
      <c r="C222" s="48" t="s">
        <v>25</v>
      </c>
      <c r="D222" s="87" t="s">
        <v>1812</v>
      </c>
      <c r="E222" s="208">
        <v>30000</v>
      </c>
      <c r="F222" s="208">
        <v>55000</v>
      </c>
      <c r="G222" s="244">
        <v>40</v>
      </c>
      <c r="H222" s="48" t="s">
        <v>1648</v>
      </c>
      <c r="I222" s="48" t="s">
        <v>1648</v>
      </c>
      <c r="J222" s="48" t="s">
        <v>1648</v>
      </c>
      <c r="K222" s="48" t="s">
        <v>1649</v>
      </c>
      <c r="L222" s="48" t="s">
        <v>1649</v>
      </c>
      <c r="M222" s="48" t="s">
        <v>1648</v>
      </c>
      <c r="N222" s="48" t="s">
        <v>1648</v>
      </c>
      <c r="O222" s="48" t="s">
        <v>1648</v>
      </c>
      <c r="P222" s="48" t="s">
        <v>1648</v>
      </c>
      <c r="Q222" s="48" t="s">
        <v>1649</v>
      </c>
      <c r="R222" s="48" t="s">
        <v>1649</v>
      </c>
      <c r="S222" s="48" t="s">
        <v>1649</v>
      </c>
      <c r="T222" s="48"/>
    </row>
    <row r="223" spans="1:20" ht="13.5" thickBot="1" x14ac:dyDescent="0.25">
      <c r="A223" s="48" t="s">
        <v>796</v>
      </c>
      <c r="B223" s="224" t="s">
        <v>795</v>
      </c>
      <c r="C223" s="48" t="s">
        <v>25</v>
      </c>
      <c r="D223" s="87" t="s">
        <v>3533</v>
      </c>
      <c r="E223" s="208">
        <v>48500</v>
      </c>
      <c r="F223" s="208">
        <v>55899</v>
      </c>
      <c r="G223" s="244">
        <v>38</v>
      </c>
      <c r="H223" s="48" t="s">
        <v>1649</v>
      </c>
      <c r="I223" s="48" t="s">
        <v>1649</v>
      </c>
      <c r="J223" s="48" t="s">
        <v>1649</v>
      </c>
      <c r="K223" s="48" t="s">
        <v>1648</v>
      </c>
      <c r="L223" s="48" t="s">
        <v>1648</v>
      </c>
      <c r="M223" s="48" t="s">
        <v>1648</v>
      </c>
      <c r="N223" s="48" t="s">
        <v>1648</v>
      </c>
      <c r="O223" s="48" t="s">
        <v>1648</v>
      </c>
      <c r="P223" s="48" t="s">
        <v>1648</v>
      </c>
      <c r="Q223" s="48" t="s">
        <v>1648</v>
      </c>
      <c r="R223" s="48" t="s">
        <v>1648</v>
      </c>
      <c r="S223" s="48" t="s">
        <v>1649</v>
      </c>
      <c r="T223" s="48" t="s">
        <v>3559</v>
      </c>
    </row>
    <row r="224" spans="1:20" ht="13.5" thickBot="1" x14ac:dyDescent="0.25">
      <c r="A224" s="48" t="s">
        <v>798</v>
      </c>
      <c r="B224" s="224" t="s">
        <v>797</v>
      </c>
      <c r="C224" s="48" t="s">
        <v>25</v>
      </c>
      <c r="D224" s="87" t="s">
        <v>1812</v>
      </c>
      <c r="E224" s="208">
        <v>45000</v>
      </c>
      <c r="F224" s="208">
        <v>55000</v>
      </c>
      <c r="G224" s="244">
        <v>40</v>
      </c>
      <c r="H224" s="48" t="s">
        <v>1649</v>
      </c>
      <c r="I224" s="48" t="s">
        <v>1649</v>
      </c>
      <c r="J224" s="48" t="s">
        <v>1649</v>
      </c>
      <c r="K224" s="48" t="s">
        <v>1649</v>
      </c>
      <c r="L224" s="48" t="s">
        <v>1649</v>
      </c>
      <c r="M224" s="48" t="s">
        <v>1648</v>
      </c>
      <c r="N224" s="48" t="s">
        <v>1648</v>
      </c>
      <c r="O224" s="48" t="s">
        <v>1648</v>
      </c>
      <c r="P224" s="48" t="s">
        <v>1648</v>
      </c>
      <c r="Q224" s="48" t="s">
        <v>1649</v>
      </c>
      <c r="R224" s="48" t="s">
        <v>1649</v>
      </c>
      <c r="S224" s="48" t="s">
        <v>1649</v>
      </c>
      <c r="T224" s="48"/>
    </row>
    <row r="225" spans="1:20" ht="13.5" thickBot="1" x14ac:dyDescent="0.25">
      <c r="A225" s="48" t="s">
        <v>804</v>
      </c>
      <c r="B225" s="224" t="s">
        <v>803</v>
      </c>
      <c r="C225" s="48" t="s">
        <v>25</v>
      </c>
      <c r="D225" s="87" t="s">
        <v>1812</v>
      </c>
      <c r="E225" s="208">
        <v>31512</v>
      </c>
      <c r="F225" s="208">
        <v>31512</v>
      </c>
      <c r="G225" s="244">
        <v>30</v>
      </c>
      <c r="H225" s="48" t="s">
        <v>1649</v>
      </c>
      <c r="I225" s="48" t="s">
        <v>1649</v>
      </c>
      <c r="J225" s="48" t="s">
        <v>1649</v>
      </c>
      <c r="K225" s="48" t="s">
        <v>1649</v>
      </c>
      <c r="L225" s="48" t="s">
        <v>1649</v>
      </c>
      <c r="M225" s="48" t="s">
        <v>1648</v>
      </c>
      <c r="N225" s="48" t="s">
        <v>1648</v>
      </c>
      <c r="O225" s="48" t="s">
        <v>1648</v>
      </c>
      <c r="P225" s="48" t="s">
        <v>1648</v>
      </c>
      <c r="Q225" s="48" t="s">
        <v>1648</v>
      </c>
      <c r="R225" s="48" t="s">
        <v>1649</v>
      </c>
      <c r="S225" s="48" t="s">
        <v>1649</v>
      </c>
      <c r="T225" s="48" t="s">
        <v>3611</v>
      </c>
    </row>
    <row r="226" spans="1:20" ht="13.5" thickBot="1" x14ac:dyDescent="0.25">
      <c r="A226" s="48" t="s">
        <v>19</v>
      </c>
      <c r="B226" s="224" t="s">
        <v>18</v>
      </c>
      <c r="C226" s="48" t="s">
        <v>22</v>
      </c>
      <c r="D226" s="87" t="s">
        <v>3529</v>
      </c>
      <c r="E226" s="208">
        <v>64000</v>
      </c>
      <c r="F226" s="208">
        <v>78000</v>
      </c>
      <c r="G226" s="244">
        <v>40</v>
      </c>
      <c r="H226" s="48" t="s">
        <v>1648</v>
      </c>
      <c r="I226" s="48" t="s">
        <v>1648</v>
      </c>
      <c r="J226" s="48" t="s">
        <v>1648</v>
      </c>
      <c r="K226" s="48" t="s">
        <v>1649</v>
      </c>
      <c r="L226" s="48" t="s">
        <v>1649</v>
      </c>
      <c r="M226" s="48" t="s">
        <v>1648</v>
      </c>
      <c r="N226" s="48" t="s">
        <v>1648</v>
      </c>
      <c r="O226" s="48" t="s">
        <v>1649</v>
      </c>
      <c r="P226" s="48" t="s">
        <v>1648</v>
      </c>
      <c r="Q226" s="48" t="s">
        <v>1648</v>
      </c>
      <c r="R226" s="48" t="s">
        <v>1649</v>
      </c>
      <c r="S226" s="48" t="s">
        <v>1649</v>
      </c>
      <c r="T226" s="48"/>
    </row>
    <row r="227" spans="1:20" ht="13.5" thickBot="1" x14ac:dyDescent="0.25">
      <c r="A227" s="48" t="s">
        <v>36</v>
      </c>
      <c r="B227" s="224" t="s">
        <v>35</v>
      </c>
      <c r="C227" s="48" t="s">
        <v>22</v>
      </c>
      <c r="D227" s="87" t="s">
        <v>3529</v>
      </c>
      <c r="E227" s="208">
        <v>60000</v>
      </c>
      <c r="F227" s="208">
        <v>70000</v>
      </c>
      <c r="G227" s="244">
        <v>40</v>
      </c>
      <c r="H227" s="48" t="s">
        <v>1648</v>
      </c>
      <c r="I227" s="48" t="s">
        <v>1649</v>
      </c>
      <c r="J227" s="48" t="s">
        <v>1649</v>
      </c>
      <c r="K227" s="48" t="s">
        <v>1648</v>
      </c>
      <c r="L227" s="48" t="s">
        <v>1649</v>
      </c>
      <c r="M227" s="48" t="s">
        <v>1648</v>
      </c>
      <c r="N227" s="48" t="s">
        <v>1648</v>
      </c>
      <c r="O227" s="48" t="s">
        <v>1648</v>
      </c>
      <c r="P227" s="48" t="s">
        <v>1648</v>
      </c>
      <c r="Q227" s="48" t="s">
        <v>1648</v>
      </c>
      <c r="R227" s="48" t="s">
        <v>1648</v>
      </c>
      <c r="S227" s="48" t="s">
        <v>1649</v>
      </c>
      <c r="T227" s="48"/>
    </row>
    <row r="228" spans="1:20" ht="13.5" thickBot="1" x14ac:dyDescent="0.25">
      <c r="A228" s="48" t="s">
        <v>64</v>
      </c>
      <c r="B228" s="224" t="s">
        <v>63</v>
      </c>
      <c r="C228" s="48" t="s">
        <v>22</v>
      </c>
      <c r="D228" s="87" t="s">
        <v>3529</v>
      </c>
      <c r="E228" s="208">
        <v>65000</v>
      </c>
      <c r="F228" s="208">
        <v>80000</v>
      </c>
      <c r="G228" s="244">
        <v>40</v>
      </c>
      <c r="H228" s="48" t="s">
        <v>1648</v>
      </c>
      <c r="I228" s="48" t="s">
        <v>1648</v>
      </c>
      <c r="J228" s="48" t="s">
        <v>1648</v>
      </c>
      <c r="K228" s="48" t="s">
        <v>1648</v>
      </c>
      <c r="L228" s="48" t="s">
        <v>1649</v>
      </c>
      <c r="M228" s="48" t="s">
        <v>1648</v>
      </c>
      <c r="N228" s="48" t="s">
        <v>1648</v>
      </c>
      <c r="O228" s="48" t="s">
        <v>1648</v>
      </c>
      <c r="P228" s="48" t="s">
        <v>1648</v>
      </c>
      <c r="Q228" s="48" t="s">
        <v>1648</v>
      </c>
      <c r="R228" s="48" t="s">
        <v>1648</v>
      </c>
      <c r="S228" s="48" t="s">
        <v>1649</v>
      </c>
      <c r="T228" s="48"/>
    </row>
    <row r="229" spans="1:20" ht="13.5" thickBot="1" x14ac:dyDescent="0.25">
      <c r="A229" s="48" t="s">
        <v>68</v>
      </c>
      <c r="B229" s="224" t="s">
        <v>67</v>
      </c>
      <c r="C229" s="48" t="s">
        <v>22</v>
      </c>
      <c r="D229" s="87" t="s">
        <v>3529</v>
      </c>
      <c r="E229" s="208">
        <v>63300</v>
      </c>
      <c r="F229" s="208">
        <v>63300</v>
      </c>
      <c r="G229" s="244">
        <v>39</v>
      </c>
      <c r="H229" s="48" t="s">
        <v>1648</v>
      </c>
      <c r="I229" s="48" t="s">
        <v>1648</v>
      </c>
      <c r="J229" s="48" t="s">
        <v>1648</v>
      </c>
      <c r="K229" s="48" t="s">
        <v>1648</v>
      </c>
      <c r="L229" s="48" t="s">
        <v>1649</v>
      </c>
      <c r="M229" s="48" t="s">
        <v>1648</v>
      </c>
      <c r="N229" s="48" t="s">
        <v>1648</v>
      </c>
      <c r="O229" s="48" t="s">
        <v>1649</v>
      </c>
      <c r="P229" s="48" t="s">
        <v>1648</v>
      </c>
      <c r="Q229" s="48" t="s">
        <v>1648</v>
      </c>
      <c r="R229" s="48" t="s">
        <v>1648</v>
      </c>
      <c r="S229" s="48" t="s">
        <v>1649</v>
      </c>
      <c r="T229" s="48"/>
    </row>
    <row r="230" spans="1:20" ht="13.5" thickBot="1" x14ac:dyDescent="0.25">
      <c r="A230" s="48" t="s">
        <v>88</v>
      </c>
      <c r="B230" s="224" t="s">
        <v>87</v>
      </c>
      <c r="C230" s="48" t="s">
        <v>22</v>
      </c>
      <c r="D230" s="87" t="s">
        <v>3530</v>
      </c>
      <c r="E230" s="208">
        <v>40000</v>
      </c>
      <c r="F230" s="208">
        <v>40000</v>
      </c>
      <c r="G230" s="244">
        <v>40</v>
      </c>
      <c r="H230" s="48" t="s">
        <v>1649</v>
      </c>
      <c r="I230" s="48" t="s">
        <v>1649</v>
      </c>
      <c r="J230" s="48" t="s">
        <v>1649</v>
      </c>
      <c r="K230" s="48" t="s">
        <v>1648</v>
      </c>
      <c r="L230" s="48" t="s">
        <v>1649</v>
      </c>
      <c r="M230" s="48" t="s">
        <v>1648</v>
      </c>
      <c r="N230" s="48" t="s">
        <v>1648</v>
      </c>
      <c r="O230" s="48" t="s">
        <v>1648</v>
      </c>
      <c r="P230" s="48" t="s">
        <v>1648</v>
      </c>
      <c r="Q230" s="48" t="s">
        <v>1649</v>
      </c>
      <c r="R230" s="48" t="s">
        <v>1649</v>
      </c>
      <c r="S230" s="48" t="s">
        <v>1649</v>
      </c>
      <c r="T230" s="48" t="s">
        <v>3536</v>
      </c>
    </row>
    <row r="231" spans="1:20" ht="13.5" thickBot="1" x14ac:dyDescent="0.25">
      <c r="A231" s="48" t="s">
        <v>94</v>
      </c>
      <c r="B231" s="224" t="s">
        <v>93</v>
      </c>
      <c r="C231" s="48" t="s">
        <v>22</v>
      </c>
      <c r="D231" s="87" t="s">
        <v>3529</v>
      </c>
      <c r="E231" s="208">
        <v>72379</v>
      </c>
      <c r="F231" s="208">
        <v>82774</v>
      </c>
      <c r="G231" s="244">
        <v>40</v>
      </c>
      <c r="H231" s="48" t="s">
        <v>1648</v>
      </c>
      <c r="I231" s="48" t="s">
        <v>1648</v>
      </c>
      <c r="J231" s="48" t="s">
        <v>1648</v>
      </c>
      <c r="K231" s="48" t="s">
        <v>1648</v>
      </c>
      <c r="L231" s="48" t="s">
        <v>1648</v>
      </c>
      <c r="M231" s="48" t="s">
        <v>1648</v>
      </c>
      <c r="N231" s="48" t="s">
        <v>1648</v>
      </c>
      <c r="O231" s="48" t="s">
        <v>1648</v>
      </c>
      <c r="P231" s="48" t="s">
        <v>1648</v>
      </c>
      <c r="Q231" s="48" t="s">
        <v>1648</v>
      </c>
      <c r="R231" s="48" t="s">
        <v>1648</v>
      </c>
      <c r="S231" s="48" t="s">
        <v>1649</v>
      </c>
      <c r="T231" s="48"/>
    </row>
    <row r="232" spans="1:20" ht="13.5" thickBot="1" x14ac:dyDescent="0.25">
      <c r="A232" s="48" t="s">
        <v>104</v>
      </c>
      <c r="B232" s="224" t="s">
        <v>103</v>
      </c>
      <c r="C232" s="48" t="s">
        <v>22</v>
      </c>
      <c r="D232" s="87" t="s">
        <v>3529</v>
      </c>
      <c r="E232" s="87" t="s">
        <v>1660</v>
      </c>
      <c r="F232" s="87" t="s">
        <v>1660</v>
      </c>
      <c r="G232" s="257" t="s">
        <v>1660</v>
      </c>
      <c r="H232" s="48" t="s">
        <v>1648</v>
      </c>
      <c r="I232" s="48" t="s">
        <v>1648</v>
      </c>
      <c r="J232" s="48" t="s">
        <v>1648</v>
      </c>
      <c r="K232" s="48" t="s">
        <v>1648</v>
      </c>
      <c r="L232" s="48" t="s">
        <v>1648</v>
      </c>
      <c r="M232" s="48" t="s">
        <v>1648</v>
      </c>
      <c r="N232" s="48" t="s">
        <v>1648</v>
      </c>
      <c r="O232" s="48" t="s">
        <v>1648</v>
      </c>
      <c r="P232" s="48" t="s">
        <v>1648</v>
      </c>
      <c r="Q232" s="48" t="s">
        <v>1648</v>
      </c>
      <c r="R232" s="48" t="s">
        <v>1648</v>
      </c>
      <c r="S232" s="48" t="s">
        <v>1648</v>
      </c>
      <c r="T232" s="48" t="s">
        <v>3538</v>
      </c>
    </row>
    <row r="233" spans="1:20" ht="13.5" thickBot="1" x14ac:dyDescent="0.25">
      <c r="A233" s="48" t="s">
        <v>116</v>
      </c>
      <c r="B233" s="224" t="s">
        <v>115</v>
      </c>
      <c r="C233" s="48" t="s">
        <v>22</v>
      </c>
      <c r="D233" s="87" t="s">
        <v>3529</v>
      </c>
      <c r="E233" s="208">
        <v>58696</v>
      </c>
      <c r="F233" s="208">
        <v>76585</v>
      </c>
      <c r="G233" s="244">
        <v>40</v>
      </c>
      <c r="H233" s="48" t="s">
        <v>1648</v>
      </c>
      <c r="I233" s="48" t="s">
        <v>1648</v>
      </c>
      <c r="J233" s="48" t="s">
        <v>1648</v>
      </c>
      <c r="K233" s="48" t="s">
        <v>1648</v>
      </c>
      <c r="L233" s="48" t="s">
        <v>1648</v>
      </c>
      <c r="M233" s="48" t="s">
        <v>1648</v>
      </c>
      <c r="N233" s="48" t="s">
        <v>1648</v>
      </c>
      <c r="O233" s="48" t="s">
        <v>1649</v>
      </c>
      <c r="P233" s="48" t="s">
        <v>1648</v>
      </c>
      <c r="Q233" s="48" t="s">
        <v>1648</v>
      </c>
      <c r="R233" s="48" t="s">
        <v>1649</v>
      </c>
      <c r="S233" s="48" t="s">
        <v>1649</v>
      </c>
      <c r="T233" s="48" t="s">
        <v>3542</v>
      </c>
    </row>
    <row r="234" spans="1:20" ht="13.5" thickBot="1" x14ac:dyDescent="0.25">
      <c r="A234" s="48" t="s">
        <v>118</v>
      </c>
      <c r="B234" s="224" t="s">
        <v>117</v>
      </c>
      <c r="C234" s="48" t="s">
        <v>22</v>
      </c>
      <c r="D234" s="87" t="s">
        <v>3529</v>
      </c>
      <c r="E234" s="208">
        <v>45000</v>
      </c>
      <c r="F234" s="208">
        <v>65000</v>
      </c>
      <c r="G234" s="244">
        <v>40</v>
      </c>
      <c r="H234" s="48" t="s">
        <v>1648</v>
      </c>
      <c r="I234" s="48" t="s">
        <v>1648</v>
      </c>
      <c r="J234" s="48" t="s">
        <v>1649</v>
      </c>
      <c r="K234" s="48" t="s">
        <v>1648</v>
      </c>
      <c r="L234" s="48" t="s">
        <v>1648</v>
      </c>
      <c r="M234" s="48" t="s">
        <v>1648</v>
      </c>
      <c r="N234" s="48" t="s">
        <v>1648</v>
      </c>
      <c r="O234" s="48" t="s">
        <v>1648</v>
      </c>
      <c r="P234" s="48" t="s">
        <v>1648</v>
      </c>
      <c r="Q234" s="48" t="s">
        <v>1649</v>
      </c>
      <c r="R234" s="48" t="s">
        <v>1648</v>
      </c>
      <c r="S234" s="48" t="s">
        <v>1648</v>
      </c>
      <c r="T234" s="48"/>
    </row>
    <row r="235" spans="1:20" ht="13.5" thickBot="1" x14ac:dyDescent="0.25">
      <c r="A235" s="48" t="s">
        <v>122</v>
      </c>
      <c r="B235" s="224" t="s">
        <v>121</v>
      </c>
      <c r="C235" s="48" t="s">
        <v>22</v>
      </c>
      <c r="D235" s="87" t="s">
        <v>3529</v>
      </c>
      <c r="E235" s="208">
        <v>70289</v>
      </c>
      <c r="F235" s="208">
        <v>70289</v>
      </c>
      <c r="G235" s="244">
        <v>40</v>
      </c>
      <c r="H235" s="48" t="s">
        <v>1648</v>
      </c>
      <c r="I235" s="48" t="s">
        <v>1648</v>
      </c>
      <c r="J235" s="48" t="s">
        <v>1648</v>
      </c>
      <c r="K235" s="48" t="s">
        <v>1648</v>
      </c>
      <c r="L235" s="48" t="s">
        <v>1649</v>
      </c>
      <c r="M235" s="48" t="s">
        <v>1648</v>
      </c>
      <c r="N235" s="48" t="s">
        <v>1648</v>
      </c>
      <c r="O235" s="48" t="s">
        <v>1648</v>
      </c>
      <c r="P235" s="48" t="s">
        <v>1648</v>
      </c>
      <c r="Q235" s="48" t="s">
        <v>1648</v>
      </c>
      <c r="R235" s="48" t="s">
        <v>1648</v>
      </c>
      <c r="S235" s="48" t="s">
        <v>1648</v>
      </c>
      <c r="T235" s="48"/>
    </row>
    <row r="236" spans="1:20" ht="13.5" thickBot="1" x14ac:dyDescent="0.25">
      <c r="A236" s="48" t="s">
        <v>158</v>
      </c>
      <c r="B236" s="224" t="s">
        <v>157</v>
      </c>
      <c r="C236" s="48" t="s">
        <v>22</v>
      </c>
      <c r="D236" s="87" t="s">
        <v>3530</v>
      </c>
      <c r="E236" s="208">
        <v>60000</v>
      </c>
      <c r="F236" s="208">
        <v>67000</v>
      </c>
      <c r="G236" s="244">
        <v>45</v>
      </c>
      <c r="H236" s="48" t="s">
        <v>1648</v>
      </c>
      <c r="I236" s="48" t="s">
        <v>1649</v>
      </c>
      <c r="J236" s="48" t="s">
        <v>1649</v>
      </c>
      <c r="K236" s="48" t="s">
        <v>1649</v>
      </c>
      <c r="L236" s="48" t="s">
        <v>1649</v>
      </c>
      <c r="M236" s="48" t="s">
        <v>1648</v>
      </c>
      <c r="N236" s="48" t="s">
        <v>1648</v>
      </c>
      <c r="O236" s="48" t="s">
        <v>1648</v>
      </c>
      <c r="P236" s="48" t="s">
        <v>1648</v>
      </c>
      <c r="Q236" s="48" t="s">
        <v>1649</v>
      </c>
      <c r="R236" s="48" t="s">
        <v>1649</v>
      </c>
      <c r="S236" s="48" t="s">
        <v>1649</v>
      </c>
      <c r="T236" s="48"/>
    </row>
    <row r="237" spans="1:20" ht="13.5" thickBot="1" x14ac:dyDescent="0.25">
      <c r="A237" s="48" t="s">
        <v>162</v>
      </c>
      <c r="B237" s="224" t="s">
        <v>161</v>
      </c>
      <c r="C237" s="48" t="s">
        <v>22</v>
      </c>
      <c r="D237" s="87" t="s">
        <v>3529</v>
      </c>
      <c r="E237" s="208">
        <v>55000</v>
      </c>
      <c r="F237" s="208">
        <v>60000</v>
      </c>
      <c r="G237" s="244">
        <v>40</v>
      </c>
      <c r="H237" s="48" t="s">
        <v>1648</v>
      </c>
      <c r="I237" s="48" t="s">
        <v>1648</v>
      </c>
      <c r="J237" s="48" t="s">
        <v>1648</v>
      </c>
      <c r="K237" s="48" t="s">
        <v>1648</v>
      </c>
      <c r="L237" s="48" t="s">
        <v>1648</v>
      </c>
      <c r="M237" s="48" t="s">
        <v>1648</v>
      </c>
      <c r="N237" s="48" t="s">
        <v>1648</v>
      </c>
      <c r="O237" s="48" t="s">
        <v>1648</v>
      </c>
      <c r="P237" s="48" t="s">
        <v>1648</v>
      </c>
      <c r="Q237" s="48" t="s">
        <v>1648</v>
      </c>
      <c r="R237" s="48" t="s">
        <v>1648</v>
      </c>
      <c r="S237" s="48" t="s">
        <v>1648</v>
      </c>
      <c r="T237" s="48"/>
    </row>
    <row r="238" spans="1:20" ht="13.5" thickBot="1" x14ac:dyDescent="0.25">
      <c r="A238" s="48" t="s">
        <v>166</v>
      </c>
      <c r="B238" s="224" t="s">
        <v>165</v>
      </c>
      <c r="C238" s="48" t="s">
        <v>22</v>
      </c>
      <c r="D238" s="87" t="s">
        <v>3529</v>
      </c>
      <c r="E238" s="208">
        <v>45000</v>
      </c>
      <c r="F238" s="208">
        <v>68000</v>
      </c>
      <c r="G238" s="244">
        <v>40</v>
      </c>
      <c r="H238" s="48" t="s">
        <v>1648</v>
      </c>
      <c r="I238" s="48" t="s">
        <v>1648</v>
      </c>
      <c r="J238" s="48" t="s">
        <v>1648</v>
      </c>
      <c r="K238" s="48" t="s">
        <v>1648</v>
      </c>
      <c r="L238" s="48" t="s">
        <v>1648</v>
      </c>
      <c r="M238" s="48" t="s">
        <v>1648</v>
      </c>
      <c r="N238" s="48" t="s">
        <v>1648</v>
      </c>
      <c r="O238" s="48" t="s">
        <v>1649</v>
      </c>
      <c r="P238" s="48" t="s">
        <v>1648</v>
      </c>
      <c r="Q238" s="48" t="s">
        <v>1649</v>
      </c>
      <c r="R238" s="48" t="s">
        <v>1649</v>
      </c>
      <c r="S238" s="48" t="s">
        <v>1648</v>
      </c>
      <c r="T238" s="48"/>
    </row>
    <row r="239" spans="1:20" ht="13.5" thickBot="1" x14ac:dyDescent="0.25">
      <c r="A239" s="48" t="s">
        <v>168</v>
      </c>
      <c r="B239" s="224" t="s">
        <v>167</v>
      </c>
      <c r="C239" s="48" t="s">
        <v>22</v>
      </c>
      <c r="D239" s="87" t="s">
        <v>3529</v>
      </c>
      <c r="E239" s="208">
        <v>64109</v>
      </c>
      <c r="F239" s="208">
        <v>84784</v>
      </c>
      <c r="G239" s="244">
        <v>40</v>
      </c>
      <c r="H239" s="48" t="s">
        <v>1648</v>
      </c>
      <c r="I239" s="48" t="s">
        <v>1649</v>
      </c>
      <c r="J239" s="48" t="s">
        <v>1649</v>
      </c>
      <c r="K239" s="48" t="s">
        <v>1648</v>
      </c>
      <c r="L239" s="48" t="s">
        <v>1649</v>
      </c>
      <c r="M239" s="48" t="s">
        <v>1648</v>
      </c>
      <c r="N239" s="48" t="s">
        <v>1648</v>
      </c>
      <c r="O239" s="48" t="s">
        <v>1648</v>
      </c>
      <c r="P239" s="48" t="s">
        <v>1648</v>
      </c>
      <c r="Q239" s="48" t="s">
        <v>1648</v>
      </c>
      <c r="R239" s="48" t="s">
        <v>1648</v>
      </c>
      <c r="S239" s="48" t="s">
        <v>1649</v>
      </c>
      <c r="T239" s="48"/>
    </row>
    <row r="240" spans="1:20" ht="13.5" thickBot="1" x14ac:dyDescent="0.25">
      <c r="A240" s="48" t="s">
        <v>182</v>
      </c>
      <c r="B240" s="224" t="s">
        <v>181</v>
      </c>
      <c r="C240" s="48" t="s">
        <v>22</v>
      </c>
      <c r="D240" s="87" t="s">
        <v>3529</v>
      </c>
      <c r="E240" s="208">
        <v>41000</v>
      </c>
      <c r="F240" s="208">
        <v>65000</v>
      </c>
      <c r="G240" s="244">
        <v>40</v>
      </c>
      <c r="H240" s="48" t="s">
        <v>1648</v>
      </c>
      <c r="I240" s="48" t="s">
        <v>1649</v>
      </c>
      <c r="J240" s="48" t="s">
        <v>1649</v>
      </c>
      <c r="K240" s="48" t="s">
        <v>1649</v>
      </c>
      <c r="L240" s="48" t="s">
        <v>1649</v>
      </c>
      <c r="M240" s="48" t="s">
        <v>1648</v>
      </c>
      <c r="N240" s="48" t="s">
        <v>1648</v>
      </c>
      <c r="O240" s="48" t="s">
        <v>1648</v>
      </c>
      <c r="P240" s="48" t="s">
        <v>1648</v>
      </c>
      <c r="Q240" s="48" t="s">
        <v>1649</v>
      </c>
      <c r="R240" s="48" t="s">
        <v>1649</v>
      </c>
      <c r="S240" s="48" t="s">
        <v>1649</v>
      </c>
      <c r="T240" s="48"/>
    </row>
    <row r="241" spans="1:20" ht="13.5" thickBot="1" x14ac:dyDescent="0.25">
      <c r="A241" s="48" t="s">
        <v>192</v>
      </c>
      <c r="B241" s="224" t="s">
        <v>191</v>
      </c>
      <c r="C241" s="48" t="s">
        <v>22</v>
      </c>
      <c r="D241" s="87" t="s">
        <v>3529</v>
      </c>
      <c r="E241" s="208">
        <v>54000</v>
      </c>
      <c r="F241" s="208">
        <v>63000</v>
      </c>
      <c r="G241" s="244">
        <v>38</v>
      </c>
      <c r="H241" s="48" t="s">
        <v>1648</v>
      </c>
      <c r="I241" s="48" t="s">
        <v>1648</v>
      </c>
      <c r="J241" s="48" t="s">
        <v>1648</v>
      </c>
      <c r="K241" s="48" t="s">
        <v>1649</v>
      </c>
      <c r="L241" s="48" t="s">
        <v>1648</v>
      </c>
      <c r="M241" s="48" t="s">
        <v>1648</v>
      </c>
      <c r="N241" s="48" t="s">
        <v>1648</v>
      </c>
      <c r="O241" s="48" t="s">
        <v>1648</v>
      </c>
      <c r="P241" s="48" t="s">
        <v>1648</v>
      </c>
      <c r="Q241" s="48" t="s">
        <v>1648</v>
      </c>
      <c r="R241" s="48" t="s">
        <v>1648</v>
      </c>
      <c r="S241" s="48" t="s">
        <v>1649</v>
      </c>
      <c r="T241" s="48" t="s">
        <v>3549</v>
      </c>
    </row>
    <row r="242" spans="1:20" ht="13.5" thickBot="1" x14ac:dyDescent="0.25">
      <c r="A242" s="48" t="s">
        <v>198</v>
      </c>
      <c r="B242" s="224" t="s">
        <v>197</v>
      </c>
      <c r="C242" s="48" t="s">
        <v>22</v>
      </c>
      <c r="D242" s="87" t="s">
        <v>1812</v>
      </c>
      <c r="E242" s="208">
        <v>40000</v>
      </c>
      <c r="F242" s="208">
        <v>90000</v>
      </c>
      <c r="G242" s="244">
        <v>40</v>
      </c>
      <c r="H242" s="48" t="s">
        <v>1648</v>
      </c>
      <c r="I242" s="48" t="s">
        <v>1648</v>
      </c>
      <c r="J242" s="48" t="s">
        <v>1648</v>
      </c>
      <c r="K242" s="48" t="s">
        <v>1648</v>
      </c>
      <c r="L242" s="48" t="s">
        <v>1648</v>
      </c>
      <c r="M242" s="48" t="s">
        <v>1648</v>
      </c>
      <c r="N242" s="48" t="s">
        <v>1648</v>
      </c>
      <c r="O242" s="48" t="s">
        <v>1648</v>
      </c>
      <c r="P242" s="48" t="s">
        <v>1648</v>
      </c>
      <c r="Q242" s="48" t="s">
        <v>1648</v>
      </c>
      <c r="R242" s="48" t="s">
        <v>1649</v>
      </c>
      <c r="S242" s="48" t="s">
        <v>1648</v>
      </c>
      <c r="T242" s="48"/>
    </row>
    <row r="243" spans="1:20" ht="13.5" thickBot="1" x14ac:dyDescent="0.25">
      <c r="A243" s="48" t="s">
        <v>224</v>
      </c>
      <c r="B243" s="224" t="s">
        <v>223</v>
      </c>
      <c r="C243" s="48" t="s">
        <v>22</v>
      </c>
      <c r="D243" s="87" t="s">
        <v>3529</v>
      </c>
      <c r="E243" s="208">
        <v>63037</v>
      </c>
      <c r="F243" s="208">
        <v>66500</v>
      </c>
      <c r="G243" s="244">
        <v>40</v>
      </c>
      <c r="H243" s="48" t="s">
        <v>1648</v>
      </c>
      <c r="I243" s="48" t="s">
        <v>1648</v>
      </c>
      <c r="J243" s="48" t="s">
        <v>1648</v>
      </c>
      <c r="K243" s="48" t="s">
        <v>1648</v>
      </c>
      <c r="L243" s="48" t="s">
        <v>1648</v>
      </c>
      <c r="M243" s="48" t="s">
        <v>1648</v>
      </c>
      <c r="N243" s="48" t="s">
        <v>1648</v>
      </c>
      <c r="O243" s="48" t="s">
        <v>1649</v>
      </c>
      <c r="P243" s="48" t="s">
        <v>1648</v>
      </c>
      <c r="Q243" s="48" t="s">
        <v>1649</v>
      </c>
      <c r="R243" s="48" t="s">
        <v>1649</v>
      </c>
      <c r="S243" s="48" t="s">
        <v>1649</v>
      </c>
      <c r="T243" s="48"/>
    </row>
    <row r="244" spans="1:20" ht="13.5" thickBot="1" x14ac:dyDescent="0.25">
      <c r="A244" s="48" t="s">
        <v>226</v>
      </c>
      <c r="B244" s="224" t="s">
        <v>225</v>
      </c>
      <c r="C244" s="48" t="s">
        <v>22</v>
      </c>
      <c r="D244" s="87" t="s">
        <v>3529</v>
      </c>
      <c r="E244" s="208">
        <v>60000</v>
      </c>
      <c r="F244" s="208">
        <v>80000</v>
      </c>
      <c r="G244" s="244">
        <v>45</v>
      </c>
      <c r="H244" s="48" t="s">
        <v>1648</v>
      </c>
      <c r="I244" s="48" t="s">
        <v>1649</v>
      </c>
      <c r="J244" s="48" t="s">
        <v>1649</v>
      </c>
      <c r="K244" s="48" t="s">
        <v>1648</v>
      </c>
      <c r="L244" s="48" t="s">
        <v>1649</v>
      </c>
      <c r="M244" s="48" t="s">
        <v>1648</v>
      </c>
      <c r="N244" s="48" t="s">
        <v>1648</v>
      </c>
      <c r="O244" s="48" t="s">
        <v>1649</v>
      </c>
      <c r="P244" s="48" t="s">
        <v>1648</v>
      </c>
      <c r="Q244" s="48" t="s">
        <v>1648</v>
      </c>
      <c r="R244" s="48" t="s">
        <v>1648</v>
      </c>
      <c r="S244" s="48" t="s">
        <v>1648</v>
      </c>
      <c r="T244" s="48" t="s">
        <v>3554</v>
      </c>
    </row>
    <row r="245" spans="1:20" ht="13.5" thickBot="1" x14ac:dyDescent="0.25">
      <c r="A245" s="48" t="s">
        <v>234</v>
      </c>
      <c r="B245" s="224" t="s">
        <v>233</v>
      </c>
      <c r="C245" s="48" t="s">
        <v>22</v>
      </c>
      <c r="D245" s="87" t="s">
        <v>3529</v>
      </c>
      <c r="E245" s="208">
        <v>48000</v>
      </c>
      <c r="F245" s="208">
        <v>58711</v>
      </c>
      <c r="G245" s="244">
        <v>40</v>
      </c>
      <c r="H245" s="48" t="s">
        <v>1648</v>
      </c>
      <c r="I245" s="48" t="s">
        <v>1648</v>
      </c>
      <c r="J245" s="48" t="s">
        <v>1648</v>
      </c>
      <c r="K245" s="48" t="s">
        <v>1648</v>
      </c>
      <c r="L245" s="48" t="s">
        <v>1648</v>
      </c>
      <c r="M245" s="48" t="s">
        <v>1648</v>
      </c>
      <c r="N245" s="48" t="s">
        <v>1648</v>
      </c>
      <c r="O245" s="48" t="s">
        <v>1648</v>
      </c>
      <c r="P245" s="48" t="s">
        <v>1648</v>
      </c>
      <c r="Q245" s="48" t="s">
        <v>1648</v>
      </c>
      <c r="R245" s="48" t="s">
        <v>1649</v>
      </c>
      <c r="S245" s="48" t="s">
        <v>1649</v>
      </c>
      <c r="T245" s="48"/>
    </row>
    <row r="246" spans="1:20" ht="13.5" thickBot="1" x14ac:dyDescent="0.25">
      <c r="A246" s="48" t="s">
        <v>244</v>
      </c>
      <c r="B246" s="224" t="s">
        <v>243</v>
      </c>
      <c r="C246" s="48" t="s">
        <v>22</v>
      </c>
      <c r="D246" s="87" t="s">
        <v>3529</v>
      </c>
      <c r="E246" s="208">
        <v>50000</v>
      </c>
      <c r="F246" s="208">
        <v>70000</v>
      </c>
      <c r="G246" s="244">
        <v>40</v>
      </c>
      <c r="H246" s="48" t="s">
        <v>1648</v>
      </c>
      <c r="I246" s="48" t="s">
        <v>1648</v>
      </c>
      <c r="J246" s="48" t="s">
        <v>1648</v>
      </c>
      <c r="K246" s="48" t="s">
        <v>1649</v>
      </c>
      <c r="L246" s="48" t="s">
        <v>1649</v>
      </c>
      <c r="M246" s="48" t="s">
        <v>1648</v>
      </c>
      <c r="N246" s="48" t="s">
        <v>1648</v>
      </c>
      <c r="O246" s="48" t="s">
        <v>1648</v>
      </c>
      <c r="P246" s="48" t="s">
        <v>1648</v>
      </c>
      <c r="Q246" s="48" t="s">
        <v>1648</v>
      </c>
      <c r="R246" s="48" t="s">
        <v>1649</v>
      </c>
      <c r="S246" s="48" t="s">
        <v>1649</v>
      </c>
      <c r="T246" s="48"/>
    </row>
    <row r="247" spans="1:20" ht="13.5" thickBot="1" x14ac:dyDescent="0.25">
      <c r="A247" s="48" t="s">
        <v>260</v>
      </c>
      <c r="B247" s="224" t="s">
        <v>259</v>
      </c>
      <c r="C247" s="48" t="s">
        <v>22</v>
      </c>
      <c r="D247" s="87" t="s">
        <v>3529</v>
      </c>
      <c r="E247" s="208">
        <v>45000</v>
      </c>
      <c r="F247" s="208">
        <v>67929</v>
      </c>
      <c r="G247" s="244">
        <v>40</v>
      </c>
      <c r="H247" s="48" t="s">
        <v>1648</v>
      </c>
      <c r="I247" s="48" t="s">
        <v>1648</v>
      </c>
      <c r="J247" s="48" t="s">
        <v>1648</v>
      </c>
      <c r="K247" s="48" t="s">
        <v>1648</v>
      </c>
      <c r="L247" s="48" t="s">
        <v>1648</v>
      </c>
      <c r="M247" s="48" t="s">
        <v>1648</v>
      </c>
      <c r="N247" s="48" t="s">
        <v>1648</v>
      </c>
      <c r="O247" s="48" t="s">
        <v>1648</v>
      </c>
      <c r="P247" s="48" t="s">
        <v>1648</v>
      </c>
      <c r="Q247" s="48" t="s">
        <v>1649</v>
      </c>
      <c r="R247" s="48" t="s">
        <v>1649</v>
      </c>
      <c r="S247" s="48" t="s">
        <v>1648</v>
      </c>
      <c r="T247" s="48" t="s">
        <v>3555</v>
      </c>
    </row>
    <row r="248" spans="1:20" ht="13.5" thickBot="1" x14ac:dyDescent="0.25">
      <c r="A248" s="48" t="s">
        <v>268</v>
      </c>
      <c r="B248" s="224" t="s">
        <v>267</v>
      </c>
      <c r="C248" s="48" t="s">
        <v>22</v>
      </c>
      <c r="D248" s="87" t="s">
        <v>3529</v>
      </c>
      <c r="E248" s="208">
        <v>46500</v>
      </c>
      <c r="F248" s="208">
        <v>64500</v>
      </c>
      <c r="G248" s="244">
        <v>40</v>
      </c>
      <c r="H248" s="48" t="s">
        <v>1649</v>
      </c>
      <c r="I248" s="48" t="s">
        <v>1649</v>
      </c>
      <c r="J248" s="48" t="s">
        <v>1649</v>
      </c>
      <c r="K248" s="48" t="s">
        <v>1649</v>
      </c>
      <c r="L248" s="48" t="s">
        <v>1648</v>
      </c>
      <c r="M248" s="48" t="s">
        <v>1648</v>
      </c>
      <c r="N248" s="48" t="s">
        <v>1648</v>
      </c>
      <c r="O248" s="48" t="s">
        <v>1648</v>
      </c>
      <c r="P248" s="48" t="s">
        <v>1648</v>
      </c>
      <c r="Q248" s="48" t="s">
        <v>1649</v>
      </c>
      <c r="R248" s="48" t="s">
        <v>1649</v>
      </c>
      <c r="S248" s="48" t="s">
        <v>1649</v>
      </c>
      <c r="T248" s="48"/>
    </row>
    <row r="249" spans="1:20" ht="13.5" thickBot="1" x14ac:dyDescent="0.25">
      <c r="A249" s="48" t="s">
        <v>270</v>
      </c>
      <c r="B249" s="224" t="s">
        <v>269</v>
      </c>
      <c r="C249" s="48" t="s">
        <v>22</v>
      </c>
      <c r="D249" s="87" t="s">
        <v>3529</v>
      </c>
      <c r="E249" s="208">
        <v>70000</v>
      </c>
      <c r="F249" s="208">
        <v>82000</v>
      </c>
      <c r="G249" s="244">
        <v>40</v>
      </c>
      <c r="H249" s="48" t="s">
        <v>1648</v>
      </c>
      <c r="I249" s="48" t="s">
        <v>1648</v>
      </c>
      <c r="J249" s="48" t="s">
        <v>1648</v>
      </c>
      <c r="K249" s="48" t="s">
        <v>1648</v>
      </c>
      <c r="L249" s="48" t="s">
        <v>1649</v>
      </c>
      <c r="M249" s="48" t="s">
        <v>1648</v>
      </c>
      <c r="N249" s="48" t="s">
        <v>1648</v>
      </c>
      <c r="O249" s="48" t="s">
        <v>1648</v>
      </c>
      <c r="P249" s="48" t="s">
        <v>1648</v>
      </c>
      <c r="Q249" s="48" t="s">
        <v>1649</v>
      </c>
      <c r="R249" s="48" t="s">
        <v>1648</v>
      </c>
      <c r="S249" s="48" t="s">
        <v>1649</v>
      </c>
      <c r="T249" s="48" t="s">
        <v>3556</v>
      </c>
    </row>
    <row r="250" spans="1:20" ht="13.5" thickBot="1" x14ac:dyDescent="0.25">
      <c r="A250" s="48" t="s">
        <v>274</v>
      </c>
      <c r="B250" s="224" t="s">
        <v>273</v>
      </c>
      <c r="C250" s="48" t="s">
        <v>22</v>
      </c>
      <c r="D250" s="87" t="s">
        <v>3530</v>
      </c>
      <c r="E250" s="208">
        <v>55000</v>
      </c>
      <c r="F250" s="208">
        <v>60000</v>
      </c>
      <c r="G250" s="244">
        <v>40</v>
      </c>
      <c r="H250" s="48" t="s">
        <v>1648</v>
      </c>
      <c r="I250" s="48" t="s">
        <v>1648</v>
      </c>
      <c r="J250" s="48" t="s">
        <v>1648</v>
      </c>
      <c r="K250" s="48" t="s">
        <v>1648</v>
      </c>
      <c r="L250" s="48" t="s">
        <v>1649</v>
      </c>
      <c r="M250" s="48" t="s">
        <v>1648</v>
      </c>
      <c r="N250" s="48" t="s">
        <v>1648</v>
      </c>
      <c r="O250" s="48" t="s">
        <v>1649</v>
      </c>
      <c r="P250" s="48" t="s">
        <v>1648</v>
      </c>
      <c r="Q250" s="48" t="s">
        <v>1649</v>
      </c>
      <c r="R250" s="48" t="s">
        <v>1649</v>
      </c>
      <c r="S250" s="48" t="s">
        <v>1649</v>
      </c>
      <c r="T250" s="48" t="s">
        <v>3557</v>
      </c>
    </row>
    <row r="251" spans="1:20" ht="13.5" thickBot="1" x14ac:dyDescent="0.25">
      <c r="A251" s="48" t="s">
        <v>276</v>
      </c>
      <c r="B251" s="224" t="s">
        <v>275</v>
      </c>
      <c r="C251" s="48" t="s">
        <v>22</v>
      </c>
      <c r="D251" s="87" t="s">
        <v>3529</v>
      </c>
      <c r="E251" s="208">
        <v>55000</v>
      </c>
      <c r="F251" s="208">
        <v>55000</v>
      </c>
      <c r="G251" s="244">
        <v>40</v>
      </c>
      <c r="H251" s="48" t="s">
        <v>1649</v>
      </c>
      <c r="I251" s="48" t="s">
        <v>1649</v>
      </c>
      <c r="J251" s="48" t="s">
        <v>1649</v>
      </c>
      <c r="K251" s="48" t="s">
        <v>1648</v>
      </c>
      <c r="L251" s="48" t="s">
        <v>1649</v>
      </c>
      <c r="M251" s="48" t="s">
        <v>1648</v>
      </c>
      <c r="N251" s="48" t="s">
        <v>1648</v>
      </c>
      <c r="O251" s="48" t="s">
        <v>1648</v>
      </c>
      <c r="P251" s="48" t="s">
        <v>1648</v>
      </c>
      <c r="Q251" s="48" t="s">
        <v>1649</v>
      </c>
      <c r="R251" s="48" t="s">
        <v>1649</v>
      </c>
      <c r="S251" s="48" t="s">
        <v>1649</v>
      </c>
      <c r="T251" s="48"/>
    </row>
    <row r="252" spans="1:20" ht="13.5" thickBot="1" x14ac:dyDescent="0.25">
      <c r="A252" s="48" t="s">
        <v>282</v>
      </c>
      <c r="B252" s="224" t="s">
        <v>281</v>
      </c>
      <c r="C252" s="48" t="s">
        <v>22</v>
      </c>
      <c r="D252" s="87" t="s">
        <v>3529</v>
      </c>
      <c r="E252" s="208">
        <v>70000</v>
      </c>
      <c r="F252" s="208">
        <v>80000</v>
      </c>
      <c r="G252" s="244">
        <v>35</v>
      </c>
      <c r="H252" s="48" t="s">
        <v>1648</v>
      </c>
      <c r="I252" s="48" t="s">
        <v>1648</v>
      </c>
      <c r="J252" s="48" t="s">
        <v>1648</v>
      </c>
      <c r="K252" s="48" t="s">
        <v>1649</v>
      </c>
      <c r="L252" s="48" t="s">
        <v>1648</v>
      </c>
      <c r="M252" s="48" t="s">
        <v>1648</v>
      </c>
      <c r="N252" s="48" t="s">
        <v>1648</v>
      </c>
      <c r="O252" s="48" t="s">
        <v>1648</v>
      </c>
      <c r="P252" s="48" t="s">
        <v>1648</v>
      </c>
      <c r="Q252" s="48" t="s">
        <v>1649</v>
      </c>
      <c r="R252" s="48" t="s">
        <v>1649</v>
      </c>
      <c r="S252" s="48" t="s">
        <v>1649</v>
      </c>
      <c r="T252" s="48"/>
    </row>
    <row r="253" spans="1:20" ht="13.5" thickBot="1" x14ac:dyDescent="0.25">
      <c r="A253" s="48" t="s">
        <v>288</v>
      </c>
      <c r="B253" s="224" t="s">
        <v>287</v>
      </c>
      <c r="C253" s="48" t="s">
        <v>22</v>
      </c>
      <c r="D253" s="87" t="s">
        <v>3529</v>
      </c>
      <c r="E253" s="208">
        <v>56443</v>
      </c>
      <c r="F253" s="208">
        <v>61634</v>
      </c>
      <c r="G253" s="244">
        <v>35</v>
      </c>
      <c r="H253" s="48" t="s">
        <v>1648</v>
      </c>
      <c r="I253" s="48" t="s">
        <v>1648</v>
      </c>
      <c r="J253" s="48" t="s">
        <v>1648</v>
      </c>
      <c r="K253" s="48" t="s">
        <v>1648</v>
      </c>
      <c r="L253" s="48" t="s">
        <v>1649</v>
      </c>
      <c r="M253" s="48" t="s">
        <v>1648</v>
      </c>
      <c r="N253" s="48" t="s">
        <v>1648</v>
      </c>
      <c r="O253" s="48" t="s">
        <v>1649</v>
      </c>
      <c r="P253" s="48" t="s">
        <v>1648</v>
      </c>
      <c r="Q253" s="48" t="s">
        <v>1648</v>
      </c>
      <c r="R253" s="48" t="s">
        <v>1648</v>
      </c>
      <c r="S253" s="48" t="s">
        <v>1649</v>
      </c>
      <c r="T253" s="48" t="s">
        <v>3559</v>
      </c>
    </row>
    <row r="254" spans="1:20" ht="13.5" thickBot="1" x14ac:dyDescent="0.25">
      <c r="A254" s="48" t="s">
        <v>292</v>
      </c>
      <c r="B254" s="224" t="s">
        <v>291</v>
      </c>
      <c r="C254" s="48" t="s">
        <v>22</v>
      </c>
      <c r="D254" s="87" t="s">
        <v>3529</v>
      </c>
      <c r="E254" s="208">
        <v>60000</v>
      </c>
      <c r="F254" s="208">
        <v>70000</v>
      </c>
      <c r="G254" s="244">
        <v>40</v>
      </c>
      <c r="H254" s="48" t="s">
        <v>1648</v>
      </c>
      <c r="I254" s="48" t="s">
        <v>1648</v>
      </c>
      <c r="J254" s="48" t="s">
        <v>1649</v>
      </c>
      <c r="K254" s="48" t="s">
        <v>1648</v>
      </c>
      <c r="L254" s="48" t="s">
        <v>1648</v>
      </c>
      <c r="M254" s="48" t="s">
        <v>1648</v>
      </c>
      <c r="N254" s="48" t="s">
        <v>1648</v>
      </c>
      <c r="O254" s="48" t="s">
        <v>1648</v>
      </c>
      <c r="P254" s="48" t="s">
        <v>1648</v>
      </c>
      <c r="Q254" s="48" t="s">
        <v>1648</v>
      </c>
      <c r="R254" s="48" t="s">
        <v>1649</v>
      </c>
      <c r="S254" s="48" t="s">
        <v>1649</v>
      </c>
      <c r="T254" s="48" t="s">
        <v>3560</v>
      </c>
    </row>
    <row r="255" spans="1:20" ht="13.5" thickBot="1" x14ac:dyDescent="0.25">
      <c r="A255" s="48" t="s">
        <v>294</v>
      </c>
      <c r="B255" s="224" t="s">
        <v>293</v>
      </c>
      <c r="C255" s="48" t="s">
        <v>22</v>
      </c>
      <c r="D255" s="87" t="s">
        <v>1660</v>
      </c>
      <c r="E255" s="208">
        <v>45000</v>
      </c>
      <c r="F255" s="208">
        <v>45000</v>
      </c>
      <c r="G255" s="244">
        <v>40</v>
      </c>
      <c r="H255" s="48" t="s">
        <v>1649</v>
      </c>
      <c r="I255" s="48" t="s">
        <v>1649</v>
      </c>
      <c r="J255" s="48" t="s">
        <v>1649</v>
      </c>
      <c r="K255" s="48" t="s">
        <v>1649</v>
      </c>
      <c r="L255" s="48" t="s">
        <v>1649</v>
      </c>
      <c r="M255" s="48" t="s">
        <v>1649</v>
      </c>
      <c r="N255" s="48" t="s">
        <v>1648</v>
      </c>
      <c r="O255" s="48" t="s">
        <v>1648</v>
      </c>
      <c r="P255" s="48" t="s">
        <v>1648</v>
      </c>
      <c r="Q255" s="48" t="s">
        <v>1649</v>
      </c>
      <c r="R255" s="48" t="s">
        <v>1649</v>
      </c>
      <c r="S255" s="48" t="s">
        <v>1649</v>
      </c>
      <c r="T255" s="48"/>
    </row>
    <row r="256" spans="1:20" ht="13.5" thickBot="1" x14ac:dyDescent="0.25">
      <c r="A256" s="48" t="s">
        <v>312</v>
      </c>
      <c r="B256" s="224" t="s">
        <v>311</v>
      </c>
      <c r="C256" s="48" t="s">
        <v>22</v>
      </c>
      <c r="D256" s="87" t="s">
        <v>3529</v>
      </c>
      <c r="E256" s="208">
        <v>63758</v>
      </c>
      <c r="F256" s="208">
        <v>63758</v>
      </c>
      <c r="G256" s="244">
        <v>40</v>
      </c>
      <c r="H256" s="48" t="s">
        <v>1648</v>
      </c>
      <c r="I256" s="48" t="s">
        <v>1648</v>
      </c>
      <c r="J256" s="48" t="s">
        <v>1648</v>
      </c>
      <c r="K256" s="48" t="s">
        <v>1648</v>
      </c>
      <c r="L256" s="48" t="s">
        <v>1648</v>
      </c>
      <c r="M256" s="48" t="s">
        <v>1648</v>
      </c>
      <c r="N256" s="48" t="s">
        <v>1648</v>
      </c>
      <c r="O256" s="48" t="s">
        <v>1649</v>
      </c>
      <c r="P256" s="48" t="s">
        <v>1648</v>
      </c>
      <c r="Q256" s="48" t="s">
        <v>1649</v>
      </c>
      <c r="R256" s="48" t="s">
        <v>1649</v>
      </c>
      <c r="S256" s="48" t="s">
        <v>1649</v>
      </c>
      <c r="T256" s="48" t="s">
        <v>3561</v>
      </c>
    </row>
    <row r="257" spans="1:20" ht="13.5" thickBot="1" x14ac:dyDescent="0.25">
      <c r="A257" s="48" t="s">
        <v>320</v>
      </c>
      <c r="B257" s="224" t="s">
        <v>319</v>
      </c>
      <c r="C257" s="48" t="s">
        <v>22</v>
      </c>
      <c r="D257" s="87" t="s">
        <v>3529</v>
      </c>
      <c r="E257" s="208">
        <v>60000</v>
      </c>
      <c r="F257" s="208">
        <v>80000</v>
      </c>
      <c r="G257" s="244">
        <v>40</v>
      </c>
      <c r="H257" s="48" t="s">
        <v>1649</v>
      </c>
      <c r="I257" s="48" t="s">
        <v>1649</v>
      </c>
      <c r="J257" s="48" t="s">
        <v>1649</v>
      </c>
      <c r="K257" s="48" t="s">
        <v>1648</v>
      </c>
      <c r="L257" s="48" t="s">
        <v>1648</v>
      </c>
      <c r="M257" s="48" t="s">
        <v>1648</v>
      </c>
      <c r="N257" s="48" t="s">
        <v>1648</v>
      </c>
      <c r="O257" s="48" t="s">
        <v>1649</v>
      </c>
      <c r="P257" s="48" t="s">
        <v>1648</v>
      </c>
      <c r="Q257" s="48" t="s">
        <v>1648</v>
      </c>
      <c r="R257" s="48" t="s">
        <v>1648</v>
      </c>
      <c r="S257" s="48" t="s">
        <v>1649</v>
      </c>
      <c r="T257" s="48" t="s">
        <v>3562</v>
      </c>
    </row>
    <row r="258" spans="1:20" ht="13.5" thickBot="1" x14ac:dyDescent="0.25">
      <c r="A258" s="48" t="s">
        <v>330</v>
      </c>
      <c r="B258" s="224" t="s">
        <v>329</v>
      </c>
      <c r="C258" s="48" t="s">
        <v>22</v>
      </c>
      <c r="D258" s="87" t="s">
        <v>3529</v>
      </c>
      <c r="E258" s="208">
        <v>75941</v>
      </c>
      <c r="F258" s="208">
        <v>75941</v>
      </c>
      <c r="G258" s="244">
        <v>40</v>
      </c>
      <c r="H258" s="48" t="s">
        <v>1648</v>
      </c>
      <c r="I258" s="48" t="s">
        <v>1648</v>
      </c>
      <c r="J258" s="48" t="s">
        <v>1648</v>
      </c>
      <c r="K258" s="48" t="s">
        <v>1648</v>
      </c>
      <c r="L258" s="48" t="s">
        <v>1649</v>
      </c>
      <c r="M258" s="48" t="s">
        <v>1648</v>
      </c>
      <c r="N258" s="48" t="s">
        <v>1648</v>
      </c>
      <c r="O258" s="48" t="s">
        <v>1648</v>
      </c>
      <c r="P258" s="48" t="s">
        <v>1648</v>
      </c>
      <c r="Q258" s="48" t="s">
        <v>1648</v>
      </c>
      <c r="R258" s="48" t="s">
        <v>1648</v>
      </c>
      <c r="S258" s="48" t="s">
        <v>1649</v>
      </c>
      <c r="T258" s="48"/>
    </row>
    <row r="259" spans="1:20" ht="13.5" thickBot="1" x14ac:dyDescent="0.25">
      <c r="A259" s="48" t="s">
        <v>332</v>
      </c>
      <c r="B259" s="224" t="s">
        <v>331</v>
      </c>
      <c r="C259" s="48" t="s">
        <v>22</v>
      </c>
      <c r="D259" s="87" t="s">
        <v>3529</v>
      </c>
      <c r="E259" s="208">
        <v>45000</v>
      </c>
      <c r="F259" s="208">
        <v>68000</v>
      </c>
      <c r="G259" s="244">
        <v>40</v>
      </c>
      <c r="H259" s="48" t="s">
        <v>1648</v>
      </c>
      <c r="I259" s="48" t="s">
        <v>1649</v>
      </c>
      <c r="J259" s="48" t="s">
        <v>1648</v>
      </c>
      <c r="K259" s="48" t="s">
        <v>1648</v>
      </c>
      <c r="L259" s="48" t="s">
        <v>1648</v>
      </c>
      <c r="M259" s="48" t="s">
        <v>1648</v>
      </c>
      <c r="N259" s="48" t="s">
        <v>1648</v>
      </c>
      <c r="O259" s="48" t="s">
        <v>1648</v>
      </c>
      <c r="P259" s="48" t="s">
        <v>1648</v>
      </c>
      <c r="Q259" s="48" t="s">
        <v>1649</v>
      </c>
      <c r="R259" s="48" t="s">
        <v>1649</v>
      </c>
      <c r="S259" s="48" t="s">
        <v>1649</v>
      </c>
      <c r="T259" s="48"/>
    </row>
    <row r="260" spans="1:20" ht="13.5" thickBot="1" x14ac:dyDescent="0.25">
      <c r="A260" s="48" t="s">
        <v>336</v>
      </c>
      <c r="B260" s="224" t="s">
        <v>335</v>
      </c>
      <c r="C260" s="48" t="s">
        <v>22</v>
      </c>
      <c r="D260" s="87" t="s">
        <v>3529</v>
      </c>
      <c r="E260" s="208">
        <v>55000</v>
      </c>
      <c r="F260" s="208">
        <v>60000</v>
      </c>
      <c r="G260" s="244">
        <v>38</v>
      </c>
      <c r="H260" s="48" t="s">
        <v>1648</v>
      </c>
      <c r="I260" s="48" t="s">
        <v>1648</v>
      </c>
      <c r="J260" s="48" t="s">
        <v>1648</v>
      </c>
      <c r="K260" s="48" t="s">
        <v>1648</v>
      </c>
      <c r="L260" s="48" t="s">
        <v>1648</v>
      </c>
      <c r="M260" s="48" t="s">
        <v>1648</v>
      </c>
      <c r="N260" s="48" t="s">
        <v>1648</v>
      </c>
      <c r="O260" s="48" t="s">
        <v>1648</v>
      </c>
      <c r="P260" s="48" t="s">
        <v>1648</v>
      </c>
      <c r="Q260" s="48" t="s">
        <v>1648</v>
      </c>
      <c r="R260" s="48" t="s">
        <v>1649</v>
      </c>
      <c r="S260" s="48" t="s">
        <v>1648</v>
      </c>
      <c r="T260" s="48"/>
    </row>
    <row r="261" spans="1:20" ht="13.5" thickBot="1" x14ac:dyDescent="0.25">
      <c r="A261" s="48" t="s">
        <v>338</v>
      </c>
      <c r="B261" s="224" t="s">
        <v>337</v>
      </c>
      <c r="C261" s="48" t="s">
        <v>22</v>
      </c>
      <c r="D261" s="87" t="s">
        <v>3529</v>
      </c>
      <c r="E261" s="208">
        <v>25000</v>
      </c>
      <c r="F261" s="208">
        <v>50000</v>
      </c>
      <c r="G261" s="244">
        <v>36</v>
      </c>
      <c r="H261" s="48" t="s">
        <v>1649</v>
      </c>
      <c r="I261" s="48" t="s">
        <v>1649</v>
      </c>
      <c r="J261" s="48" t="s">
        <v>1649</v>
      </c>
      <c r="K261" s="48" t="s">
        <v>1649</v>
      </c>
      <c r="L261" s="48" t="s">
        <v>1648</v>
      </c>
      <c r="M261" s="48" t="s">
        <v>1648</v>
      </c>
      <c r="N261" s="48" t="s">
        <v>1648</v>
      </c>
      <c r="O261" s="48" t="s">
        <v>1648</v>
      </c>
      <c r="P261" s="48" t="s">
        <v>1648</v>
      </c>
      <c r="Q261" s="48" t="s">
        <v>1649</v>
      </c>
      <c r="R261" s="48" t="s">
        <v>1649</v>
      </c>
      <c r="S261" s="48" t="s">
        <v>1649</v>
      </c>
      <c r="T261" s="48" t="s">
        <v>3563</v>
      </c>
    </row>
    <row r="262" spans="1:20" ht="13.5" thickBot="1" x14ac:dyDescent="0.25">
      <c r="A262" s="48" t="s">
        <v>340</v>
      </c>
      <c r="B262" s="224" t="s">
        <v>339</v>
      </c>
      <c r="C262" s="48" t="s">
        <v>22</v>
      </c>
      <c r="D262" s="87" t="s">
        <v>3529</v>
      </c>
      <c r="E262" s="208">
        <v>60000</v>
      </c>
      <c r="F262" s="208">
        <v>63000</v>
      </c>
      <c r="G262" s="244">
        <v>40</v>
      </c>
      <c r="H262" s="48" t="s">
        <v>1648</v>
      </c>
      <c r="I262" s="48" t="s">
        <v>1649</v>
      </c>
      <c r="J262" s="48" t="s">
        <v>1649</v>
      </c>
      <c r="K262" s="48" t="s">
        <v>1648</v>
      </c>
      <c r="L262" s="48" t="s">
        <v>1649</v>
      </c>
      <c r="M262" s="48" t="s">
        <v>1648</v>
      </c>
      <c r="N262" s="48" t="s">
        <v>1648</v>
      </c>
      <c r="O262" s="48" t="s">
        <v>1648</v>
      </c>
      <c r="P262" s="48" t="s">
        <v>1648</v>
      </c>
      <c r="Q262" s="48" t="s">
        <v>1648</v>
      </c>
      <c r="R262" s="48" t="s">
        <v>1649</v>
      </c>
      <c r="S262" s="48" t="s">
        <v>1649</v>
      </c>
      <c r="T262" s="48"/>
    </row>
    <row r="263" spans="1:20" ht="13.5" thickBot="1" x14ac:dyDescent="0.25">
      <c r="A263" s="48" t="s">
        <v>346</v>
      </c>
      <c r="B263" s="224" t="s">
        <v>345</v>
      </c>
      <c r="C263" s="48" t="s">
        <v>22</v>
      </c>
      <c r="D263" s="87" t="s">
        <v>3530</v>
      </c>
      <c r="E263" s="208">
        <v>50000</v>
      </c>
      <c r="F263" s="208">
        <v>51500</v>
      </c>
      <c r="G263" s="244">
        <v>40</v>
      </c>
      <c r="H263" s="48" t="s">
        <v>1648</v>
      </c>
      <c r="I263" s="48" t="s">
        <v>1648</v>
      </c>
      <c r="J263" s="48" t="s">
        <v>1648</v>
      </c>
      <c r="K263" s="48" t="s">
        <v>1648</v>
      </c>
      <c r="L263" s="48" t="s">
        <v>1648</v>
      </c>
      <c r="M263" s="48" t="s">
        <v>1648</v>
      </c>
      <c r="N263" s="48" t="s">
        <v>1648</v>
      </c>
      <c r="O263" s="48" t="s">
        <v>1648</v>
      </c>
      <c r="P263" s="48" t="s">
        <v>1648</v>
      </c>
      <c r="Q263" s="48" t="s">
        <v>1648</v>
      </c>
      <c r="R263" s="48" t="s">
        <v>1648</v>
      </c>
      <c r="S263" s="48" t="s">
        <v>1649</v>
      </c>
      <c r="T263" s="48"/>
    </row>
    <row r="264" spans="1:20" ht="13.5" thickBot="1" x14ac:dyDescent="0.25">
      <c r="A264" s="48" t="s">
        <v>348</v>
      </c>
      <c r="B264" s="224" t="s">
        <v>347</v>
      </c>
      <c r="C264" s="48" t="s">
        <v>22</v>
      </c>
      <c r="D264" s="87" t="s">
        <v>3529</v>
      </c>
      <c r="E264" s="208">
        <v>40000</v>
      </c>
      <c r="F264" s="208">
        <v>55000</v>
      </c>
      <c r="G264" s="244">
        <v>40</v>
      </c>
      <c r="H264" s="48" t="s">
        <v>1648</v>
      </c>
      <c r="I264" s="48" t="s">
        <v>1648</v>
      </c>
      <c r="J264" s="48" t="s">
        <v>1648</v>
      </c>
      <c r="K264" s="48" t="s">
        <v>1648</v>
      </c>
      <c r="L264" s="48" t="s">
        <v>1648</v>
      </c>
      <c r="M264" s="48" t="s">
        <v>1648</v>
      </c>
      <c r="N264" s="48" t="s">
        <v>1648</v>
      </c>
      <c r="O264" s="48" t="s">
        <v>1649</v>
      </c>
      <c r="P264" s="48" t="s">
        <v>1648</v>
      </c>
      <c r="Q264" s="48" t="s">
        <v>1648</v>
      </c>
      <c r="R264" s="48" t="s">
        <v>1648</v>
      </c>
      <c r="S264" s="48" t="s">
        <v>1649</v>
      </c>
      <c r="T264" s="48"/>
    </row>
    <row r="265" spans="1:20" ht="13.5" thickBot="1" x14ac:dyDescent="0.25">
      <c r="A265" s="48" t="s">
        <v>356</v>
      </c>
      <c r="B265" s="224" t="s">
        <v>355</v>
      </c>
      <c r="C265" s="48" t="s">
        <v>22</v>
      </c>
      <c r="D265" s="87" t="s">
        <v>3529</v>
      </c>
      <c r="E265" s="208">
        <v>52000</v>
      </c>
      <c r="F265" s="208">
        <v>65350</v>
      </c>
      <c r="G265" s="244">
        <v>38</v>
      </c>
      <c r="H265" s="48" t="s">
        <v>1648</v>
      </c>
      <c r="I265" s="48" t="s">
        <v>1648</v>
      </c>
      <c r="J265" s="48" t="s">
        <v>1648</v>
      </c>
      <c r="K265" s="48" t="s">
        <v>1648</v>
      </c>
      <c r="L265" s="48" t="s">
        <v>1648</v>
      </c>
      <c r="M265" s="48" t="s">
        <v>1648</v>
      </c>
      <c r="N265" s="48" t="s">
        <v>1648</v>
      </c>
      <c r="O265" s="48" t="s">
        <v>1648</v>
      </c>
      <c r="P265" s="48" t="s">
        <v>1648</v>
      </c>
      <c r="Q265" s="48" t="s">
        <v>1648</v>
      </c>
      <c r="R265" s="48" t="s">
        <v>1649</v>
      </c>
      <c r="S265" s="48" t="s">
        <v>1649</v>
      </c>
      <c r="T265" s="48"/>
    </row>
    <row r="266" spans="1:20" ht="13.5" thickBot="1" x14ac:dyDescent="0.25">
      <c r="A266" s="48" t="s">
        <v>360</v>
      </c>
      <c r="B266" s="224" t="s">
        <v>359</v>
      </c>
      <c r="C266" s="48" t="s">
        <v>22</v>
      </c>
      <c r="D266" s="87" t="s">
        <v>3530</v>
      </c>
      <c r="E266" s="208">
        <v>45000</v>
      </c>
      <c r="F266" s="208">
        <v>50000</v>
      </c>
      <c r="G266" s="244">
        <v>40000</v>
      </c>
      <c r="H266" s="48" t="s">
        <v>1649</v>
      </c>
      <c r="I266" s="48" t="s">
        <v>1649</v>
      </c>
      <c r="J266" s="48" t="s">
        <v>1649</v>
      </c>
      <c r="K266" s="48" t="s">
        <v>1649</v>
      </c>
      <c r="L266" s="48" t="s">
        <v>1649</v>
      </c>
      <c r="M266" s="48" t="s">
        <v>1648</v>
      </c>
      <c r="N266" s="48" t="s">
        <v>1648</v>
      </c>
      <c r="O266" s="48" t="s">
        <v>1648</v>
      </c>
      <c r="P266" s="48" t="s">
        <v>1648</v>
      </c>
      <c r="Q266" s="48" t="s">
        <v>1649</v>
      </c>
      <c r="R266" s="48" t="s">
        <v>1649</v>
      </c>
      <c r="S266" s="48" t="s">
        <v>1649</v>
      </c>
      <c r="T266" s="48"/>
    </row>
    <row r="267" spans="1:20" ht="13.5" thickBot="1" x14ac:dyDescent="0.25">
      <c r="A267" s="48" t="s">
        <v>368</v>
      </c>
      <c r="B267" s="224" t="s">
        <v>367</v>
      </c>
      <c r="C267" s="48" t="s">
        <v>22</v>
      </c>
      <c r="D267" s="87" t="s">
        <v>3530</v>
      </c>
      <c r="E267" s="208">
        <v>39520</v>
      </c>
      <c r="F267" s="208">
        <v>60000</v>
      </c>
      <c r="G267" s="244">
        <v>40</v>
      </c>
      <c r="H267" s="48" t="s">
        <v>1648</v>
      </c>
      <c r="I267" s="48" t="s">
        <v>1648</v>
      </c>
      <c r="J267" s="48" t="s">
        <v>1648</v>
      </c>
      <c r="K267" s="48" t="s">
        <v>1648</v>
      </c>
      <c r="L267" s="48" t="s">
        <v>1648</v>
      </c>
      <c r="M267" s="48" t="s">
        <v>1648</v>
      </c>
      <c r="N267" s="48" t="s">
        <v>1648</v>
      </c>
      <c r="O267" s="48" t="s">
        <v>1648</v>
      </c>
      <c r="P267" s="48" t="s">
        <v>1648</v>
      </c>
      <c r="Q267" s="48" t="s">
        <v>1649</v>
      </c>
      <c r="R267" s="48" t="s">
        <v>1648</v>
      </c>
      <c r="S267" s="48" t="s">
        <v>1649</v>
      </c>
      <c r="T267" s="48"/>
    </row>
    <row r="268" spans="1:20" ht="13.5" thickBot="1" x14ac:dyDescent="0.25">
      <c r="A268" s="48" t="s">
        <v>370</v>
      </c>
      <c r="B268" s="224" t="s">
        <v>369</v>
      </c>
      <c r="C268" s="48" t="s">
        <v>22</v>
      </c>
      <c r="D268" s="87" t="s">
        <v>3529</v>
      </c>
      <c r="E268" s="208">
        <v>59127</v>
      </c>
      <c r="F268" s="208">
        <v>76864</v>
      </c>
      <c r="G268" s="244">
        <v>40</v>
      </c>
      <c r="H268" s="48" t="s">
        <v>1648</v>
      </c>
      <c r="I268" s="48" t="s">
        <v>1648</v>
      </c>
      <c r="J268" s="48" t="s">
        <v>1649</v>
      </c>
      <c r="K268" s="48" t="s">
        <v>1648</v>
      </c>
      <c r="L268" s="48" t="s">
        <v>1649</v>
      </c>
      <c r="M268" s="48" t="s">
        <v>1648</v>
      </c>
      <c r="N268" s="48" t="s">
        <v>1648</v>
      </c>
      <c r="O268" s="48" t="s">
        <v>1648</v>
      </c>
      <c r="P268" s="48" t="s">
        <v>1648</v>
      </c>
      <c r="Q268" s="48" t="s">
        <v>1648</v>
      </c>
      <c r="R268" s="48" t="s">
        <v>1648</v>
      </c>
      <c r="S268" s="48" t="s">
        <v>1648</v>
      </c>
      <c r="T268" s="48" t="s">
        <v>3564</v>
      </c>
    </row>
    <row r="269" spans="1:20" ht="13.5" thickBot="1" x14ac:dyDescent="0.25">
      <c r="A269" s="48" t="s">
        <v>384</v>
      </c>
      <c r="B269" s="224" t="s">
        <v>383</v>
      </c>
      <c r="C269" s="48" t="s">
        <v>22</v>
      </c>
      <c r="D269" s="87" t="s">
        <v>3529</v>
      </c>
      <c r="E269" s="208">
        <v>70200</v>
      </c>
      <c r="F269" s="208">
        <v>70200</v>
      </c>
      <c r="G269" s="244">
        <v>40</v>
      </c>
      <c r="H269" s="48" t="s">
        <v>1648</v>
      </c>
      <c r="I269" s="48" t="s">
        <v>1648</v>
      </c>
      <c r="J269" s="48" t="s">
        <v>1648</v>
      </c>
      <c r="K269" s="48" t="s">
        <v>1648</v>
      </c>
      <c r="L269" s="48" t="s">
        <v>1648</v>
      </c>
      <c r="M269" s="48" t="s">
        <v>1648</v>
      </c>
      <c r="N269" s="48" t="s">
        <v>1648</v>
      </c>
      <c r="O269" s="48" t="s">
        <v>1648</v>
      </c>
      <c r="P269" s="48" t="s">
        <v>1648</v>
      </c>
      <c r="Q269" s="48" t="s">
        <v>1648</v>
      </c>
      <c r="R269" s="48" t="s">
        <v>1649</v>
      </c>
      <c r="S269" s="48" t="s">
        <v>1648</v>
      </c>
      <c r="T269" s="48" t="s">
        <v>3565</v>
      </c>
    </row>
    <row r="270" spans="1:20" ht="13.5" thickBot="1" x14ac:dyDescent="0.25">
      <c r="A270" s="48" t="s">
        <v>390</v>
      </c>
      <c r="B270" s="224" t="s">
        <v>389</v>
      </c>
      <c r="C270" s="48" t="s">
        <v>22</v>
      </c>
      <c r="D270" s="87" t="s">
        <v>3529</v>
      </c>
      <c r="E270" s="208">
        <v>56624</v>
      </c>
      <c r="F270" s="208">
        <v>56624</v>
      </c>
      <c r="G270" s="244">
        <v>40</v>
      </c>
      <c r="H270" s="48" t="s">
        <v>1648</v>
      </c>
      <c r="I270" s="48" t="s">
        <v>1648</v>
      </c>
      <c r="J270" s="48" t="s">
        <v>1648</v>
      </c>
      <c r="K270" s="48" t="s">
        <v>1648</v>
      </c>
      <c r="L270" s="48" t="s">
        <v>1648</v>
      </c>
      <c r="M270" s="48" t="s">
        <v>1648</v>
      </c>
      <c r="N270" s="48" t="s">
        <v>1648</v>
      </c>
      <c r="O270" s="48" t="s">
        <v>1648</v>
      </c>
      <c r="P270" s="48" t="s">
        <v>1648</v>
      </c>
      <c r="Q270" s="48" t="s">
        <v>1649</v>
      </c>
      <c r="R270" s="48" t="s">
        <v>1649</v>
      </c>
      <c r="S270" s="48" t="s">
        <v>1648</v>
      </c>
      <c r="T270" s="48"/>
    </row>
    <row r="271" spans="1:20" ht="13.5" thickBot="1" x14ac:dyDescent="0.25">
      <c r="A271" s="48" t="s">
        <v>404</v>
      </c>
      <c r="B271" s="224" t="s">
        <v>403</v>
      </c>
      <c r="C271" s="48" t="s">
        <v>22</v>
      </c>
      <c r="D271" s="87" t="s">
        <v>3529</v>
      </c>
      <c r="E271" s="208">
        <v>52000</v>
      </c>
      <c r="F271" s="208">
        <v>56000</v>
      </c>
      <c r="G271" s="244">
        <v>40</v>
      </c>
      <c r="H271" s="48" t="s">
        <v>1648</v>
      </c>
      <c r="I271" s="48" t="s">
        <v>1648</v>
      </c>
      <c r="J271" s="48" t="s">
        <v>1648</v>
      </c>
      <c r="K271" s="48" t="s">
        <v>1648</v>
      </c>
      <c r="L271" s="48" t="s">
        <v>1648</v>
      </c>
      <c r="M271" s="48" t="s">
        <v>1648</v>
      </c>
      <c r="N271" s="48" t="s">
        <v>1648</v>
      </c>
      <c r="O271" s="48" t="s">
        <v>1648</v>
      </c>
      <c r="P271" s="48" t="s">
        <v>1648</v>
      </c>
      <c r="Q271" s="48" t="s">
        <v>1648</v>
      </c>
      <c r="R271" s="48" t="s">
        <v>1648</v>
      </c>
      <c r="S271" s="48" t="s">
        <v>1649</v>
      </c>
      <c r="T271" s="48" t="s">
        <v>3568</v>
      </c>
    </row>
    <row r="272" spans="1:20" ht="13.5" thickBot="1" x14ac:dyDescent="0.25">
      <c r="A272" s="48" t="s">
        <v>423</v>
      </c>
      <c r="B272" s="224" t="s">
        <v>422</v>
      </c>
      <c r="C272" s="48" t="s">
        <v>22</v>
      </c>
      <c r="D272" s="87" t="s">
        <v>3530</v>
      </c>
      <c r="E272" s="208">
        <v>55000</v>
      </c>
      <c r="F272" s="208">
        <v>55000</v>
      </c>
      <c r="G272" s="244">
        <v>40</v>
      </c>
      <c r="H272" s="48" t="s">
        <v>1648</v>
      </c>
      <c r="I272" s="48" t="s">
        <v>1648</v>
      </c>
      <c r="J272" s="48" t="s">
        <v>1648</v>
      </c>
      <c r="K272" s="48" t="s">
        <v>1648</v>
      </c>
      <c r="L272" s="48" t="s">
        <v>1649</v>
      </c>
      <c r="M272" s="48" t="s">
        <v>1649</v>
      </c>
      <c r="N272" s="48" t="s">
        <v>1649</v>
      </c>
      <c r="O272" s="48" t="s">
        <v>1648</v>
      </c>
      <c r="P272" s="48" t="s">
        <v>1648</v>
      </c>
      <c r="Q272" s="48" t="s">
        <v>1649</v>
      </c>
      <c r="R272" s="48" t="s">
        <v>1649</v>
      </c>
      <c r="S272" s="48" t="s">
        <v>1649</v>
      </c>
      <c r="T272" s="48"/>
    </row>
    <row r="273" spans="1:20" ht="13.5" thickBot="1" x14ac:dyDescent="0.25">
      <c r="A273" s="48" t="s">
        <v>439</v>
      </c>
      <c r="B273" s="224" t="s">
        <v>438</v>
      </c>
      <c r="C273" s="48" t="s">
        <v>22</v>
      </c>
      <c r="D273" s="87" t="s">
        <v>3529</v>
      </c>
      <c r="E273" s="208">
        <v>65000</v>
      </c>
      <c r="F273" s="208">
        <v>80000</v>
      </c>
      <c r="G273" s="244">
        <v>40</v>
      </c>
      <c r="H273" s="48" t="s">
        <v>1648</v>
      </c>
      <c r="I273" s="48" t="s">
        <v>1649</v>
      </c>
      <c r="J273" s="48" t="s">
        <v>1649</v>
      </c>
      <c r="K273" s="48" t="s">
        <v>1648</v>
      </c>
      <c r="L273" s="48" t="s">
        <v>1649</v>
      </c>
      <c r="M273" s="48" t="s">
        <v>1648</v>
      </c>
      <c r="N273" s="48" t="s">
        <v>1648</v>
      </c>
      <c r="O273" s="48" t="s">
        <v>1649</v>
      </c>
      <c r="P273" s="48" t="s">
        <v>1648</v>
      </c>
      <c r="Q273" s="48" t="s">
        <v>1648</v>
      </c>
      <c r="R273" s="48" t="s">
        <v>1649</v>
      </c>
      <c r="S273" s="48" t="s">
        <v>1649</v>
      </c>
      <c r="T273" s="48" t="s">
        <v>3573</v>
      </c>
    </row>
    <row r="274" spans="1:20" ht="13.5" thickBot="1" x14ac:dyDescent="0.25">
      <c r="A274" s="48" t="s">
        <v>452</v>
      </c>
      <c r="B274" s="224" t="s">
        <v>451</v>
      </c>
      <c r="C274" s="48" t="s">
        <v>22</v>
      </c>
      <c r="D274" s="87" t="s">
        <v>3529</v>
      </c>
      <c r="E274" s="208">
        <v>60000</v>
      </c>
      <c r="F274" s="208">
        <v>74250</v>
      </c>
      <c r="G274" s="244">
        <v>45</v>
      </c>
      <c r="H274" s="48" t="s">
        <v>1648</v>
      </c>
      <c r="I274" s="48" t="s">
        <v>1648</v>
      </c>
      <c r="J274" s="48" t="s">
        <v>1648</v>
      </c>
      <c r="K274" s="48" t="s">
        <v>1649</v>
      </c>
      <c r="L274" s="48" t="s">
        <v>1648</v>
      </c>
      <c r="M274" s="48" t="s">
        <v>1648</v>
      </c>
      <c r="N274" s="48" t="s">
        <v>1648</v>
      </c>
      <c r="O274" s="48" t="s">
        <v>1648</v>
      </c>
      <c r="P274" s="48" t="s">
        <v>1648</v>
      </c>
      <c r="Q274" s="48" t="s">
        <v>1648</v>
      </c>
      <c r="R274" s="48" t="s">
        <v>1649</v>
      </c>
      <c r="S274" s="48" t="s">
        <v>1649</v>
      </c>
      <c r="T274" s="48"/>
    </row>
    <row r="275" spans="1:20" ht="13.5" thickBot="1" x14ac:dyDescent="0.25">
      <c r="A275" s="48" t="s">
        <v>458</v>
      </c>
      <c r="B275" s="224" t="s">
        <v>457</v>
      </c>
      <c r="C275" s="48" t="s">
        <v>22</v>
      </c>
      <c r="D275" s="87" t="s">
        <v>3529</v>
      </c>
      <c r="E275" s="208">
        <v>39000</v>
      </c>
      <c r="F275" s="208">
        <v>60840</v>
      </c>
      <c r="G275" s="244">
        <v>40</v>
      </c>
      <c r="H275" s="48" t="s">
        <v>1648</v>
      </c>
      <c r="I275" s="48" t="s">
        <v>1648</v>
      </c>
      <c r="J275" s="48" t="s">
        <v>1648</v>
      </c>
      <c r="K275" s="48" t="s">
        <v>1648</v>
      </c>
      <c r="L275" s="48" t="s">
        <v>1648</v>
      </c>
      <c r="M275" s="48" t="s">
        <v>1648</v>
      </c>
      <c r="N275" s="48" t="s">
        <v>1648</v>
      </c>
      <c r="O275" s="48" t="s">
        <v>1649</v>
      </c>
      <c r="P275" s="48" t="s">
        <v>1648</v>
      </c>
      <c r="Q275" s="48" t="s">
        <v>1648</v>
      </c>
      <c r="R275" s="48" t="s">
        <v>1648</v>
      </c>
      <c r="S275" s="48" t="s">
        <v>1649</v>
      </c>
      <c r="T275" s="48"/>
    </row>
    <row r="276" spans="1:20" ht="13.5" thickBot="1" x14ac:dyDescent="0.25">
      <c r="A276" s="48" t="s">
        <v>472</v>
      </c>
      <c r="B276" s="224" t="s">
        <v>471</v>
      </c>
      <c r="C276" s="48" t="s">
        <v>22</v>
      </c>
      <c r="D276" s="87" t="s">
        <v>3529</v>
      </c>
      <c r="E276" s="208">
        <v>55000</v>
      </c>
      <c r="F276" s="208">
        <v>71766</v>
      </c>
      <c r="G276" s="244">
        <v>40</v>
      </c>
      <c r="H276" s="48" t="s">
        <v>1648</v>
      </c>
      <c r="I276" s="48" t="s">
        <v>1648</v>
      </c>
      <c r="J276" s="48" t="s">
        <v>1648</v>
      </c>
      <c r="K276" s="48" t="s">
        <v>1648</v>
      </c>
      <c r="L276" s="48" t="s">
        <v>1648</v>
      </c>
      <c r="M276" s="48" t="s">
        <v>1649</v>
      </c>
      <c r="N276" s="48" t="s">
        <v>1648</v>
      </c>
      <c r="O276" s="48" t="s">
        <v>1648</v>
      </c>
      <c r="P276" s="48" t="s">
        <v>1648</v>
      </c>
      <c r="Q276" s="48" t="s">
        <v>1648</v>
      </c>
      <c r="R276" s="48" t="s">
        <v>1648</v>
      </c>
      <c r="S276" s="48" t="s">
        <v>1649</v>
      </c>
      <c r="T276" s="48"/>
    </row>
    <row r="277" spans="1:20" ht="13.5" thickBot="1" x14ac:dyDescent="0.25">
      <c r="A277" s="48" t="s">
        <v>482</v>
      </c>
      <c r="B277" s="224" t="s">
        <v>481</v>
      </c>
      <c r="C277" s="48" t="s">
        <v>22</v>
      </c>
      <c r="D277" s="87" t="s">
        <v>3529</v>
      </c>
      <c r="E277" s="208">
        <v>63000</v>
      </c>
      <c r="F277" s="208">
        <v>79000</v>
      </c>
      <c r="G277" s="244">
        <v>40</v>
      </c>
      <c r="H277" s="48" t="s">
        <v>1648</v>
      </c>
      <c r="I277" s="48" t="s">
        <v>1648</v>
      </c>
      <c r="J277" s="48" t="s">
        <v>1648</v>
      </c>
      <c r="K277" s="48" t="s">
        <v>1648</v>
      </c>
      <c r="L277" s="48" t="s">
        <v>1649</v>
      </c>
      <c r="M277" s="48" t="s">
        <v>1648</v>
      </c>
      <c r="N277" s="48" t="s">
        <v>1648</v>
      </c>
      <c r="O277" s="48" t="s">
        <v>1649</v>
      </c>
      <c r="P277" s="48" t="s">
        <v>1648</v>
      </c>
      <c r="Q277" s="48" t="s">
        <v>1648</v>
      </c>
      <c r="R277" s="48" t="s">
        <v>1649</v>
      </c>
      <c r="S277" s="48" t="s">
        <v>1649</v>
      </c>
      <c r="T277" s="48"/>
    </row>
    <row r="278" spans="1:20" ht="13.5" thickBot="1" x14ac:dyDescent="0.25">
      <c r="A278" s="48" t="s">
        <v>486</v>
      </c>
      <c r="B278" s="224" t="s">
        <v>485</v>
      </c>
      <c r="C278" s="48" t="s">
        <v>22</v>
      </c>
      <c r="D278" s="87" t="s">
        <v>3529</v>
      </c>
      <c r="E278" s="208">
        <v>56300</v>
      </c>
      <c r="F278" s="208">
        <v>76300</v>
      </c>
      <c r="G278" s="244">
        <v>40</v>
      </c>
      <c r="H278" s="48" t="s">
        <v>1648</v>
      </c>
      <c r="I278" s="48" t="s">
        <v>1648</v>
      </c>
      <c r="J278" s="48" t="s">
        <v>1648</v>
      </c>
      <c r="K278" s="48" t="s">
        <v>1648</v>
      </c>
      <c r="L278" s="48" t="s">
        <v>1648</v>
      </c>
      <c r="M278" s="48" t="s">
        <v>1648</v>
      </c>
      <c r="N278" s="48" t="s">
        <v>1648</v>
      </c>
      <c r="O278" s="48" t="s">
        <v>1648</v>
      </c>
      <c r="P278" s="48" t="s">
        <v>1648</v>
      </c>
      <c r="Q278" s="48" t="s">
        <v>1648</v>
      </c>
      <c r="R278" s="48" t="s">
        <v>1648</v>
      </c>
      <c r="S278" s="48" t="s">
        <v>1649</v>
      </c>
      <c r="T278" s="48"/>
    </row>
    <row r="279" spans="1:20" ht="13.5" thickBot="1" x14ac:dyDescent="0.25">
      <c r="A279" s="48" t="s">
        <v>496</v>
      </c>
      <c r="B279" s="224" t="s">
        <v>495</v>
      </c>
      <c r="C279" s="48" t="s">
        <v>22</v>
      </c>
      <c r="D279" s="87" t="s">
        <v>3529</v>
      </c>
      <c r="E279" s="208">
        <v>49544</v>
      </c>
      <c r="F279" s="208">
        <v>59432</v>
      </c>
      <c r="G279" s="244">
        <v>40</v>
      </c>
      <c r="H279" s="48" t="s">
        <v>1648</v>
      </c>
      <c r="I279" s="48" t="s">
        <v>1648</v>
      </c>
      <c r="J279" s="48" t="s">
        <v>1648</v>
      </c>
      <c r="K279" s="48" t="s">
        <v>1648</v>
      </c>
      <c r="L279" s="48" t="s">
        <v>1649</v>
      </c>
      <c r="M279" s="48" t="s">
        <v>1648</v>
      </c>
      <c r="N279" s="48" t="s">
        <v>1648</v>
      </c>
      <c r="O279" s="48" t="s">
        <v>1648</v>
      </c>
      <c r="P279" s="48" t="s">
        <v>1648</v>
      </c>
      <c r="Q279" s="48" t="s">
        <v>1648</v>
      </c>
      <c r="R279" s="48" t="s">
        <v>1648</v>
      </c>
      <c r="S279" s="48" t="s">
        <v>1648</v>
      </c>
      <c r="T279" s="48" t="s">
        <v>3576</v>
      </c>
    </row>
    <row r="280" spans="1:20" ht="13.5" thickBot="1" x14ac:dyDescent="0.25">
      <c r="A280" s="48" t="s">
        <v>500</v>
      </c>
      <c r="B280" s="224" t="s">
        <v>499</v>
      </c>
      <c r="C280" s="48" t="s">
        <v>22</v>
      </c>
      <c r="D280" s="87" t="s">
        <v>3529</v>
      </c>
      <c r="E280" s="208">
        <v>52500</v>
      </c>
      <c r="F280" s="208">
        <v>65000</v>
      </c>
      <c r="G280" s="244">
        <v>40</v>
      </c>
      <c r="H280" s="48" t="s">
        <v>1648</v>
      </c>
      <c r="I280" s="48" t="s">
        <v>1648</v>
      </c>
      <c r="J280" s="48" t="s">
        <v>1648</v>
      </c>
      <c r="K280" s="48" t="s">
        <v>1648</v>
      </c>
      <c r="L280" s="48" t="s">
        <v>1648</v>
      </c>
      <c r="M280" s="48" t="s">
        <v>1648</v>
      </c>
      <c r="N280" s="48" t="s">
        <v>1648</v>
      </c>
      <c r="O280" s="48" t="s">
        <v>1648</v>
      </c>
      <c r="P280" s="48" t="s">
        <v>1648</v>
      </c>
      <c r="Q280" s="48" t="s">
        <v>1648</v>
      </c>
      <c r="R280" s="48" t="s">
        <v>1648</v>
      </c>
      <c r="S280" s="48" t="s">
        <v>1649</v>
      </c>
      <c r="T280" s="48"/>
    </row>
    <row r="281" spans="1:20" ht="13.5" thickBot="1" x14ac:dyDescent="0.25">
      <c r="A281" s="48" t="s">
        <v>502</v>
      </c>
      <c r="B281" s="224" t="s">
        <v>501</v>
      </c>
      <c r="C281" s="48" t="s">
        <v>22</v>
      </c>
      <c r="D281" s="87" t="s">
        <v>3529</v>
      </c>
      <c r="E281" s="208">
        <v>60000</v>
      </c>
      <c r="F281" s="208">
        <v>82000</v>
      </c>
      <c r="G281" s="244">
        <v>38</v>
      </c>
      <c r="H281" s="48" t="s">
        <v>1648</v>
      </c>
      <c r="I281" s="48" t="s">
        <v>1648</v>
      </c>
      <c r="J281" s="48" t="s">
        <v>1648</v>
      </c>
      <c r="K281" s="48" t="s">
        <v>1649</v>
      </c>
      <c r="L281" s="48" t="s">
        <v>1648</v>
      </c>
      <c r="M281" s="48" t="s">
        <v>1648</v>
      </c>
      <c r="N281" s="48" t="s">
        <v>1648</v>
      </c>
      <c r="O281" s="48" t="s">
        <v>1648</v>
      </c>
      <c r="P281" s="48" t="s">
        <v>1648</v>
      </c>
      <c r="Q281" s="48" t="s">
        <v>1649</v>
      </c>
      <c r="R281" s="48" t="s">
        <v>1649</v>
      </c>
      <c r="S281" s="48" t="s">
        <v>1649</v>
      </c>
      <c r="T281" s="48"/>
    </row>
    <row r="282" spans="1:20" ht="13.5" thickBot="1" x14ac:dyDescent="0.25">
      <c r="A282" s="48" t="s">
        <v>506</v>
      </c>
      <c r="B282" s="224" t="s">
        <v>505</v>
      </c>
      <c r="C282" s="48" t="s">
        <v>22</v>
      </c>
      <c r="D282" s="87" t="s">
        <v>1812</v>
      </c>
      <c r="E282" s="208">
        <v>42000</v>
      </c>
      <c r="F282" s="208">
        <v>48000</v>
      </c>
      <c r="G282" s="244">
        <v>40</v>
      </c>
      <c r="H282" s="48" t="s">
        <v>1648</v>
      </c>
      <c r="I282" s="48" t="s">
        <v>1648</v>
      </c>
      <c r="J282" s="48" t="s">
        <v>1648</v>
      </c>
      <c r="K282" s="48" t="s">
        <v>1649</v>
      </c>
      <c r="L282" s="48" t="s">
        <v>1648</v>
      </c>
      <c r="M282" s="48" t="s">
        <v>1649</v>
      </c>
      <c r="N282" s="48" t="s">
        <v>1648</v>
      </c>
      <c r="O282" s="48" t="s">
        <v>1648</v>
      </c>
      <c r="P282" s="48" t="s">
        <v>1648</v>
      </c>
      <c r="Q282" s="48" t="s">
        <v>1649</v>
      </c>
      <c r="R282" s="48" t="s">
        <v>1649</v>
      </c>
      <c r="S282" s="48" t="s">
        <v>1649</v>
      </c>
      <c r="T282" s="48" t="s">
        <v>3577</v>
      </c>
    </row>
    <row r="283" spans="1:20" ht="13.5" thickBot="1" x14ac:dyDescent="0.25">
      <c r="A283" s="48" t="s">
        <v>516</v>
      </c>
      <c r="B283" s="224" t="s">
        <v>515</v>
      </c>
      <c r="C283" s="48" t="s">
        <v>22</v>
      </c>
      <c r="D283" s="87" t="s">
        <v>3529</v>
      </c>
      <c r="E283" s="208">
        <v>85000</v>
      </c>
      <c r="F283" s="208">
        <v>103072</v>
      </c>
      <c r="G283" s="244">
        <v>35</v>
      </c>
      <c r="H283" s="48" t="s">
        <v>1648</v>
      </c>
      <c r="I283" s="48" t="s">
        <v>1648</v>
      </c>
      <c r="J283" s="48" t="s">
        <v>1648</v>
      </c>
      <c r="K283" s="48" t="s">
        <v>1648</v>
      </c>
      <c r="L283" s="48" t="s">
        <v>1649</v>
      </c>
      <c r="M283" s="48" t="s">
        <v>1648</v>
      </c>
      <c r="N283" s="48" t="s">
        <v>1648</v>
      </c>
      <c r="O283" s="48" t="s">
        <v>1648</v>
      </c>
      <c r="P283" s="48" t="s">
        <v>1648</v>
      </c>
      <c r="Q283" s="48" t="s">
        <v>1649</v>
      </c>
      <c r="R283" s="48" t="s">
        <v>1648</v>
      </c>
      <c r="S283" s="48" t="s">
        <v>1648</v>
      </c>
      <c r="T283" s="48"/>
    </row>
    <row r="284" spans="1:20" ht="13.5" thickBot="1" x14ac:dyDescent="0.25">
      <c r="A284" s="48" t="s">
        <v>530</v>
      </c>
      <c r="B284" s="224" t="s">
        <v>529</v>
      </c>
      <c r="C284" s="48" t="s">
        <v>22</v>
      </c>
      <c r="D284" s="87" t="s">
        <v>3530</v>
      </c>
      <c r="E284" s="208">
        <v>45000</v>
      </c>
      <c r="F284" s="208">
        <v>75000</v>
      </c>
      <c r="G284" s="244">
        <v>38</v>
      </c>
      <c r="H284" s="48" t="s">
        <v>1648</v>
      </c>
      <c r="I284" s="48" t="s">
        <v>1648</v>
      </c>
      <c r="J284" s="48" t="s">
        <v>1649</v>
      </c>
      <c r="K284" s="48" t="s">
        <v>1648</v>
      </c>
      <c r="L284" s="48" t="s">
        <v>1648</v>
      </c>
      <c r="M284" s="48" t="s">
        <v>1648</v>
      </c>
      <c r="N284" s="48" t="s">
        <v>1648</v>
      </c>
      <c r="O284" s="48" t="s">
        <v>1649</v>
      </c>
      <c r="P284" s="48" t="s">
        <v>1648</v>
      </c>
      <c r="Q284" s="48" t="s">
        <v>1649</v>
      </c>
      <c r="R284" s="48" t="s">
        <v>1649</v>
      </c>
      <c r="S284" s="48" t="s">
        <v>1649</v>
      </c>
      <c r="T284" s="48" t="s">
        <v>3555</v>
      </c>
    </row>
    <row r="285" spans="1:20" ht="13.5" thickBot="1" x14ac:dyDescent="0.25">
      <c r="A285" s="48" t="s">
        <v>546</v>
      </c>
      <c r="B285" s="224" t="s">
        <v>545</v>
      </c>
      <c r="C285" s="48" t="s">
        <v>22</v>
      </c>
      <c r="D285" s="87" t="s">
        <v>3529</v>
      </c>
      <c r="E285" s="208">
        <v>35000</v>
      </c>
      <c r="F285" s="208">
        <v>42000</v>
      </c>
      <c r="G285" s="244">
        <v>40</v>
      </c>
      <c r="H285" s="48" t="s">
        <v>1649</v>
      </c>
      <c r="I285" s="48" t="s">
        <v>1649</v>
      </c>
      <c r="J285" s="48" t="s">
        <v>1649</v>
      </c>
      <c r="K285" s="48" t="s">
        <v>1649</v>
      </c>
      <c r="L285" s="48" t="s">
        <v>1649</v>
      </c>
      <c r="M285" s="48" t="s">
        <v>1648</v>
      </c>
      <c r="N285" s="48" t="s">
        <v>1648</v>
      </c>
      <c r="O285" s="48" t="s">
        <v>1648</v>
      </c>
      <c r="P285" s="48" t="s">
        <v>1648</v>
      </c>
      <c r="Q285" s="48" t="s">
        <v>1649</v>
      </c>
      <c r="R285" s="48" t="s">
        <v>1649</v>
      </c>
      <c r="S285" s="48" t="s">
        <v>1649</v>
      </c>
      <c r="T285" s="48" t="s">
        <v>3584</v>
      </c>
    </row>
    <row r="286" spans="1:20" ht="13.5" thickBot="1" x14ac:dyDescent="0.25">
      <c r="A286" s="48" t="s">
        <v>556</v>
      </c>
      <c r="B286" s="224" t="s">
        <v>555</v>
      </c>
      <c r="C286" s="48" t="s">
        <v>22</v>
      </c>
      <c r="D286" s="87" t="s">
        <v>3529</v>
      </c>
      <c r="E286" s="208">
        <v>60000</v>
      </c>
      <c r="F286" s="208">
        <v>86000</v>
      </c>
      <c r="G286" s="244">
        <v>40</v>
      </c>
      <c r="H286" s="48" t="s">
        <v>1648</v>
      </c>
      <c r="I286" s="48" t="s">
        <v>1648</v>
      </c>
      <c r="J286" s="48" t="s">
        <v>1648</v>
      </c>
      <c r="K286" s="48" t="s">
        <v>1649</v>
      </c>
      <c r="L286" s="48" t="s">
        <v>1648</v>
      </c>
      <c r="M286" s="48" t="s">
        <v>1649</v>
      </c>
      <c r="N286" s="48" t="s">
        <v>1648</v>
      </c>
      <c r="O286" s="48" t="s">
        <v>1648</v>
      </c>
      <c r="P286" s="48" t="s">
        <v>1648</v>
      </c>
      <c r="Q286" s="48" t="s">
        <v>1648</v>
      </c>
      <c r="R286" s="48" t="s">
        <v>1649</v>
      </c>
      <c r="S286" s="48" t="s">
        <v>1649</v>
      </c>
      <c r="T286" s="48" t="s">
        <v>3587</v>
      </c>
    </row>
    <row r="287" spans="1:20" ht="13.5" thickBot="1" x14ac:dyDescent="0.25">
      <c r="A287" s="48" t="s">
        <v>558</v>
      </c>
      <c r="B287" s="224" t="s">
        <v>557</v>
      </c>
      <c r="C287" s="48" t="s">
        <v>22</v>
      </c>
      <c r="D287" s="87" t="s">
        <v>3529</v>
      </c>
      <c r="E287" s="208">
        <v>69508.25</v>
      </c>
      <c r="F287" s="208">
        <v>69508</v>
      </c>
      <c r="G287" s="244">
        <v>40</v>
      </c>
      <c r="H287" s="48" t="s">
        <v>1648</v>
      </c>
      <c r="I287" s="48" t="s">
        <v>1648</v>
      </c>
      <c r="J287" s="48" t="s">
        <v>1648</v>
      </c>
      <c r="K287" s="48" t="s">
        <v>1648</v>
      </c>
      <c r="L287" s="48" t="s">
        <v>1648</v>
      </c>
      <c r="M287" s="48" t="s">
        <v>1648</v>
      </c>
      <c r="N287" s="48" t="s">
        <v>1648</v>
      </c>
      <c r="O287" s="48" t="s">
        <v>1649</v>
      </c>
      <c r="P287" s="48" t="s">
        <v>1648</v>
      </c>
      <c r="Q287" s="48" t="s">
        <v>1649</v>
      </c>
      <c r="R287" s="48" t="s">
        <v>1648</v>
      </c>
      <c r="S287" s="48" t="s">
        <v>1649</v>
      </c>
      <c r="T287" s="48" t="s">
        <v>3566</v>
      </c>
    </row>
    <row r="288" spans="1:20" ht="13.5" thickBot="1" x14ac:dyDescent="0.25">
      <c r="A288" s="48" t="s">
        <v>562</v>
      </c>
      <c r="B288" s="224" t="s">
        <v>561</v>
      </c>
      <c r="C288" s="48" t="s">
        <v>22</v>
      </c>
      <c r="D288" s="87" t="s">
        <v>3529</v>
      </c>
      <c r="E288" s="208">
        <v>75000</v>
      </c>
      <c r="F288" s="208">
        <v>95000</v>
      </c>
      <c r="G288" s="244">
        <v>40</v>
      </c>
      <c r="H288" s="48" t="s">
        <v>1648</v>
      </c>
      <c r="I288" s="48" t="s">
        <v>1648</v>
      </c>
      <c r="J288" s="48" t="s">
        <v>1648</v>
      </c>
      <c r="K288" s="48" t="s">
        <v>1648</v>
      </c>
      <c r="L288" s="48" t="s">
        <v>1648</v>
      </c>
      <c r="M288" s="48" t="s">
        <v>1648</v>
      </c>
      <c r="N288" s="48" t="s">
        <v>1648</v>
      </c>
      <c r="O288" s="48" t="s">
        <v>1649</v>
      </c>
      <c r="P288" s="48" t="s">
        <v>1648</v>
      </c>
      <c r="Q288" s="48" t="s">
        <v>1649</v>
      </c>
      <c r="R288" s="48" t="s">
        <v>1649</v>
      </c>
      <c r="S288" s="48" t="s">
        <v>1649</v>
      </c>
      <c r="T288" s="48"/>
    </row>
    <row r="289" spans="1:20" ht="13.5" thickBot="1" x14ac:dyDescent="0.25">
      <c r="A289" s="48" t="s">
        <v>570</v>
      </c>
      <c r="B289" s="224" t="s">
        <v>569</v>
      </c>
      <c r="C289" s="48" t="s">
        <v>22</v>
      </c>
      <c r="D289" s="87" t="s">
        <v>3529</v>
      </c>
      <c r="E289" s="208">
        <v>67000</v>
      </c>
      <c r="F289" s="208">
        <v>72000</v>
      </c>
      <c r="G289" s="244">
        <v>40</v>
      </c>
      <c r="H289" s="48" t="s">
        <v>1649</v>
      </c>
      <c r="I289" s="48" t="s">
        <v>1649</v>
      </c>
      <c r="J289" s="48" t="s">
        <v>1649</v>
      </c>
      <c r="K289" s="48" t="s">
        <v>1648</v>
      </c>
      <c r="L289" s="48" t="s">
        <v>1649</v>
      </c>
      <c r="M289" s="48" t="s">
        <v>1648</v>
      </c>
      <c r="N289" s="48" t="s">
        <v>1648</v>
      </c>
      <c r="O289" s="48" t="s">
        <v>1648</v>
      </c>
      <c r="P289" s="48" t="s">
        <v>1648</v>
      </c>
      <c r="Q289" s="48" t="s">
        <v>1648</v>
      </c>
      <c r="R289" s="48" t="s">
        <v>1648</v>
      </c>
      <c r="S289" s="48" t="s">
        <v>1649</v>
      </c>
      <c r="T289" s="48" t="s">
        <v>3589</v>
      </c>
    </row>
    <row r="290" spans="1:20" ht="13.5" thickBot="1" x14ac:dyDescent="0.25">
      <c r="A290" s="48" t="s">
        <v>580</v>
      </c>
      <c r="B290" s="224" t="s">
        <v>579</v>
      </c>
      <c r="C290" s="48" t="s">
        <v>22</v>
      </c>
      <c r="D290" s="87" t="s">
        <v>3529</v>
      </c>
      <c r="E290" s="208">
        <v>66000</v>
      </c>
      <c r="F290" s="208">
        <v>81500</v>
      </c>
      <c r="G290" s="244">
        <v>40</v>
      </c>
      <c r="H290" s="48" t="s">
        <v>1648</v>
      </c>
      <c r="I290" s="48" t="s">
        <v>1648</v>
      </c>
      <c r="J290" s="48" t="s">
        <v>1648</v>
      </c>
      <c r="K290" s="48" t="s">
        <v>1648</v>
      </c>
      <c r="L290" s="48" t="s">
        <v>1648</v>
      </c>
      <c r="M290" s="48" t="s">
        <v>1649</v>
      </c>
      <c r="N290" s="48" t="s">
        <v>1648</v>
      </c>
      <c r="O290" s="48" t="s">
        <v>1648</v>
      </c>
      <c r="P290" s="48" t="s">
        <v>1648</v>
      </c>
      <c r="Q290" s="48" t="s">
        <v>1648</v>
      </c>
      <c r="R290" s="48" t="s">
        <v>1648</v>
      </c>
      <c r="S290" s="48" t="s">
        <v>1648</v>
      </c>
      <c r="T290" s="48"/>
    </row>
    <row r="291" spans="1:20" ht="13.5" thickBot="1" x14ac:dyDescent="0.25">
      <c r="A291" s="48" t="s">
        <v>596</v>
      </c>
      <c r="B291" s="224" t="s">
        <v>595</v>
      </c>
      <c r="C291" s="48" t="s">
        <v>22</v>
      </c>
      <c r="D291" s="87" t="s">
        <v>3530</v>
      </c>
      <c r="E291" s="208">
        <v>47126</v>
      </c>
      <c r="F291" s="208">
        <v>47126</v>
      </c>
      <c r="G291" s="244">
        <v>40</v>
      </c>
      <c r="H291" s="48" t="s">
        <v>1648</v>
      </c>
      <c r="I291" s="48" t="s">
        <v>1649</v>
      </c>
      <c r="J291" s="48" t="s">
        <v>1649</v>
      </c>
      <c r="K291" s="48" t="s">
        <v>1649</v>
      </c>
      <c r="L291" s="48" t="s">
        <v>1649</v>
      </c>
      <c r="M291" s="48" t="s">
        <v>1648</v>
      </c>
      <c r="N291" s="48" t="s">
        <v>1648</v>
      </c>
      <c r="O291" s="48" t="s">
        <v>1648</v>
      </c>
      <c r="P291" s="48" t="s">
        <v>1648</v>
      </c>
      <c r="Q291" s="48" t="s">
        <v>1649</v>
      </c>
      <c r="R291" s="48" t="s">
        <v>1649</v>
      </c>
      <c r="S291" s="48" t="s">
        <v>1649</v>
      </c>
      <c r="T291" s="48"/>
    </row>
    <row r="292" spans="1:20" ht="13.5" thickBot="1" x14ac:dyDescent="0.25">
      <c r="A292" s="48" t="s">
        <v>598</v>
      </c>
      <c r="B292" s="224" t="s">
        <v>597</v>
      </c>
      <c r="C292" s="48" t="s">
        <v>22</v>
      </c>
      <c r="D292" s="87" t="s">
        <v>3529</v>
      </c>
      <c r="E292" s="208">
        <v>38000</v>
      </c>
      <c r="F292" s="208">
        <v>64866</v>
      </c>
      <c r="G292" s="244">
        <v>40</v>
      </c>
      <c r="H292" s="48" t="s">
        <v>1648</v>
      </c>
      <c r="I292" s="48" t="s">
        <v>1649</v>
      </c>
      <c r="J292" s="48" t="s">
        <v>1649</v>
      </c>
      <c r="K292" s="48" t="s">
        <v>1649</v>
      </c>
      <c r="L292" s="48" t="s">
        <v>1649</v>
      </c>
      <c r="M292" s="48" t="s">
        <v>1648</v>
      </c>
      <c r="N292" s="48" t="s">
        <v>1648</v>
      </c>
      <c r="O292" s="48" t="s">
        <v>1649</v>
      </c>
      <c r="P292" s="48" t="s">
        <v>1648</v>
      </c>
      <c r="Q292" s="48" t="s">
        <v>1649</v>
      </c>
      <c r="R292" s="48" t="s">
        <v>1649</v>
      </c>
      <c r="S292" s="48" t="s">
        <v>1648</v>
      </c>
      <c r="T292" s="48"/>
    </row>
    <row r="293" spans="1:20" ht="13.5" thickBot="1" x14ac:dyDescent="0.25">
      <c r="A293" s="48" t="s">
        <v>602</v>
      </c>
      <c r="B293" s="224" t="s">
        <v>601</v>
      </c>
      <c r="C293" s="48" t="s">
        <v>22</v>
      </c>
      <c r="D293" s="87" t="s">
        <v>3529</v>
      </c>
      <c r="E293" s="208">
        <v>58500</v>
      </c>
      <c r="F293" s="208">
        <v>72000</v>
      </c>
      <c r="G293" s="244">
        <v>40</v>
      </c>
      <c r="H293" s="48" t="s">
        <v>1649</v>
      </c>
      <c r="I293" s="48" t="s">
        <v>1649</v>
      </c>
      <c r="J293" s="48" t="s">
        <v>1649</v>
      </c>
      <c r="K293" s="48" t="s">
        <v>1649</v>
      </c>
      <c r="L293" s="48" t="s">
        <v>1649</v>
      </c>
      <c r="M293" s="48" t="s">
        <v>1648</v>
      </c>
      <c r="N293" s="48" t="s">
        <v>1648</v>
      </c>
      <c r="O293" s="48" t="s">
        <v>1648</v>
      </c>
      <c r="P293" s="48" t="s">
        <v>1648</v>
      </c>
      <c r="Q293" s="48" t="s">
        <v>1649</v>
      </c>
      <c r="R293" s="48" t="s">
        <v>1649</v>
      </c>
      <c r="S293" s="48" t="s">
        <v>1649</v>
      </c>
      <c r="T293" s="48"/>
    </row>
    <row r="294" spans="1:20" ht="13.5" thickBot="1" x14ac:dyDescent="0.25">
      <c r="A294" s="48" t="s">
        <v>636</v>
      </c>
      <c r="B294" s="224" t="s">
        <v>635</v>
      </c>
      <c r="C294" s="48" t="s">
        <v>22</v>
      </c>
      <c r="D294" s="87" t="s">
        <v>3530</v>
      </c>
      <c r="E294" s="208">
        <v>46000</v>
      </c>
      <c r="F294" s="208">
        <v>64200</v>
      </c>
      <c r="G294" s="244">
        <v>40</v>
      </c>
      <c r="H294" s="48" t="s">
        <v>1648</v>
      </c>
      <c r="I294" s="48" t="s">
        <v>1648</v>
      </c>
      <c r="J294" s="48" t="s">
        <v>1648</v>
      </c>
      <c r="K294" s="48" t="s">
        <v>1648</v>
      </c>
      <c r="L294" s="48" t="s">
        <v>1649</v>
      </c>
      <c r="M294" s="48" t="s">
        <v>1648</v>
      </c>
      <c r="N294" s="48" t="s">
        <v>1648</v>
      </c>
      <c r="O294" s="48" t="s">
        <v>1648</v>
      </c>
      <c r="P294" s="48" t="s">
        <v>1648</v>
      </c>
      <c r="Q294" s="48" t="s">
        <v>1648</v>
      </c>
      <c r="R294" s="48" t="s">
        <v>1648</v>
      </c>
      <c r="S294" s="48" t="s">
        <v>1648</v>
      </c>
      <c r="T294" s="48"/>
    </row>
    <row r="295" spans="1:20" ht="13.5" thickBot="1" x14ac:dyDescent="0.25">
      <c r="A295" s="48" t="s">
        <v>662</v>
      </c>
      <c r="B295" s="224" t="s">
        <v>661</v>
      </c>
      <c r="C295" s="48" t="s">
        <v>22</v>
      </c>
      <c r="D295" s="87" t="s">
        <v>3529</v>
      </c>
      <c r="E295" s="208">
        <v>57568</v>
      </c>
      <c r="F295" s="208">
        <v>90142</v>
      </c>
      <c r="G295" s="244">
        <v>40</v>
      </c>
      <c r="H295" s="48" t="s">
        <v>1648</v>
      </c>
      <c r="I295" s="48" t="s">
        <v>1648</v>
      </c>
      <c r="J295" s="48" t="s">
        <v>1648</v>
      </c>
      <c r="K295" s="48" t="s">
        <v>1649</v>
      </c>
      <c r="L295" s="48" t="s">
        <v>1649</v>
      </c>
      <c r="M295" s="48" t="s">
        <v>1648</v>
      </c>
      <c r="N295" s="48" t="s">
        <v>1648</v>
      </c>
      <c r="O295" s="48" t="s">
        <v>1648</v>
      </c>
      <c r="P295" s="48" t="s">
        <v>1648</v>
      </c>
      <c r="Q295" s="48" t="s">
        <v>1648</v>
      </c>
      <c r="R295" s="48" t="s">
        <v>1649</v>
      </c>
      <c r="S295" s="48" t="s">
        <v>1648</v>
      </c>
      <c r="T295" s="48" t="s">
        <v>3600</v>
      </c>
    </row>
    <row r="296" spans="1:20" ht="13.5" thickBot="1" x14ac:dyDescent="0.25">
      <c r="A296" s="48" t="s">
        <v>704</v>
      </c>
      <c r="B296" s="224" t="s">
        <v>703</v>
      </c>
      <c r="C296" s="48" t="s">
        <v>22</v>
      </c>
      <c r="D296" s="87" t="s">
        <v>3529</v>
      </c>
      <c r="E296" s="87" t="s">
        <v>1660</v>
      </c>
      <c r="F296" s="87" t="s">
        <v>1660</v>
      </c>
      <c r="G296" s="87" t="s">
        <v>1660</v>
      </c>
      <c r="H296" s="48" t="s">
        <v>1648</v>
      </c>
      <c r="I296" s="48" t="s">
        <v>1648</v>
      </c>
      <c r="J296" s="48" t="s">
        <v>1648</v>
      </c>
      <c r="K296" s="48" t="s">
        <v>1648</v>
      </c>
      <c r="L296" s="48" t="s">
        <v>1648</v>
      </c>
      <c r="M296" s="48" t="s">
        <v>1648</v>
      </c>
      <c r="N296" s="48" t="s">
        <v>1648</v>
      </c>
      <c r="O296" s="48" t="s">
        <v>1648</v>
      </c>
      <c r="P296" s="48" t="s">
        <v>1648</v>
      </c>
      <c r="Q296" s="48" t="s">
        <v>1648</v>
      </c>
      <c r="R296" s="48" t="s">
        <v>1648</v>
      </c>
      <c r="S296" s="48" t="s">
        <v>1649</v>
      </c>
      <c r="T296" s="48"/>
    </row>
    <row r="297" spans="1:20" ht="13.5" thickBot="1" x14ac:dyDescent="0.25">
      <c r="A297" s="48" t="s">
        <v>706</v>
      </c>
      <c r="B297" s="224" t="s">
        <v>705</v>
      </c>
      <c r="C297" s="48" t="s">
        <v>22</v>
      </c>
      <c r="D297" s="87" t="s">
        <v>3529</v>
      </c>
      <c r="E297" s="87" t="s">
        <v>1660</v>
      </c>
      <c r="F297" s="208">
        <v>81525</v>
      </c>
      <c r="G297" s="244">
        <v>40</v>
      </c>
      <c r="H297" s="48" t="s">
        <v>1648</v>
      </c>
      <c r="I297" s="48" t="s">
        <v>1649</v>
      </c>
      <c r="J297" s="48" t="s">
        <v>1649</v>
      </c>
      <c r="K297" s="48" t="s">
        <v>1648</v>
      </c>
      <c r="L297" s="48" t="s">
        <v>1648</v>
      </c>
      <c r="M297" s="48" t="s">
        <v>1648</v>
      </c>
      <c r="N297" s="48" t="s">
        <v>1648</v>
      </c>
      <c r="O297" s="48" t="s">
        <v>1648</v>
      </c>
      <c r="P297" s="48" t="s">
        <v>1648</v>
      </c>
      <c r="Q297" s="48" t="s">
        <v>1649</v>
      </c>
      <c r="R297" s="48" t="s">
        <v>1648</v>
      </c>
      <c r="S297" s="48" t="s">
        <v>1649</v>
      </c>
      <c r="T297" s="48"/>
    </row>
    <row r="298" spans="1:20" ht="13.5" thickBot="1" x14ac:dyDescent="0.25">
      <c r="A298" s="48" t="s">
        <v>712</v>
      </c>
      <c r="B298" s="224" t="s">
        <v>711</v>
      </c>
      <c r="C298" s="48" t="s">
        <v>22</v>
      </c>
      <c r="D298" s="87" t="s">
        <v>3529</v>
      </c>
      <c r="E298" s="208">
        <v>50000</v>
      </c>
      <c r="F298" s="208">
        <v>73000</v>
      </c>
      <c r="G298" s="244">
        <v>40</v>
      </c>
      <c r="H298" s="48" t="s">
        <v>1648</v>
      </c>
      <c r="I298" s="48" t="s">
        <v>1648</v>
      </c>
      <c r="J298" s="48" t="s">
        <v>1648</v>
      </c>
      <c r="K298" s="48" t="s">
        <v>1648</v>
      </c>
      <c r="L298" s="48" t="s">
        <v>1649</v>
      </c>
      <c r="M298" s="48" t="s">
        <v>1648</v>
      </c>
      <c r="N298" s="48" t="s">
        <v>1648</v>
      </c>
      <c r="O298" s="48" t="s">
        <v>1649</v>
      </c>
      <c r="P298" s="48" t="s">
        <v>1648</v>
      </c>
      <c r="Q298" s="48" t="s">
        <v>1648</v>
      </c>
      <c r="R298" s="48" t="s">
        <v>1648</v>
      </c>
      <c r="S298" s="48" t="s">
        <v>1649</v>
      </c>
      <c r="T298" s="48"/>
    </row>
    <row r="299" spans="1:20" ht="13.5" thickBot="1" x14ac:dyDescent="0.25">
      <c r="A299" s="48" t="s">
        <v>730</v>
      </c>
      <c r="B299" s="224" t="s">
        <v>729</v>
      </c>
      <c r="C299" s="48" t="s">
        <v>22</v>
      </c>
      <c r="D299" s="87" t="s">
        <v>3529</v>
      </c>
      <c r="E299" s="208">
        <v>60000</v>
      </c>
      <c r="F299" s="208">
        <v>68960</v>
      </c>
      <c r="G299" s="244">
        <v>40</v>
      </c>
      <c r="H299" s="48" t="s">
        <v>1648</v>
      </c>
      <c r="I299" s="48" t="s">
        <v>1648</v>
      </c>
      <c r="J299" s="48" t="s">
        <v>1648</v>
      </c>
      <c r="K299" s="48" t="s">
        <v>1648</v>
      </c>
      <c r="L299" s="48" t="s">
        <v>1648</v>
      </c>
      <c r="M299" s="48" t="s">
        <v>1648</v>
      </c>
      <c r="N299" s="48" t="s">
        <v>1648</v>
      </c>
      <c r="O299" s="48" t="s">
        <v>1648</v>
      </c>
      <c r="P299" s="48" t="s">
        <v>1648</v>
      </c>
      <c r="Q299" s="48" t="s">
        <v>1649</v>
      </c>
      <c r="R299" s="48" t="s">
        <v>1648</v>
      </c>
      <c r="S299" s="48" t="s">
        <v>1649</v>
      </c>
      <c r="T299" s="48"/>
    </row>
    <row r="300" spans="1:20" ht="13.5" thickBot="1" x14ac:dyDescent="0.25">
      <c r="A300" s="48" t="s">
        <v>742</v>
      </c>
      <c r="B300" s="224" t="s">
        <v>741</v>
      </c>
      <c r="C300" s="48" t="s">
        <v>22</v>
      </c>
      <c r="D300" s="87" t="s">
        <v>3529</v>
      </c>
      <c r="E300" s="208">
        <v>43576</v>
      </c>
      <c r="F300" s="208">
        <v>88459</v>
      </c>
      <c r="G300" s="244">
        <v>40</v>
      </c>
      <c r="H300" s="48" t="s">
        <v>1648</v>
      </c>
      <c r="I300" s="48" t="s">
        <v>1648</v>
      </c>
      <c r="J300" s="48" t="s">
        <v>1648</v>
      </c>
      <c r="K300" s="48" t="s">
        <v>1648</v>
      </c>
      <c r="L300" s="48" t="s">
        <v>1648</v>
      </c>
      <c r="M300" s="48" t="s">
        <v>1648</v>
      </c>
      <c r="N300" s="48" t="s">
        <v>1649</v>
      </c>
      <c r="O300" s="48" t="s">
        <v>1648</v>
      </c>
      <c r="P300" s="48" t="s">
        <v>1649</v>
      </c>
      <c r="Q300" s="48" t="s">
        <v>1648</v>
      </c>
      <c r="R300" s="48" t="s">
        <v>1648</v>
      </c>
      <c r="S300" s="48" t="s">
        <v>1648</v>
      </c>
      <c r="T300" s="48"/>
    </row>
    <row r="301" spans="1:20" ht="13.5" thickBot="1" x14ac:dyDescent="0.25">
      <c r="A301" s="48" t="s">
        <v>746</v>
      </c>
      <c r="B301" s="224" t="s">
        <v>745</v>
      </c>
      <c r="C301" s="48" t="s">
        <v>22</v>
      </c>
      <c r="D301" s="87" t="s">
        <v>3529</v>
      </c>
      <c r="E301" s="208">
        <v>52530</v>
      </c>
      <c r="F301" s="208">
        <v>54110</v>
      </c>
      <c r="G301" s="244">
        <v>40</v>
      </c>
      <c r="H301" s="48" t="s">
        <v>1648</v>
      </c>
      <c r="I301" s="48" t="s">
        <v>1648</v>
      </c>
      <c r="J301" s="48" t="s">
        <v>1648</v>
      </c>
      <c r="K301" s="48" t="s">
        <v>1648</v>
      </c>
      <c r="L301" s="48" t="s">
        <v>1648</v>
      </c>
      <c r="M301" s="48" t="s">
        <v>1648</v>
      </c>
      <c r="N301" s="48" t="s">
        <v>1648</v>
      </c>
      <c r="O301" s="48" t="s">
        <v>1649</v>
      </c>
      <c r="P301" s="48" t="s">
        <v>1648</v>
      </c>
      <c r="Q301" s="48" t="s">
        <v>1649</v>
      </c>
      <c r="R301" s="48" t="s">
        <v>1648</v>
      </c>
      <c r="S301" s="48" t="s">
        <v>1649</v>
      </c>
      <c r="T301" s="48"/>
    </row>
    <row r="302" spans="1:20" ht="13.5" thickBot="1" x14ac:dyDescent="0.25">
      <c r="A302" s="48" t="s">
        <v>766</v>
      </c>
      <c r="B302" s="224" t="s">
        <v>765</v>
      </c>
      <c r="C302" s="48" t="s">
        <v>22</v>
      </c>
      <c r="D302" s="87" t="s">
        <v>3529</v>
      </c>
      <c r="E302" s="208">
        <v>48500</v>
      </c>
      <c r="F302" s="208">
        <v>55000</v>
      </c>
      <c r="G302" s="244">
        <v>40</v>
      </c>
      <c r="H302" s="48" t="s">
        <v>1648</v>
      </c>
      <c r="I302" s="48" t="s">
        <v>1648</v>
      </c>
      <c r="J302" s="48" t="s">
        <v>1649</v>
      </c>
      <c r="K302" s="48" t="s">
        <v>1649</v>
      </c>
      <c r="L302" s="48" t="s">
        <v>1649</v>
      </c>
      <c r="M302" s="48" t="s">
        <v>1648</v>
      </c>
      <c r="N302" s="48" t="s">
        <v>1648</v>
      </c>
      <c r="O302" s="48" t="s">
        <v>1649</v>
      </c>
      <c r="P302" s="48" t="s">
        <v>1648</v>
      </c>
      <c r="Q302" s="48" t="s">
        <v>1648</v>
      </c>
      <c r="R302" s="48" t="s">
        <v>1649</v>
      </c>
      <c r="S302" s="48" t="s">
        <v>1649</v>
      </c>
      <c r="T302" s="48"/>
    </row>
    <row r="303" spans="1:20" ht="13.5" thickBot="1" x14ac:dyDescent="0.25">
      <c r="A303" s="48" t="s">
        <v>786</v>
      </c>
      <c r="B303" s="224" t="s">
        <v>785</v>
      </c>
      <c r="C303" s="48" t="s">
        <v>22</v>
      </c>
      <c r="D303" s="87" t="s">
        <v>3529</v>
      </c>
      <c r="E303" s="208">
        <v>60000</v>
      </c>
      <c r="F303" s="208">
        <v>67600</v>
      </c>
      <c r="G303" s="244">
        <v>38</v>
      </c>
      <c r="H303" s="48" t="s">
        <v>1648</v>
      </c>
      <c r="I303" s="48" t="s">
        <v>1648</v>
      </c>
      <c r="J303" s="48" t="s">
        <v>1648</v>
      </c>
      <c r="K303" s="48" t="s">
        <v>1648</v>
      </c>
      <c r="L303" s="48" t="s">
        <v>1648</v>
      </c>
      <c r="M303" s="48" t="s">
        <v>1648</v>
      </c>
      <c r="N303" s="48" t="s">
        <v>1648</v>
      </c>
      <c r="O303" s="48" t="s">
        <v>1649</v>
      </c>
      <c r="P303" s="48" t="s">
        <v>1648</v>
      </c>
      <c r="Q303" s="48" t="s">
        <v>1648</v>
      </c>
      <c r="R303" s="48" t="s">
        <v>1649</v>
      </c>
      <c r="S303" s="48" t="s">
        <v>1649</v>
      </c>
      <c r="T303" s="48"/>
    </row>
    <row r="304" spans="1:20" ht="13.5" thickBot="1" x14ac:dyDescent="0.25">
      <c r="A304" s="48" t="s">
        <v>812</v>
      </c>
      <c r="B304" s="224" t="s">
        <v>811</v>
      </c>
      <c r="C304" s="48" t="s">
        <v>22</v>
      </c>
      <c r="D304" s="87" t="s">
        <v>3529</v>
      </c>
      <c r="E304" s="208">
        <v>53159</v>
      </c>
      <c r="F304" s="208">
        <v>66449</v>
      </c>
      <c r="G304" s="244">
        <v>40</v>
      </c>
      <c r="H304" s="48" t="s">
        <v>1648</v>
      </c>
      <c r="I304" s="48" t="s">
        <v>1648</v>
      </c>
      <c r="J304" s="48" t="s">
        <v>1648</v>
      </c>
      <c r="K304" s="48" t="s">
        <v>1648</v>
      </c>
      <c r="L304" s="48" t="s">
        <v>1649</v>
      </c>
      <c r="M304" s="48" t="s">
        <v>1648</v>
      </c>
      <c r="N304" s="48" t="s">
        <v>1648</v>
      </c>
      <c r="O304" s="48" t="s">
        <v>1648</v>
      </c>
      <c r="P304" s="48" t="s">
        <v>1648</v>
      </c>
      <c r="Q304" s="48" t="s">
        <v>1649</v>
      </c>
      <c r="R304" s="48" t="s">
        <v>1648</v>
      </c>
      <c r="S304" s="48" t="s">
        <v>1649</v>
      </c>
      <c r="T304" s="48"/>
    </row>
    <row r="305" spans="1:20" ht="13.5" thickBot="1" x14ac:dyDescent="0.25">
      <c r="A305" s="48" t="s">
        <v>38</v>
      </c>
      <c r="B305" s="224" t="s">
        <v>37</v>
      </c>
      <c r="C305" s="48" t="s">
        <v>39</v>
      </c>
      <c r="D305" s="87" t="s">
        <v>3529</v>
      </c>
      <c r="E305" s="208">
        <v>65000</v>
      </c>
      <c r="F305" s="208">
        <v>80000</v>
      </c>
      <c r="G305" s="244">
        <v>35</v>
      </c>
      <c r="H305" s="48" t="s">
        <v>1648</v>
      </c>
      <c r="I305" s="48" t="s">
        <v>1648</v>
      </c>
      <c r="J305" s="48" t="s">
        <v>1648</v>
      </c>
      <c r="K305" s="48" t="s">
        <v>1648</v>
      </c>
      <c r="L305" s="48" t="s">
        <v>1648</v>
      </c>
      <c r="M305" s="48" t="s">
        <v>1648</v>
      </c>
      <c r="N305" s="48" t="s">
        <v>1648</v>
      </c>
      <c r="O305" s="48" t="s">
        <v>1648</v>
      </c>
      <c r="P305" s="48" t="s">
        <v>1648</v>
      </c>
      <c r="Q305" s="48" t="s">
        <v>1648</v>
      </c>
      <c r="R305" s="48" t="s">
        <v>1648</v>
      </c>
      <c r="S305" s="48" t="s">
        <v>1649</v>
      </c>
      <c r="T305" s="48"/>
    </row>
    <row r="306" spans="1:20" ht="13.5" thickBot="1" x14ac:dyDescent="0.25">
      <c r="A306" s="48" t="s">
        <v>41</v>
      </c>
      <c r="B306" s="224" t="s">
        <v>40</v>
      </c>
      <c r="C306" s="48" t="s">
        <v>39</v>
      </c>
      <c r="D306" s="87" t="s">
        <v>3530</v>
      </c>
      <c r="E306" s="208">
        <v>49509</v>
      </c>
      <c r="F306" s="208">
        <v>69313</v>
      </c>
      <c r="G306" s="244">
        <v>40</v>
      </c>
      <c r="H306" s="48" t="s">
        <v>1648</v>
      </c>
      <c r="I306" s="48" t="s">
        <v>1648</v>
      </c>
      <c r="J306" s="48" t="s">
        <v>1648</v>
      </c>
      <c r="K306" s="48" t="s">
        <v>1648</v>
      </c>
      <c r="L306" s="48" t="s">
        <v>1648</v>
      </c>
      <c r="M306" s="48" t="s">
        <v>1648</v>
      </c>
      <c r="N306" s="48" t="s">
        <v>1648</v>
      </c>
      <c r="O306" s="48" t="s">
        <v>1648</v>
      </c>
      <c r="P306" s="48" t="s">
        <v>1648</v>
      </c>
      <c r="Q306" s="48" t="s">
        <v>1648</v>
      </c>
      <c r="R306" s="48" t="s">
        <v>1648</v>
      </c>
      <c r="S306" s="48" t="s">
        <v>1649</v>
      </c>
      <c r="T306" s="48"/>
    </row>
    <row r="307" spans="1:20" ht="13.5" thickBot="1" x14ac:dyDescent="0.25">
      <c r="A307" s="48" t="s">
        <v>49</v>
      </c>
      <c r="B307" s="224" t="s">
        <v>48</v>
      </c>
      <c r="C307" s="48" t="s">
        <v>39</v>
      </c>
      <c r="D307" s="87" t="s">
        <v>3529</v>
      </c>
      <c r="E307" s="208">
        <v>78711</v>
      </c>
      <c r="F307" s="208">
        <v>78711</v>
      </c>
      <c r="G307" s="244">
        <v>40</v>
      </c>
      <c r="H307" s="48" t="s">
        <v>1648</v>
      </c>
      <c r="I307" s="48" t="s">
        <v>1648</v>
      </c>
      <c r="J307" s="48" t="s">
        <v>1648</v>
      </c>
      <c r="K307" s="48" t="s">
        <v>1648</v>
      </c>
      <c r="L307" s="48" t="s">
        <v>1648</v>
      </c>
      <c r="M307" s="48" t="s">
        <v>1648</v>
      </c>
      <c r="N307" s="48" t="s">
        <v>1648</v>
      </c>
      <c r="O307" s="48" t="s">
        <v>1648</v>
      </c>
      <c r="P307" s="48" t="s">
        <v>1648</v>
      </c>
      <c r="Q307" s="48" t="s">
        <v>1649</v>
      </c>
      <c r="R307" s="48" t="s">
        <v>1649</v>
      </c>
      <c r="S307" s="48" t="s">
        <v>1649</v>
      </c>
      <c r="T307" s="48"/>
    </row>
    <row r="308" spans="1:20" ht="13.5" thickBot="1" x14ac:dyDescent="0.25">
      <c r="A308" s="48" t="s">
        <v>72</v>
      </c>
      <c r="B308" s="224" t="s">
        <v>71</v>
      </c>
      <c r="C308" s="48" t="s">
        <v>39</v>
      </c>
      <c r="D308" s="87" t="s">
        <v>3529</v>
      </c>
      <c r="E308" s="208">
        <v>86000</v>
      </c>
      <c r="F308" s="208">
        <v>93995</v>
      </c>
      <c r="G308" s="244">
        <v>40</v>
      </c>
      <c r="H308" s="48" t="s">
        <v>1648</v>
      </c>
      <c r="I308" s="48" t="s">
        <v>1648</v>
      </c>
      <c r="J308" s="48" t="s">
        <v>1648</v>
      </c>
      <c r="K308" s="48" t="s">
        <v>1648</v>
      </c>
      <c r="L308" s="48" t="s">
        <v>1648</v>
      </c>
      <c r="M308" s="48" t="s">
        <v>1648</v>
      </c>
      <c r="N308" s="48" t="s">
        <v>1648</v>
      </c>
      <c r="O308" s="48" t="s">
        <v>1648</v>
      </c>
      <c r="P308" s="48" t="s">
        <v>1648</v>
      </c>
      <c r="Q308" s="48" t="s">
        <v>1649</v>
      </c>
      <c r="R308" s="48" t="s">
        <v>1648</v>
      </c>
      <c r="S308" s="48" t="s">
        <v>1649</v>
      </c>
      <c r="T308" s="48"/>
    </row>
    <row r="309" spans="1:20" ht="13.5" thickBot="1" x14ac:dyDescent="0.25">
      <c r="A309" s="48" t="s">
        <v>84</v>
      </c>
      <c r="B309" s="224" t="s">
        <v>83</v>
      </c>
      <c r="C309" s="48" t="s">
        <v>39</v>
      </c>
      <c r="D309" s="87" t="s">
        <v>3529</v>
      </c>
      <c r="E309" s="208">
        <v>76000</v>
      </c>
      <c r="F309" s="208">
        <v>94000</v>
      </c>
      <c r="G309" s="244">
        <v>40</v>
      </c>
      <c r="H309" s="48" t="s">
        <v>1648</v>
      </c>
      <c r="I309" s="48" t="s">
        <v>1648</v>
      </c>
      <c r="J309" s="48" t="s">
        <v>1648</v>
      </c>
      <c r="K309" s="48" t="s">
        <v>1648</v>
      </c>
      <c r="L309" s="48" t="s">
        <v>1648</v>
      </c>
      <c r="M309" s="48" t="s">
        <v>1648</v>
      </c>
      <c r="N309" s="48" t="s">
        <v>1648</v>
      </c>
      <c r="O309" s="48" t="s">
        <v>1648</v>
      </c>
      <c r="P309" s="48" t="s">
        <v>1648</v>
      </c>
      <c r="Q309" s="48" t="s">
        <v>1648</v>
      </c>
      <c r="R309" s="48" t="s">
        <v>1648</v>
      </c>
      <c r="S309" s="48" t="s">
        <v>1649</v>
      </c>
      <c r="T309" s="48"/>
    </row>
    <row r="310" spans="1:20" ht="13.5" thickBot="1" x14ac:dyDescent="0.25">
      <c r="A310" s="48" t="s">
        <v>108</v>
      </c>
      <c r="B310" s="224" t="s">
        <v>107</v>
      </c>
      <c r="C310" s="48" t="s">
        <v>39</v>
      </c>
      <c r="D310" s="87" t="s">
        <v>3529</v>
      </c>
      <c r="E310" s="208">
        <v>120000</v>
      </c>
      <c r="F310" s="208">
        <v>120000</v>
      </c>
      <c r="G310" s="244">
        <v>38</v>
      </c>
      <c r="H310" s="48" t="s">
        <v>1648</v>
      </c>
      <c r="I310" s="48" t="s">
        <v>1648</v>
      </c>
      <c r="J310" s="48" t="s">
        <v>1648</v>
      </c>
      <c r="K310" s="48" t="s">
        <v>1648</v>
      </c>
      <c r="L310" s="48" t="s">
        <v>1648</v>
      </c>
      <c r="M310" s="48" t="s">
        <v>1648</v>
      </c>
      <c r="N310" s="48" t="s">
        <v>1648</v>
      </c>
      <c r="O310" s="48" t="s">
        <v>1648</v>
      </c>
      <c r="P310" s="48" t="s">
        <v>1648</v>
      </c>
      <c r="Q310" s="48" t="s">
        <v>1648</v>
      </c>
      <c r="R310" s="48" t="s">
        <v>1648</v>
      </c>
      <c r="S310" s="48" t="s">
        <v>1649</v>
      </c>
      <c r="T310" s="48" t="s">
        <v>3540</v>
      </c>
    </row>
    <row r="311" spans="1:20" ht="13.5" thickBot="1" x14ac:dyDescent="0.25">
      <c r="A311" s="48" t="s">
        <v>114</v>
      </c>
      <c r="B311" s="224" t="s">
        <v>113</v>
      </c>
      <c r="C311" s="48" t="s">
        <v>39</v>
      </c>
      <c r="D311" s="87" t="s">
        <v>3529</v>
      </c>
      <c r="E311" s="208">
        <v>78000</v>
      </c>
      <c r="F311" s="208">
        <v>78000</v>
      </c>
      <c r="G311" s="244">
        <v>40</v>
      </c>
      <c r="H311" s="48" t="s">
        <v>1648</v>
      </c>
      <c r="I311" s="48" t="s">
        <v>1648</v>
      </c>
      <c r="J311" s="48" t="s">
        <v>1648</v>
      </c>
      <c r="K311" s="48" t="s">
        <v>1649</v>
      </c>
      <c r="L311" s="48" t="s">
        <v>1649</v>
      </c>
      <c r="M311" s="48" t="s">
        <v>1648</v>
      </c>
      <c r="N311" s="48" t="s">
        <v>1648</v>
      </c>
      <c r="O311" s="48" t="s">
        <v>1648</v>
      </c>
      <c r="P311" s="48" t="s">
        <v>1648</v>
      </c>
      <c r="Q311" s="48" t="s">
        <v>1648</v>
      </c>
      <c r="R311" s="48" t="s">
        <v>1649</v>
      </c>
      <c r="S311" s="48" t="s">
        <v>1648</v>
      </c>
      <c r="T311" s="48"/>
    </row>
    <row r="312" spans="1:20" ht="13.5" thickBot="1" x14ac:dyDescent="0.25">
      <c r="A312" s="48" t="s">
        <v>124</v>
      </c>
      <c r="B312" s="224" t="s">
        <v>123</v>
      </c>
      <c r="C312" s="48" t="s">
        <v>39</v>
      </c>
      <c r="D312" s="87" t="s">
        <v>3529</v>
      </c>
      <c r="E312" s="208">
        <v>74657</v>
      </c>
      <c r="F312" s="208">
        <v>96640</v>
      </c>
      <c r="G312" s="244">
        <v>40</v>
      </c>
      <c r="H312" s="48" t="s">
        <v>1648</v>
      </c>
      <c r="I312" s="48" t="s">
        <v>1648</v>
      </c>
      <c r="J312" s="48" t="s">
        <v>1648</v>
      </c>
      <c r="K312" s="48" t="s">
        <v>1648</v>
      </c>
      <c r="L312" s="48" t="s">
        <v>1649</v>
      </c>
      <c r="M312" s="48" t="s">
        <v>1648</v>
      </c>
      <c r="N312" s="48" t="s">
        <v>1648</v>
      </c>
      <c r="O312" s="48" t="s">
        <v>1648</v>
      </c>
      <c r="P312" s="48" t="s">
        <v>1648</v>
      </c>
      <c r="Q312" s="48" t="s">
        <v>1648</v>
      </c>
      <c r="R312" s="48" t="s">
        <v>1648</v>
      </c>
      <c r="S312" s="48" t="s">
        <v>1648</v>
      </c>
      <c r="T312" s="48" t="s">
        <v>3544</v>
      </c>
    </row>
    <row r="313" spans="1:20" ht="13.5" thickBot="1" x14ac:dyDescent="0.25">
      <c r="A313" s="48" t="s">
        <v>134</v>
      </c>
      <c r="B313" s="224" t="s">
        <v>133</v>
      </c>
      <c r="C313" s="48" t="s">
        <v>39</v>
      </c>
      <c r="D313" s="87" t="s">
        <v>3529</v>
      </c>
      <c r="E313" s="208">
        <v>59051</v>
      </c>
      <c r="F313" s="208">
        <v>59051</v>
      </c>
      <c r="G313" s="244">
        <v>40</v>
      </c>
      <c r="H313" s="48" t="s">
        <v>1648</v>
      </c>
      <c r="I313" s="48" t="s">
        <v>1648</v>
      </c>
      <c r="J313" s="48" t="s">
        <v>1648</v>
      </c>
      <c r="K313" s="48" t="s">
        <v>1648</v>
      </c>
      <c r="L313" s="48" t="s">
        <v>1648</v>
      </c>
      <c r="M313" s="48" t="s">
        <v>1648</v>
      </c>
      <c r="N313" s="48" t="s">
        <v>1648</v>
      </c>
      <c r="O313" s="48" t="s">
        <v>1649</v>
      </c>
      <c r="P313" s="48" t="s">
        <v>1648</v>
      </c>
      <c r="Q313" s="48" t="s">
        <v>1648</v>
      </c>
      <c r="R313" s="48" t="s">
        <v>1649</v>
      </c>
      <c r="S313" s="48" t="s">
        <v>1648</v>
      </c>
      <c r="T313" s="48"/>
    </row>
    <row r="314" spans="1:20" ht="13.5" thickBot="1" x14ac:dyDescent="0.25">
      <c r="A314" s="48" t="s">
        <v>150</v>
      </c>
      <c r="B314" s="224" t="s">
        <v>149</v>
      </c>
      <c r="C314" s="48" t="s">
        <v>39</v>
      </c>
      <c r="D314" s="87" t="s">
        <v>3529</v>
      </c>
      <c r="E314" s="208">
        <v>72000</v>
      </c>
      <c r="F314" s="208">
        <v>72000</v>
      </c>
      <c r="G314" s="244">
        <v>40</v>
      </c>
      <c r="H314" s="48" t="s">
        <v>1648</v>
      </c>
      <c r="I314" s="48" t="s">
        <v>1648</v>
      </c>
      <c r="J314" s="48" t="s">
        <v>1648</v>
      </c>
      <c r="K314" s="48" t="s">
        <v>1648</v>
      </c>
      <c r="L314" s="48" t="s">
        <v>1648</v>
      </c>
      <c r="M314" s="48" t="s">
        <v>1648</v>
      </c>
      <c r="N314" s="48" t="s">
        <v>1648</v>
      </c>
      <c r="O314" s="48" t="s">
        <v>1648</v>
      </c>
      <c r="P314" s="48" t="s">
        <v>1648</v>
      </c>
      <c r="Q314" s="48" t="s">
        <v>1649</v>
      </c>
      <c r="R314" s="48" t="s">
        <v>1649</v>
      </c>
      <c r="S314" s="48" t="s">
        <v>1649</v>
      </c>
      <c r="T314" s="48"/>
    </row>
    <row r="315" spans="1:20" ht="13.5" thickBot="1" x14ac:dyDescent="0.25">
      <c r="A315" s="48" t="s">
        <v>170</v>
      </c>
      <c r="B315" s="224" t="s">
        <v>169</v>
      </c>
      <c r="C315" s="48" t="s">
        <v>39</v>
      </c>
      <c r="D315" s="87" t="s">
        <v>3529</v>
      </c>
      <c r="E315" s="208">
        <v>83000</v>
      </c>
      <c r="F315" s="208">
        <v>107000</v>
      </c>
      <c r="G315" s="244">
        <v>38</v>
      </c>
      <c r="H315" s="48" t="s">
        <v>1648</v>
      </c>
      <c r="I315" s="48" t="s">
        <v>1648</v>
      </c>
      <c r="J315" s="48" t="s">
        <v>1648</v>
      </c>
      <c r="K315" s="48" t="s">
        <v>1648</v>
      </c>
      <c r="L315" s="48" t="s">
        <v>1648</v>
      </c>
      <c r="M315" s="48" t="s">
        <v>1648</v>
      </c>
      <c r="N315" s="48" t="s">
        <v>1648</v>
      </c>
      <c r="O315" s="48" t="s">
        <v>1648</v>
      </c>
      <c r="P315" s="48" t="s">
        <v>1648</v>
      </c>
      <c r="Q315" s="48" t="s">
        <v>1648</v>
      </c>
      <c r="R315" s="48" t="s">
        <v>1648</v>
      </c>
      <c r="S315" s="48" t="s">
        <v>1648</v>
      </c>
      <c r="T315" s="48"/>
    </row>
    <row r="316" spans="1:20" ht="13.5" thickBot="1" x14ac:dyDescent="0.25">
      <c r="A316" s="48" t="s">
        <v>174</v>
      </c>
      <c r="B316" s="224" t="s">
        <v>173</v>
      </c>
      <c r="C316" s="48" t="s">
        <v>39</v>
      </c>
      <c r="D316" s="87" t="s">
        <v>3529</v>
      </c>
      <c r="E316" s="208">
        <v>75000</v>
      </c>
      <c r="F316" s="208">
        <v>95000</v>
      </c>
      <c r="G316" s="244">
        <v>40</v>
      </c>
      <c r="H316" s="48" t="s">
        <v>1648</v>
      </c>
      <c r="I316" s="48" t="s">
        <v>1648</v>
      </c>
      <c r="J316" s="48" t="s">
        <v>1648</v>
      </c>
      <c r="K316" s="48" t="s">
        <v>1648</v>
      </c>
      <c r="L316" s="48" t="s">
        <v>1649</v>
      </c>
      <c r="M316" s="48" t="s">
        <v>1648</v>
      </c>
      <c r="N316" s="48" t="s">
        <v>1648</v>
      </c>
      <c r="O316" s="48" t="s">
        <v>1648</v>
      </c>
      <c r="P316" s="48" t="s">
        <v>1648</v>
      </c>
      <c r="Q316" s="48" t="s">
        <v>1649</v>
      </c>
      <c r="R316" s="48" t="s">
        <v>1648</v>
      </c>
      <c r="S316" s="48" t="s">
        <v>1649</v>
      </c>
      <c r="T316" s="48"/>
    </row>
    <row r="317" spans="1:20" ht="13.5" thickBot="1" x14ac:dyDescent="0.25">
      <c r="A317" s="48" t="s">
        <v>188</v>
      </c>
      <c r="B317" s="224" t="s">
        <v>187</v>
      </c>
      <c r="C317" s="48" t="s">
        <v>39</v>
      </c>
      <c r="D317" s="87" t="s">
        <v>3529</v>
      </c>
      <c r="E317" s="208">
        <v>72000</v>
      </c>
      <c r="F317" s="208">
        <v>83000</v>
      </c>
      <c r="G317" s="244">
        <v>38</v>
      </c>
      <c r="H317" s="48" t="s">
        <v>1648</v>
      </c>
      <c r="I317" s="48" t="s">
        <v>1648</v>
      </c>
      <c r="J317" s="48" t="s">
        <v>1648</v>
      </c>
      <c r="K317" s="48" t="s">
        <v>1648</v>
      </c>
      <c r="L317" s="48" t="s">
        <v>1648</v>
      </c>
      <c r="M317" s="48" t="s">
        <v>1648</v>
      </c>
      <c r="N317" s="48" t="s">
        <v>1648</v>
      </c>
      <c r="O317" s="48" t="s">
        <v>1649</v>
      </c>
      <c r="P317" s="48" t="s">
        <v>1648</v>
      </c>
      <c r="Q317" s="48" t="s">
        <v>1648</v>
      </c>
      <c r="R317" s="48" t="s">
        <v>1648</v>
      </c>
      <c r="S317" s="48" t="s">
        <v>1649</v>
      </c>
      <c r="T317" s="48"/>
    </row>
    <row r="318" spans="1:20" ht="13.5" thickBot="1" x14ac:dyDescent="0.25">
      <c r="A318" s="48" t="s">
        <v>190</v>
      </c>
      <c r="B318" s="224" t="s">
        <v>189</v>
      </c>
      <c r="C318" s="48" t="s">
        <v>39</v>
      </c>
      <c r="D318" s="87" t="s">
        <v>3529</v>
      </c>
      <c r="E318" s="208">
        <v>48000</v>
      </c>
      <c r="F318" s="208">
        <v>59000</v>
      </c>
      <c r="G318" s="244">
        <v>40</v>
      </c>
      <c r="H318" s="48" t="s">
        <v>1648</v>
      </c>
      <c r="I318" s="48" t="s">
        <v>1648</v>
      </c>
      <c r="J318" s="48" t="s">
        <v>1648</v>
      </c>
      <c r="K318" s="48" t="s">
        <v>1649</v>
      </c>
      <c r="L318" s="48" t="s">
        <v>1648</v>
      </c>
      <c r="M318" s="48" t="s">
        <v>1648</v>
      </c>
      <c r="N318" s="48" t="s">
        <v>1648</v>
      </c>
      <c r="O318" s="48" t="s">
        <v>1649</v>
      </c>
      <c r="P318" s="48" t="s">
        <v>1648</v>
      </c>
      <c r="Q318" s="48" t="s">
        <v>1649</v>
      </c>
      <c r="R318" s="48" t="s">
        <v>1649</v>
      </c>
      <c r="S318" s="48" t="s">
        <v>1649</v>
      </c>
      <c r="T318" s="48"/>
    </row>
    <row r="319" spans="1:20" ht="13.5" thickBot="1" x14ac:dyDescent="0.25">
      <c r="A319" s="48" t="s">
        <v>200</v>
      </c>
      <c r="B319" s="224" t="s">
        <v>199</v>
      </c>
      <c r="C319" s="48" t="s">
        <v>39</v>
      </c>
      <c r="D319" s="87" t="s">
        <v>3529</v>
      </c>
      <c r="E319" s="208">
        <v>76000</v>
      </c>
      <c r="F319" s="208">
        <v>106267</v>
      </c>
      <c r="G319" s="244">
        <v>40</v>
      </c>
      <c r="H319" s="48" t="s">
        <v>1648</v>
      </c>
      <c r="I319" s="48" t="s">
        <v>1648</v>
      </c>
      <c r="J319" s="48" t="s">
        <v>1648</v>
      </c>
      <c r="K319" s="48" t="s">
        <v>1648</v>
      </c>
      <c r="L319" s="48" t="s">
        <v>1649</v>
      </c>
      <c r="M319" s="48" t="s">
        <v>1648</v>
      </c>
      <c r="N319" s="48" t="s">
        <v>1648</v>
      </c>
      <c r="O319" s="48" t="s">
        <v>1648</v>
      </c>
      <c r="P319" s="48" t="s">
        <v>1648</v>
      </c>
      <c r="Q319" s="48" t="s">
        <v>1648</v>
      </c>
      <c r="R319" s="48" t="s">
        <v>1648</v>
      </c>
      <c r="S319" s="48" t="s">
        <v>1649</v>
      </c>
      <c r="T319" s="48"/>
    </row>
    <row r="320" spans="1:20" ht="13.5" thickBot="1" x14ac:dyDescent="0.25">
      <c r="A320" s="48" t="s">
        <v>218</v>
      </c>
      <c r="B320" s="224" t="s">
        <v>217</v>
      </c>
      <c r="C320" s="48" t="s">
        <v>39</v>
      </c>
      <c r="D320" s="87" t="s">
        <v>3529</v>
      </c>
      <c r="E320" s="208">
        <v>73051</v>
      </c>
      <c r="F320" s="208">
        <v>94969</v>
      </c>
      <c r="G320" s="244">
        <v>40</v>
      </c>
      <c r="H320" s="48" t="s">
        <v>1648</v>
      </c>
      <c r="I320" s="48" t="s">
        <v>1648</v>
      </c>
      <c r="J320" s="48" t="s">
        <v>1648</v>
      </c>
      <c r="K320" s="48" t="s">
        <v>1648</v>
      </c>
      <c r="L320" s="48" t="s">
        <v>1649</v>
      </c>
      <c r="M320" s="48" t="s">
        <v>1648</v>
      </c>
      <c r="N320" s="48" t="s">
        <v>1648</v>
      </c>
      <c r="O320" s="48" t="s">
        <v>1648</v>
      </c>
      <c r="P320" s="48" t="s">
        <v>1648</v>
      </c>
      <c r="Q320" s="48" t="s">
        <v>1648</v>
      </c>
      <c r="R320" s="48" t="s">
        <v>1648</v>
      </c>
      <c r="S320" s="48" t="s">
        <v>1648</v>
      </c>
      <c r="T320" s="48"/>
    </row>
    <row r="321" spans="1:20" ht="13.5" thickBot="1" x14ac:dyDescent="0.25">
      <c r="A321" s="48" t="s">
        <v>228</v>
      </c>
      <c r="B321" s="224" t="s">
        <v>227</v>
      </c>
      <c r="C321" s="48" t="s">
        <v>39</v>
      </c>
      <c r="D321" s="87" t="s">
        <v>3529</v>
      </c>
      <c r="E321" s="208">
        <v>68075</v>
      </c>
      <c r="F321" s="208">
        <v>68075</v>
      </c>
      <c r="G321" s="244">
        <v>40</v>
      </c>
      <c r="H321" s="48" t="s">
        <v>1648</v>
      </c>
      <c r="I321" s="48" t="s">
        <v>1648</v>
      </c>
      <c r="J321" s="48" t="s">
        <v>1648</v>
      </c>
      <c r="K321" s="48" t="s">
        <v>1648</v>
      </c>
      <c r="L321" s="48" t="s">
        <v>1648</v>
      </c>
      <c r="M321" s="48" t="s">
        <v>1648</v>
      </c>
      <c r="N321" s="48" t="s">
        <v>1648</v>
      </c>
      <c r="O321" s="48" t="s">
        <v>1649</v>
      </c>
      <c r="P321" s="48" t="s">
        <v>1648</v>
      </c>
      <c r="Q321" s="48" t="s">
        <v>1649</v>
      </c>
      <c r="R321" s="48" t="s">
        <v>1649</v>
      </c>
      <c r="S321" s="48" t="s">
        <v>1649</v>
      </c>
      <c r="T321" s="48"/>
    </row>
    <row r="322" spans="1:20" ht="13.5" thickBot="1" x14ac:dyDescent="0.25">
      <c r="A322" s="48" t="s">
        <v>240</v>
      </c>
      <c r="B322" s="224" t="s">
        <v>239</v>
      </c>
      <c r="C322" s="48" t="s">
        <v>39</v>
      </c>
      <c r="D322" s="87" t="s">
        <v>3529</v>
      </c>
      <c r="E322" s="208">
        <v>83724</v>
      </c>
      <c r="F322" s="208">
        <v>117219</v>
      </c>
      <c r="G322" s="244">
        <v>45</v>
      </c>
      <c r="H322" s="48" t="s">
        <v>1648</v>
      </c>
      <c r="I322" s="48" t="s">
        <v>1648</v>
      </c>
      <c r="J322" s="48" t="s">
        <v>1649</v>
      </c>
      <c r="K322" s="48" t="s">
        <v>1648</v>
      </c>
      <c r="L322" s="48" t="s">
        <v>1649</v>
      </c>
      <c r="M322" s="48" t="s">
        <v>1648</v>
      </c>
      <c r="N322" s="48" t="s">
        <v>1648</v>
      </c>
      <c r="O322" s="48" t="s">
        <v>1649</v>
      </c>
      <c r="P322" s="48" t="s">
        <v>1648</v>
      </c>
      <c r="Q322" s="48" t="s">
        <v>1648</v>
      </c>
      <c r="R322" s="48" t="s">
        <v>1648</v>
      </c>
      <c r="S322" s="48" t="s">
        <v>1648</v>
      </c>
      <c r="T322" s="48"/>
    </row>
    <row r="323" spans="1:20" ht="13.5" thickBot="1" x14ac:dyDescent="0.25">
      <c r="A323" s="48" t="s">
        <v>242</v>
      </c>
      <c r="B323" s="224" t="s">
        <v>241</v>
      </c>
      <c r="C323" s="48" t="s">
        <v>39</v>
      </c>
      <c r="D323" s="87" t="s">
        <v>3529</v>
      </c>
      <c r="E323" s="208">
        <v>65094</v>
      </c>
      <c r="F323" s="208">
        <v>88853</v>
      </c>
      <c r="G323" s="244">
        <v>40</v>
      </c>
      <c r="H323" s="48" t="s">
        <v>1648</v>
      </c>
      <c r="I323" s="48" t="s">
        <v>1648</v>
      </c>
      <c r="J323" s="48" t="s">
        <v>1648</v>
      </c>
      <c r="K323" s="48" t="s">
        <v>1648</v>
      </c>
      <c r="L323" s="48" t="s">
        <v>1648</v>
      </c>
      <c r="M323" s="48" t="s">
        <v>1648</v>
      </c>
      <c r="N323" s="48" t="s">
        <v>1648</v>
      </c>
      <c r="O323" s="48" t="s">
        <v>1648</v>
      </c>
      <c r="P323" s="48" t="s">
        <v>1648</v>
      </c>
      <c r="Q323" s="48" t="s">
        <v>1648</v>
      </c>
      <c r="R323" s="48" t="s">
        <v>1648</v>
      </c>
      <c r="S323" s="48" t="s">
        <v>1648</v>
      </c>
      <c r="T323" s="48"/>
    </row>
    <row r="324" spans="1:20" ht="13.5" thickBot="1" x14ac:dyDescent="0.25">
      <c r="A324" s="48" t="s">
        <v>300</v>
      </c>
      <c r="B324" s="224" t="s">
        <v>299</v>
      </c>
      <c r="C324" s="48" t="s">
        <v>39</v>
      </c>
      <c r="D324" s="87" t="s">
        <v>3529</v>
      </c>
      <c r="E324" s="208">
        <v>45000</v>
      </c>
      <c r="F324" s="208">
        <v>68728</v>
      </c>
      <c r="G324" s="244">
        <v>40</v>
      </c>
      <c r="H324" s="48" t="s">
        <v>1648</v>
      </c>
      <c r="I324" s="48" t="s">
        <v>1649</v>
      </c>
      <c r="J324" s="48" t="s">
        <v>1648</v>
      </c>
      <c r="K324" s="48" t="s">
        <v>1648</v>
      </c>
      <c r="L324" s="48" t="s">
        <v>1648</v>
      </c>
      <c r="M324" s="48" t="s">
        <v>1648</v>
      </c>
      <c r="N324" s="48" t="s">
        <v>1648</v>
      </c>
      <c r="O324" s="48" t="s">
        <v>1648</v>
      </c>
      <c r="P324" s="48" t="s">
        <v>1648</v>
      </c>
      <c r="Q324" s="48" t="s">
        <v>1648</v>
      </c>
      <c r="R324" s="48" t="s">
        <v>1649</v>
      </c>
      <c r="S324" s="48" t="s">
        <v>1648</v>
      </c>
      <c r="T324" s="48"/>
    </row>
    <row r="325" spans="1:20" ht="13.5" thickBot="1" x14ac:dyDescent="0.25">
      <c r="A325" s="48" t="s">
        <v>308</v>
      </c>
      <c r="B325" s="224" t="s">
        <v>307</v>
      </c>
      <c r="C325" s="48" t="s">
        <v>39</v>
      </c>
      <c r="D325" s="87" t="s">
        <v>3529</v>
      </c>
      <c r="E325" s="208">
        <v>68000</v>
      </c>
      <c r="F325" s="208">
        <v>85000</v>
      </c>
      <c r="G325" s="244">
        <v>40</v>
      </c>
      <c r="H325" s="48" t="s">
        <v>1648</v>
      </c>
      <c r="I325" s="48" t="s">
        <v>1648</v>
      </c>
      <c r="J325" s="48" t="s">
        <v>1649</v>
      </c>
      <c r="K325" s="48" t="s">
        <v>1648</v>
      </c>
      <c r="L325" s="48" t="s">
        <v>1648</v>
      </c>
      <c r="M325" s="48" t="s">
        <v>1648</v>
      </c>
      <c r="N325" s="48" t="s">
        <v>1648</v>
      </c>
      <c r="O325" s="48" t="s">
        <v>1648</v>
      </c>
      <c r="P325" s="48" t="s">
        <v>1648</v>
      </c>
      <c r="Q325" s="48" t="s">
        <v>1648</v>
      </c>
      <c r="R325" s="48" t="s">
        <v>1648</v>
      </c>
      <c r="S325" s="48" t="s">
        <v>1648</v>
      </c>
      <c r="T325" s="48"/>
    </row>
    <row r="326" spans="1:20" ht="13.5" thickBot="1" x14ac:dyDescent="0.25">
      <c r="A326" s="48" t="s">
        <v>328</v>
      </c>
      <c r="B326" s="224" t="s">
        <v>327</v>
      </c>
      <c r="C326" s="48" t="s">
        <v>39</v>
      </c>
      <c r="D326" s="87" t="s">
        <v>3529</v>
      </c>
      <c r="E326" s="208">
        <v>70000</v>
      </c>
      <c r="F326" s="208">
        <v>94000</v>
      </c>
      <c r="G326" s="244">
        <v>40</v>
      </c>
      <c r="H326" s="48" t="s">
        <v>1648</v>
      </c>
      <c r="I326" s="48" t="s">
        <v>1648</v>
      </c>
      <c r="J326" s="48" t="s">
        <v>1648</v>
      </c>
      <c r="K326" s="48" t="s">
        <v>1648</v>
      </c>
      <c r="L326" s="48" t="s">
        <v>1648</v>
      </c>
      <c r="M326" s="48" t="s">
        <v>1648</v>
      </c>
      <c r="N326" s="48" t="s">
        <v>1648</v>
      </c>
      <c r="O326" s="48" t="s">
        <v>1648</v>
      </c>
      <c r="P326" s="48" t="s">
        <v>1648</v>
      </c>
      <c r="Q326" s="48" t="s">
        <v>1649</v>
      </c>
      <c r="R326" s="48" t="s">
        <v>1648</v>
      </c>
      <c r="S326" s="48" t="s">
        <v>1648</v>
      </c>
      <c r="T326" s="48"/>
    </row>
    <row r="327" spans="1:20" ht="13.5" thickBot="1" x14ac:dyDescent="0.25">
      <c r="A327" s="48" t="s">
        <v>386</v>
      </c>
      <c r="B327" s="224" t="s">
        <v>385</v>
      </c>
      <c r="C327" s="48" t="s">
        <v>39</v>
      </c>
      <c r="D327" s="87" t="s">
        <v>3529</v>
      </c>
      <c r="E327" s="208">
        <v>52000</v>
      </c>
      <c r="F327" s="208">
        <v>62000</v>
      </c>
      <c r="G327" s="244">
        <v>40</v>
      </c>
      <c r="H327" s="48" t="s">
        <v>1648</v>
      </c>
      <c r="I327" s="48" t="s">
        <v>1648</v>
      </c>
      <c r="J327" s="48" t="s">
        <v>1648</v>
      </c>
      <c r="K327" s="48" t="s">
        <v>1649</v>
      </c>
      <c r="L327" s="48" t="s">
        <v>1648</v>
      </c>
      <c r="M327" s="48" t="s">
        <v>1648</v>
      </c>
      <c r="N327" s="48" t="s">
        <v>1648</v>
      </c>
      <c r="O327" s="48" t="s">
        <v>1648</v>
      </c>
      <c r="P327" s="48" t="s">
        <v>1648</v>
      </c>
      <c r="Q327" s="48" t="s">
        <v>1649</v>
      </c>
      <c r="R327" s="48" t="s">
        <v>1649</v>
      </c>
      <c r="S327" s="48" t="s">
        <v>1648</v>
      </c>
      <c r="T327" s="48" t="s">
        <v>3566</v>
      </c>
    </row>
    <row r="328" spans="1:20" ht="13.5" thickBot="1" x14ac:dyDescent="0.25">
      <c r="A328" s="48" t="s">
        <v>431</v>
      </c>
      <c r="B328" s="224" t="s">
        <v>430</v>
      </c>
      <c r="C328" s="48" t="s">
        <v>39</v>
      </c>
      <c r="D328" s="87" t="s">
        <v>3529</v>
      </c>
      <c r="E328" s="208">
        <v>56921</v>
      </c>
      <c r="F328" s="208">
        <v>65634</v>
      </c>
      <c r="G328" s="244">
        <v>38</v>
      </c>
      <c r="H328" s="48" t="s">
        <v>1648</v>
      </c>
      <c r="I328" s="48" t="s">
        <v>1648</v>
      </c>
      <c r="J328" s="48" t="s">
        <v>1648</v>
      </c>
      <c r="K328" s="48" t="s">
        <v>1648</v>
      </c>
      <c r="L328" s="48" t="s">
        <v>1649</v>
      </c>
      <c r="M328" s="48" t="s">
        <v>1648</v>
      </c>
      <c r="N328" s="48" t="s">
        <v>1648</v>
      </c>
      <c r="O328" s="48" t="s">
        <v>1648</v>
      </c>
      <c r="P328" s="48" t="s">
        <v>1648</v>
      </c>
      <c r="Q328" s="48" t="s">
        <v>1649</v>
      </c>
      <c r="R328" s="48" t="s">
        <v>1648</v>
      </c>
      <c r="S328" s="48" t="s">
        <v>1649</v>
      </c>
      <c r="T328" s="48"/>
    </row>
    <row r="329" spans="1:20" ht="13.5" thickBot="1" x14ac:dyDescent="0.25">
      <c r="A329" s="48" t="s">
        <v>437</v>
      </c>
      <c r="B329" s="224" t="s">
        <v>436</v>
      </c>
      <c r="C329" s="48" t="s">
        <v>39</v>
      </c>
      <c r="D329" s="87" t="s">
        <v>3533</v>
      </c>
      <c r="E329" s="208">
        <v>60000</v>
      </c>
      <c r="F329" s="208">
        <v>65000</v>
      </c>
      <c r="G329" s="244">
        <v>40</v>
      </c>
      <c r="H329" s="48" t="s">
        <v>1648</v>
      </c>
      <c r="I329" s="48" t="s">
        <v>1648</v>
      </c>
      <c r="J329" s="48" t="s">
        <v>1648</v>
      </c>
      <c r="K329" s="48" t="s">
        <v>1648</v>
      </c>
      <c r="L329" s="48" t="s">
        <v>1648</v>
      </c>
      <c r="M329" s="48" t="s">
        <v>1648</v>
      </c>
      <c r="N329" s="48" t="s">
        <v>1648</v>
      </c>
      <c r="O329" s="48" t="s">
        <v>1648</v>
      </c>
      <c r="P329" s="48" t="s">
        <v>1648</v>
      </c>
      <c r="Q329" s="48" t="s">
        <v>1648</v>
      </c>
      <c r="R329" s="48" t="s">
        <v>1648</v>
      </c>
      <c r="S329" s="48" t="s">
        <v>1648</v>
      </c>
      <c r="T329" s="48"/>
    </row>
    <row r="330" spans="1:20" ht="13.5" thickBot="1" x14ac:dyDescent="0.25">
      <c r="A330" s="48" t="s">
        <v>448</v>
      </c>
      <c r="B330" s="224" t="s">
        <v>447</v>
      </c>
      <c r="C330" s="48" t="s">
        <v>39</v>
      </c>
      <c r="D330" s="87" t="s">
        <v>3529</v>
      </c>
      <c r="E330" s="208">
        <v>83000</v>
      </c>
      <c r="F330" s="208">
        <v>118400</v>
      </c>
      <c r="G330" s="244">
        <v>40</v>
      </c>
      <c r="H330" s="48" t="s">
        <v>1648</v>
      </c>
      <c r="I330" s="48" t="s">
        <v>1648</v>
      </c>
      <c r="J330" s="48" t="s">
        <v>1648</v>
      </c>
      <c r="K330" s="48" t="s">
        <v>1648</v>
      </c>
      <c r="L330" s="48" t="s">
        <v>1649</v>
      </c>
      <c r="M330" s="48" t="s">
        <v>1648</v>
      </c>
      <c r="N330" s="48" t="s">
        <v>1648</v>
      </c>
      <c r="O330" s="48" t="s">
        <v>1648</v>
      </c>
      <c r="P330" s="48" t="s">
        <v>1648</v>
      </c>
      <c r="Q330" s="48" t="s">
        <v>1648</v>
      </c>
      <c r="R330" s="48" t="s">
        <v>1648</v>
      </c>
      <c r="S330" s="48" t="s">
        <v>1648</v>
      </c>
      <c r="T330" s="48"/>
    </row>
    <row r="331" spans="1:20" ht="13.5" thickBot="1" x14ac:dyDescent="0.25">
      <c r="A331" s="48" t="s">
        <v>464</v>
      </c>
      <c r="B331" s="224" t="s">
        <v>463</v>
      </c>
      <c r="C331" s="48" t="s">
        <v>39</v>
      </c>
      <c r="D331" s="87" t="s">
        <v>3529</v>
      </c>
      <c r="E331" s="208">
        <v>90381</v>
      </c>
      <c r="F331" s="208">
        <v>100413</v>
      </c>
      <c r="G331" s="244">
        <v>38</v>
      </c>
      <c r="H331" s="48" t="s">
        <v>1648</v>
      </c>
      <c r="I331" s="48" t="s">
        <v>1648</v>
      </c>
      <c r="J331" s="48" t="s">
        <v>1648</v>
      </c>
      <c r="K331" s="48" t="s">
        <v>1648</v>
      </c>
      <c r="L331" s="48" t="s">
        <v>1648</v>
      </c>
      <c r="M331" s="48" t="s">
        <v>1648</v>
      </c>
      <c r="N331" s="48" t="s">
        <v>1648</v>
      </c>
      <c r="O331" s="48" t="s">
        <v>1648</v>
      </c>
      <c r="P331" s="48" t="s">
        <v>1648</v>
      </c>
      <c r="Q331" s="48" t="s">
        <v>1648</v>
      </c>
      <c r="R331" s="48" t="s">
        <v>1648</v>
      </c>
      <c r="S331" s="48" t="s">
        <v>1648</v>
      </c>
      <c r="T331" s="48"/>
    </row>
    <row r="332" spans="1:20" ht="13.5" thickBot="1" x14ac:dyDescent="0.25">
      <c r="A332" s="48" t="s">
        <v>484</v>
      </c>
      <c r="B332" s="224" t="s">
        <v>483</v>
      </c>
      <c r="C332" s="48" t="s">
        <v>39</v>
      </c>
      <c r="D332" s="87" t="s">
        <v>3529</v>
      </c>
      <c r="E332" s="208">
        <v>70226</v>
      </c>
      <c r="F332" s="208">
        <v>70226</v>
      </c>
      <c r="G332" s="244">
        <v>40</v>
      </c>
      <c r="H332" s="48" t="s">
        <v>1648</v>
      </c>
      <c r="I332" s="48" t="s">
        <v>1649</v>
      </c>
      <c r="J332" s="48" t="s">
        <v>1649</v>
      </c>
      <c r="K332" s="48" t="s">
        <v>1648</v>
      </c>
      <c r="L332" s="48" t="s">
        <v>1648</v>
      </c>
      <c r="M332" s="48" t="s">
        <v>1648</v>
      </c>
      <c r="N332" s="48" t="s">
        <v>1648</v>
      </c>
      <c r="O332" s="48" t="s">
        <v>1648</v>
      </c>
      <c r="P332" s="48" t="s">
        <v>1648</v>
      </c>
      <c r="Q332" s="48" t="s">
        <v>1648</v>
      </c>
      <c r="R332" s="48" t="s">
        <v>1648</v>
      </c>
      <c r="S332" s="48" t="s">
        <v>1648</v>
      </c>
      <c r="T332" s="48"/>
    </row>
    <row r="333" spans="1:20" ht="13.5" thickBot="1" x14ac:dyDescent="0.25">
      <c r="A333" s="48" t="s">
        <v>538</v>
      </c>
      <c r="B333" s="224" t="s">
        <v>537</v>
      </c>
      <c r="C333" s="48" t="s">
        <v>39</v>
      </c>
      <c r="D333" s="87" t="s">
        <v>3529</v>
      </c>
      <c r="E333" s="208">
        <v>85000</v>
      </c>
      <c r="F333" s="208">
        <v>92000</v>
      </c>
      <c r="G333" s="244">
        <v>40</v>
      </c>
      <c r="H333" s="48" t="s">
        <v>1648</v>
      </c>
      <c r="I333" s="48" t="s">
        <v>1648</v>
      </c>
      <c r="J333" s="48" t="s">
        <v>1648</v>
      </c>
      <c r="K333" s="48" t="s">
        <v>1648</v>
      </c>
      <c r="L333" s="48" t="s">
        <v>1648</v>
      </c>
      <c r="M333" s="48" t="s">
        <v>1648</v>
      </c>
      <c r="N333" s="48" t="s">
        <v>1648</v>
      </c>
      <c r="O333" s="48" t="s">
        <v>1648</v>
      </c>
      <c r="P333" s="48" t="s">
        <v>1648</v>
      </c>
      <c r="Q333" s="48" t="s">
        <v>1648</v>
      </c>
      <c r="R333" s="48" t="s">
        <v>1648</v>
      </c>
      <c r="S333" s="48" t="s">
        <v>1648</v>
      </c>
      <c r="T333" s="48"/>
    </row>
    <row r="334" spans="1:20" ht="13.5" thickBot="1" x14ac:dyDescent="0.25">
      <c r="A334" s="48" t="s">
        <v>544</v>
      </c>
      <c r="B334" s="224" t="s">
        <v>543</v>
      </c>
      <c r="C334" s="48" t="s">
        <v>39</v>
      </c>
      <c r="D334" s="87" t="s">
        <v>3529</v>
      </c>
      <c r="E334" s="208">
        <v>60000</v>
      </c>
      <c r="F334" s="208">
        <v>75000</v>
      </c>
      <c r="G334" s="244">
        <v>40</v>
      </c>
      <c r="H334" s="48" t="s">
        <v>1648</v>
      </c>
      <c r="I334" s="48" t="s">
        <v>1648</v>
      </c>
      <c r="J334" s="48" t="s">
        <v>1648</v>
      </c>
      <c r="K334" s="48" t="s">
        <v>1648</v>
      </c>
      <c r="L334" s="48" t="s">
        <v>1649</v>
      </c>
      <c r="M334" s="48" t="s">
        <v>1648</v>
      </c>
      <c r="N334" s="48" t="s">
        <v>1648</v>
      </c>
      <c r="O334" s="48" t="s">
        <v>1648</v>
      </c>
      <c r="P334" s="48" t="s">
        <v>1648</v>
      </c>
      <c r="Q334" s="48" t="s">
        <v>1648</v>
      </c>
      <c r="R334" s="48" t="s">
        <v>1648</v>
      </c>
      <c r="S334" s="48" t="s">
        <v>1648</v>
      </c>
      <c r="T334" s="48"/>
    </row>
    <row r="335" spans="1:20" ht="13.5" thickBot="1" x14ac:dyDescent="0.25">
      <c r="A335" s="48" t="s">
        <v>550</v>
      </c>
      <c r="B335" s="224" t="s">
        <v>549</v>
      </c>
      <c r="C335" s="48" t="s">
        <v>39</v>
      </c>
      <c r="D335" s="87" t="s">
        <v>3529</v>
      </c>
      <c r="E335" s="208">
        <v>80000</v>
      </c>
      <c r="F335" s="208">
        <v>93000</v>
      </c>
      <c r="G335" s="244">
        <v>38</v>
      </c>
      <c r="H335" s="48" t="s">
        <v>1648</v>
      </c>
      <c r="I335" s="48" t="s">
        <v>1648</v>
      </c>
      <c r="J335" s="48" t="s">
        <v>1649</v>
      </c>
      <c r="K335" s="48" t="s">
        <v>1648</v>
      </c>
      <c r="L335" s="48" t="s">
        <v>1648</v>
      </c>
      <c r="M335" s="48" t="s">
        <v>1648</v>
      </c>
      <c r="N335" s="48" t="s">
        <v>1648</v>
      </c>
      <c r="O335" s="48" t="s">
        <v>1648</v>
      </c>
      <c r="P335" s="48" t="s">
        <v>1648</v>
      </c>
      <c r="Q335" s="48" t="s">
        <v>1649</v>
      </c>
      <c r="R335" s="48" t="s">
        <v>1648</v>
      </c>
      <c r="S335" s="48" t="s">
        <v>1649</v>
      </c>
      <c r="T335" s="48" t="s">
        <v>3586</v>
      </c>
    </row>
    <row r="336" spans="1:20" ht="13.5" thickBot="1" x14ac:dyDescent="0.25">
      <c r="A336" s="48" t="s">
        <v>578</v>
      </c>
      <c r="B336" s="224" t="s">
        <v>577</v>
      </c>
      <c r="C336" s="48" t="s">
        <v>39</v>
      </c>
      <c r="D336" s="87" t="s">
        <v>3529</v>
      </c>
      <c r="E336" s="208">
        <v>70000</v>
      </c>
      <c r="F336" s="208">
        <v>79000</v>
      </c>
      <c r="G336" s="244">
        <v>40</v>
      </c>
      <c r="H336" s="48" t="s">
        <v>1648</v>
      </c>
      <c r="I336" s="48" t="s">
        <v>1648</v>
      </c>
      <c r="J336" s="48" t="s">
        <v>1648</v>
      </c>
      <c r="K336" s="48" t="s">
        <v>1648</v>
      </c>
      <c r="L336" s="48" t="s">
        <v>1648</v>
      </c>
      <c r="M336" s="48" t="s">
        <v>1648</v>
      </c>
      <c r="N336" s="48" t="s">
        <v>1648</v>
      </c>
      <c r="O336" s="48" t="s">
        <v>1648</v>
      </c>
      <c r="P336" s="48" t="s">
        <v>1648</v>
      </c>
      <c r="Q336" s="48" t="s">
        <v>1648</v>
      </c>
      <c r="R336" s="48" t="s">
        <v>1648</v>
      </c>
      <c r="S336" s="48" t="s">
        <v>1648</v>
      </c>
      <c r="T336" s="48"/>
    </row>
    <row r="337" spans="1:20" ht="13.5" thickBot="1" x14ac:dyDescent="0.25">
      <c r="A337" s="48" t="s">
        <v>588</v>
      </c>
      <c r="B337" s="224" t="s">
        <v>587</v>
      </c>
      <c r="C337" s="48" t="s">
        <v>39</v>
      </c>
      <c r="D337" s="87" t="s">
        <v>3529</v>
      </c>
      <c r="E337" s="208">
        <v>94300</v>
      </c>
      <c r="F337" s="208">
        <v>139600</v>
      </c>
      <c r="G337" s="244">
        <v>40</v>
      </c>
      <c r="H337" s="48" t="s">
        <v>1648</v>
      </c>
      <c r="I337" s="48" t="s">
        <v>1648</v>
      </c>
      <c r="J337" s="48" t="s">
        <v>1648</v>
      </c>
      <c r="K337" s="48" t="s">
        <v>1648</v>
      </c>
      <c r="L337" s="48" t="s">
        <v>1648</v>
      </c>
      <c r="M337" s="48" t="s">
        <v>1648</v>
      </c>
      <c r="N337" s="48" t="s">
        <v>1648</v>
      </c>
      <c r="O337" s="48" t="s">
        <v>1649</v>
      </c>
      <c r="P337" s="48" t="s">
        <v>1648</v>
      </c>
      <c r="Q337" s="48" t="s">
        <v>1648</v>
      </c>
      <c r="R337" s="48" t="s">
        <v>1648</v>
      </c>
      <c r="S337" s="48" t="s">
        <v>1649</v>
      </c>
      <c r="T337" s="48"/>
    </row>
    <row r="338" spans="1:20" ht="13.5" thickBot="1" x14ac:dyDescent="0.25">
      <c r="A338" s="48" t="s">
        <v>616</v>
      </c>
      <c r="B338" s="224" t="s">
        <v>615</v>
      </c>
      <c r="C338" s="48" t="s">
        <v>39</v>
      </c>
      <c r="D338" s="87" t="s">
        <v>3529</v>
      </c>
      <c r="E338" s="208">
        <v>82100</v>
      </c>
      <c r="F338" s="208">
        <v>100171</v>
      </c>
      <c r="G338" s="244">
        <v>40</v>
      </c>
      <c r="H338" s="48" t="s">
        <v>1648</v>
      </c>
      <c r="I338" s="48" t="s">
        <v>1648</v>
      </c>
      <c r="J338" s="48" t="s">
        <v>1648</v>
      </c>
      <c r="K338" s="48" t="s">
        <v>1648</v>
      </c>
      <c r="L338" s="48" t="s">
        <v>1648</v>
      </c>
      <c r="M338" s="48" t="s">
        <v>1648</v>
      </c>
      <c r="N338" s="48" t="s">
        <v>1648</v>
      </c>
      <c r="O338" s="48" t="s">
        <v>1648</v>
      </c>
      <c r="P338" s="48" t="s">
        <v>1648</v>
      </c>
      <c r="Q338" s="48" t="s">
        <v>1648</v>
      </c>
      <c r="R338" s="48" t="s">
        <v>1648</v>
      </c>
      <c r="S338" s="48" t="s">
        <v>1648</v>
      </c>
      <c r="T338" s="48" t="s">
        <v>3593</v>
      </c>
    </row>
    <row r="339" spans="1:20" ht="13.5" thickBot="1" x14ac:dyDescent="0.25">
      <c r="A339" s="48" t="s">
        <v>640</v>
      </c>
      <c r="B339" s="224" t="s">
        <v>639</v>
      </c>
      <c r="C339" s="48" t="s">
        <v>39</v>
      </c>
      <c r="D339" s="87" t="s">
        <v>3529</v>
      </c>
      <c r="E339" s="208">
        <v>80000</v>
      </c>
      <c r="F339" s="208">
        <v>92000</v>
      </c>
      <c r="G339" s="244">
        <v>40</v>
      </c>
      <c r="H339" s="48" t="s">
        <v>1648</v>
      </c>
      <c r="I339" s="48" t="s">
        <v>1648</v>
      </c>
      <c r="J339" s="48" t="s">
        <v>1648</v>
      </c>
      <c r="K339" s="48" t="s">
        <v>1648</v>
      </c>
      <c r="L339" s="48" t="s">
        <v>1649</v>
      </c>
      <c r="M339" s="48" t="s">
        <v>1648</v>
      </c>
      <c r="N339" s="48" t="s">
        <v>1648</v>
      </c>
      <c r="O339" s="48" t="s">
        <v>1648</v>
      </c>
      <c r="P339" s="48" t="s">
        <v>1648</v>
      </c>
      <c r="Q339" s="48" t="s">
        <v>1648</v>
      </c>
      <c r="R339" s="48" t="s">
        <v>1648</v>
      </c>
      <c r="S339" s="48" t="s">
        <v>1649</v>
      </c>
      <c r="T339" s="48" t="s">
        <v>3596</v>
      </c>
    </row>
    <row r="340" spans="1:20" ht="13.5" thickBot="1" x14ac:dyDescent="0.25">
      <c r="A340" s="48" t="s">
        <v>642</v>
      </c>
      <c r="B340" s="224" t="s">
        <v>641</v>
      </c>
      <c r="C340" s="48" t="s">
        <v>39</v>
      </c>
      <c r="D340" s="87" t="s">
        <v>3529</v>
      </c>
      <c r="E340" s="208">
        <v>70000</v>
      </c>
      <c r="F340" s="208">
        <v>85000</v>
      </c>
      <c r="G340" s="244">
        <v>40</v>
      </c>
      <c r="H340" s="48" t="s">
        <v>1648</v>
      </c>
      <c r="I340" s="48" t="s">
        <v>1648</v>
      </c>
      <c r="J340" s="48" t="s">
        <v>1648</v>
      </c>
      <c r="K340" s="48" t="s">
        <v>1648</v>
      </c>
      <c r="L340" s="48" t="s">
        <v>1648</v>
      </c>
      <c r="M340" s="48" t="s">
        <v>1648</v>
      </c>
      <c r="N340" s="48" t="s">
        <v>1648</v>
      </c>
      <c r="O340" s="48" t="s">
        <v>1648</v>
      </c>
      <c r="P340" s="48" t="s">
        <v>1648</v>
      </c>
      <c r="Q340" s="48" t="s">
        <v>1648</v>
      </c>
      <c r="R340" s="48" t="s">
        <v>1648</v>
      </c>
      <c r="S340" s="48" t="s">
        <v>1649</v>
      </c>
      <c r="T340" s="48"/>
    </row>
    <row r="341" spans="1:20" ht="13.5" thickBot="1" x14ac:dyDescent="0.25">
      <c r="A341" s="48" t="s">
        <v>646</v>
      </c>
      <c r="B341" s="224" t="s">
        <v>645</v>
      </c>
      <c r="C341" s="48" t="s">
        <v>39</v>
      </c>
      <c r="D341" s="87" t="s">
        <v>3529</v>
      </c>
      <c r="E341" s="208">
        <v>83505</v>
      </c>
      <c r="F341" s="208">
        <v>92940</v>
      </c>
      <c r="G341" s="244">
        <v>40</v>
      </c>
      <c r="H341" s="48" t="s">
        <v>1648</v>
      </c>
      <c r="I341" s="48" t="s">
        <v>1648</v>
      </c>
      <c r="J341" s="48" t="s">
        <v>1648</v>
      </c>
      <c r="K341" s="48" t="s">
        <v>1648</v>
      </c>
      <c r="L341" s="48" t="s">
        <v>1648</v>
      </c>
      <c r="M341" s="48" t="s">
        <v>1648</v>
      </c>
      <c r="N341" s="48" t="s">
        <v>1648</v>
      </c>
      <c r="O341" s="48" t="s">
        <v>1648</v>
      </c>
      <c r="P341" s="48" t="s">
        <v>1648</v>
      </c>
      <c r="Q341" s="48" t="s">
        <v>1648</v>
      </c>
      <c r="R341" s="48" t="s">
        <v>1648</v>
      </c>
      <c r="S341" s="48" t="s">
        <v>1649</v>
      </c>
      <c r="T341" s="48" t="s">
        <v>3597</v>
      </c>
    </row>
    <row r="342" spans="1:20" ht="13.5" thickBot="1" x14ac:dyDescent="0.25">
      <c r="A342" s="48" t="s">
        <v>664</v>
      </c>
      <c r="B342" s="224" t="s">
        <v>663</v>
      </c>
      <c r="C342" s="48" t="s">
        <v>39</v>
      </c>
      <c r="D342" s="87" t="s">
        <v>3529</v>
      </c>
      <c r="E342" s="208">
        <v>84400</v>
      </c>
      <c r="F342" s="208">
        <v>135000</v>
      </c>
      <c r="G342" s="244">
        <v>40</v>
      </c>
      <c r="H342" s="48" t="s">
        <v>1648</v>
      </c>
      <c r="I342" s="48" t="s">
        <v>1648</v>
      </c>
      <c r="J342" s="48" t="s">
        <v>1648</v>
      </c>
      <c r="K342" s="48" t="s">
        <v>1648</v>
      </c>
      <c r="L342" s="48" t="s">
        <v>1648</v>
      </c>
      <c r="M342" s="48" t="s">
        <v>1648</v>
      </c>
      <c r="N342" s="48" t="s">
        <v>1648</v>
      </c>
      <c r="O342" s="48" t="s">
        <v>1649</v>
      </c>
      <c r="P342" s="48" t="s">
        <v>1648</v>
      </c>
      <c r="Q342" s="48" t="s">
        <v>1648</v>
      </c>
      <c r="R342" s="48" t="s">
        <v>1648</v>
      </c>
      <c r="S342" s="48" t="s">
        <v>1649</v>
      </c>
      <c r="T342" s="48" t="s">
        <v>3601</v>
      </c>
    </row>
    <row r="343" spans="1:20" ht="13.5" thickBot="1" x14ac:dyDescent="0.25">
      <c r="A343" s="48" t="s">
        <v>688</v>
      </c>
      <c r="B343" s="224" t="s">
        <v>687</v>
      </c>
      <c r="C343" s="48" t="s">
        <v>39</v>
      </c>
      <c r="D343" s="87" t="s">
        <v>3529</v>
      </c>
      <c r="E343" s="208">
        <v>74129</v>
      </c>
      <c r="F343" s="208">
        <v>87907</v>
      </c>
      <c r="G343" s="244">
        <v>45</v>
      </c>
      <c r="H343" s="48" t="s">
        <v>1648</v>
      </c>
      <c r="I343" s="48" t="s">
        <v>1648</v>
      </c>
      <c r="J343" s="48" t="s">
        <v>1648</v>
      </c>
      <c r="K343" s="48" t="s">
        <v>1648</v>
      </c>
      <c r="L343" s="48" t="s">
        <v>1648</v>
      </c>
      <c r="M343" s="48" t="s">
        <v>1648</v>
      </c>
      <c r="N343" s="48" t="s">
        <v>1648</v>
      </c>
      <c r="O343" s="48" t="s">
        <v>1648</v>
      </c>
      <c r="P343" s="48" t="s">
        <v>1648</v>
      </c>
      <c r="Q343" s="48" t="s">
        <v>1648</v>
      </c>
      <c r="R343" s="48" t="s">
        <v>1648</v>
      </c>
      <c r="S343" s="48" t="s">
        <v>1648</v>
      </c>
      <c r="T343" s="48"/>
    </row>
    <row r="344" spans="1:20" ht="13.5" thickBot="1" x14ac:dyDescent="0.25">
      <c r="A344" s="48" t="s">
        <v>698</v>
      </c>
      <c r="B344" s="224" t="s">
        <v>697</v>
      </c>
      <c r="C344" s="48" t="s">
        <v>39</v>
      </c>
      <c r="D344" s="87" t="s">
        <v>3529</v>
      </c>
      <c r="E344" s="208">
        <v>56000</v>
      </c>
      <c r="F344" s="208">
        <v>56000</v>
      </c>
      <c r="G344" s="244">
        <v>40</v>
      </c>
      <c r="H344" s="48" t="s">
        <v>1648</v>
      </c>
      <c r="I344" s="48" t="s">
        <v>1648</v>
      </c>
      <c r="J344" s="48" t="s">
        <v>1648</v>
      </c>
      <c r="K344" s="48" t="s">
        <v>1649</v>
      </c>
      <c r="L344" s="48" t="s">
        <v>1648</v>
      </c>
      <c r="M344" s="48" t="s">
        <v>1648</v>
      </c>
      <c r="N344" s="48" t="s">
        <v>1648</v>
      </c>
      <c r="O344" s="48" t="s">
        <v>1648</v>
      </c>
      <c r="P344" s="48" t="s">
        <v>1648</v>
      </c>
      <c r="Q344" s="48" t="s">
        <v>1648</v>
      </c>
      <c r="R344" s="48" t="s">
        <v>1649</v>
      </c>
      <c r="S344" s="48" t="s">
        <v>1649</v>
      </c>
      <c r="T344" s="48"/>
    </row>
    <row r="345" spans="1:20" ht="13.5" thickBot="1" x14ac:dyDescent="0.25">
      <c r="A345" s="48" t="s">
        <v>716</v>
      </c>
      <c r="B345" s="224" t="s">
        <v>715</v>
      </c>
      <c r="C345" s="48" t="s">
        <v>39</v>
      </c>
      <c r="D345" s="87" t="s">
        <v>3529</v>
      </c>
      <c r="E345" s="208">
        <v>66843</v>
      </c>
      <c r="F345" s="208">
        <v>70488</v>
      </c>
      <c r="G345" s="244">
        <v>35</v>
      </c>
      <c r="H345" s="48" t="s">
        <v>1648</v>
      </c>
      <c r="I345" s="48" t="s">
        <v>1648</v>
      </c>
      <c r="J345" s="48" t="s">
        <v>1648</v>
      </c>
      <c r="K345" s="48" t="s">
        <v>1648</v>
      </c>
      <c r="L345" s="48" t="s">
        <v>1648</v>
      </c>
      <c r="M345" s="48" t="s">
        <v>1648</v>
      </c>
      <c r="N345" s="48" t="s">
        <v>1648</v>
      </c>
      <c r="O345" s="48" t="s">
        <v>1648</v>
      </c>
      <c r="P345" s="48" t="s">
        <v>1648</v>
      </c>
      <c r="Q345" s="48" t="s">
        <v>1649</v>
      </c>
      <c r="R345" s="48" t="s">
        <v>1649</v>
      </c>
      <c r="S345" s="48" t="s">
        <v>1649</v>
      </c>
      <c r="T345" s="48"/>
    </row>
    <row r="346" spans="1:20" ht="13.5" thickBot="1" x14ac:dyDescent="0.25">
      <c r="A346" s="48" t="s">
        <v>760</v>
      </c>
      <c r="B346" s="224" t="s">
        <v>759</v>
      </c>
      <c r="C346" s="48" t="s">
        <v>39</v>
      </c>
      <c r="D346" s="87" t="s">
        <v>3529</v>
      </c>
      <c r="E346" s="208">
        <v>85000</v>
      </c>
      <c r="F346" s="208">
        <v>95000</v>
      </c>
      <c r="G346" s="244">
        <v>40</v>
      </c>
      <c r="H346" s="48" t="s">
        <v>1648</v>
      </c>
      <c r="I346" s="48" t="s">
        <v>1648</v>
      </c>
      <c r="J346" s="48" t="s">
        <v>1648</v>
      </c>
      <c r="K346" s="48" t="s">
        <v>1648</v>
      </c>
      <c r="L346" s="48" t="s">
        <v>1648</v>
      </c>
      <c r="M346" s="48" t="s">
        <v>1648</v>
      </c>
      <c r="N346" s="48" t="s">
        <v>1648</v>
      </c>
      <c r="O346" s="48" t="s">
        <v>1648</v>
      </c>
      <c r="P346" s="48" t="s">
        <v>1648</v>
      </c>
      <c r="Q346" s="48" t="s">
        <v>1648</v>
      </c>
      <c r="R346" s="48" t="s">
        <v>1648</v>
      </c>
      <c r="S346" s="48" t="s">
        <v>1649</v>
      </c>
      <c r="T346" s="48"/>
    </row>
    <row r="347" spans="1:20" ht="13.5" thickBot="1" x14ac:dyDescent="0.25">
      <c r="A347" s="48" t="s">
        <v>800</v>
      </c>
      <c r="B347" s="224" t="s">
        <v>799</v>
      </c>
      <c r="C347" s="48" t="s">
        <v>39</v>
      </c>
      <c r="D347" s="87" t="s">
        <v>3529</v>
      </c>
      <c r="E347" s="208">
        <v>79000</v>
      </c>
      <c r="F347" s="208">
        <v>79000</v>
      </c>
      <c r="G347" s="244">
        <v>40</v>
      </c>
      <c r="H347" s="48" t="s">
        <v>1648</v>
      </c>
      <c r="I347" s="48" t="s">
        <v>1648</v>
      </c>
      <c r="J347" s="48" t="s">
        <v>1648</v>
      </c>
      <c r="K347" s="48" t="s">
        <v>1648</v>
      </c>
      <c r="L347" s="48" t="s">
        <v>1648</v>
      </c>
      <c r="M347" s="48" t="s">
        <v>1648</v>
      </c>
      <c r="N347" s="48" t="s">
        <v>1648</v>
      </c>
      <c r="O347" s="48" t="s">
        <v>1648</v>
      </c>
      <c r="P347" s="48" t="s">
        <v>1648</v>
      </c>
      <c r="Q347" s="48" t="s">
        <v>1648</v>
      </c>
      <c r="R347" s="48" t="s">
        <v>1649</v>
      </c>
      <c r="S347" s="48" t="s">
        <v>1649</v>
      </c>
      <c r="T347" s="48"/>
    </row>
    <row r="348" spans="1:20" ht="13.5" thickBot="1" x14ac:dyDescent="0.25">
      <c r="A348" s="48" t="s">
        <v>53</v>
      </c>
      <c r="B348" s="224" t="s">
        <v>52</v>
      </c>
      <c r="C348" s="48" t="s">
        <v>54</v>
      </c>
      <c r="D348" s="87" t="s">
        <v>3529</v>
      </c>
      <c r="E348" s="208">
        <v>126500</v>
      </c>
      <c r="F348" s="208">
        <v>180950</v>
      </c>
      <c r="G348" s="244">
        <v>50</v>
      </c>
      <c r="H348" s="48" t="s">
        <v>1648</v>
      </c>
      <c r="I348" s="48" t="s">
        <v>1648</v>
      </c>
      <c r="J348" s="48" t="s">
        <v>1648</v>
      </c>
      <c r="K348" s="48" t="s">
        <v>1648</v>
      </c>
      <c r="L348" s="48" t="s">
        <v>1649</v>
      </c>
      <c r="M348" s="48" t="s">
        <v>1648</v>
      </c>
      <c r="N348" s="48" t="s">
        <v>1648</v>
      </c>
      <c r="O348" s="48" t="s">
        <v>1649</v>
      </c>
      <c r="P348" s="48" t="s">
        <v>1648</v>
      </c>
      <c r="Q348" s="48" t="s">
        <v>1648</v>
      </c>
      <c r="R348" s="48" t="s">
        <v>1648</v>
      </c>
      <c r="S348" s="48" t="s">
        <v>1649</v>
      </c>
      <c r="T348" s="48"/>
    </row>
    <row r="349" spans="1:20" ht="13.5" thickBot="1" x14ac:dyDescent="0.25">
      <c r="A349" s="48" t="s">
        <v>78</v>
      </c>
      <c r="B349" s="224" t="s">
        <v>77</v>
      </c>
      <c r="C349" s="48" t="s">
        <v>54</v>
      </c>
      <c r="D349" s="87" t="s">
        <v>3529</v>
      </c>
      <c r="E349" s="208">
        <v>89710</v>
      </c>
      <c r="F349" s="208">
        <v>89710</v>
      </c>
      <c r="G349" s="244">
        <v>40</v>
      </c>
      <c r="H349" s="48" t="s">
        <v>1648</v>
      </c>
      <c r="I349" s="48" t="s">
        <v>1648</v>
      </c>
      <c r="J349" s="48" t="s">
        <v>1648</v>
      </c>
      <c r="K349" s="48" t="s">
        <v>1648</v>
      </c>
      <c r="L349" s="48" t="s">
        <v>1649</v>
      </c>
      <c r="M349" s="48" t="s">
        <v>1648</v>
      </c>
      <c r="N349" s="48" t="s">
        <v>1648</v>
      </c>
      <c r="O349" s="48" t="s">
        <v>1648</v>
      </c>
      <c r="P349" s="48" t="s">
        <v>1648</v>
      </c>
      <c r="Q349" s="48" t="s">
        <v>1648</v>
      </c>
      <c r="R349" s="48" t="s">
        <v>1649</v>
      </c>
      <c r="S349" s="48" t="s">
        <v>1649</v>
      </c>
      <c r="T349" s="48"/>
    </row>
    <row r="350" spans="1:20" ht="13.5" thickBot="1" x14ac:dyDescent="0.25">
      <c r="A350" s="48" t="s">
        <v>140</v>
      </c>
      <c r="B350" s="224" t="s">
        <v>139</v>
      </c>
      <c r="C350" s="48" t="s">
        <v>54</v>
      </c>
      <c r="D350" s="87" t="s">
        <v>3529</v>
      </c>
      <c r="E350" s="208">
        <v>95100</v>
      </c>
      <c r="F350" s="208">
        <v>147400</v>
      </c>
      <c r="G350" s="244">
        <v>37</v>
      </c>
      <c r="H350" s="48" t="s">
        <v>1648</v>
      </c>
      <c r="I350" s="48" t="s">
        <v>1648</v>
      </c>
      <c r="J350" s="48" t="s">
        <v>1649</v>
      </c>
      <c r="K350" s="48" t="s">
        <v>1648</v>
      </c>
      <c r="L350" s="48" t="s">
        <v>1648</v>
      </c>
      <c r="M350" s="48" t="s">
        <v>1648</v>
      </c>
      <c r="N350" s="48" t="s">
        <v>1648</v>
      </c>
      <c r="O350" s="48" t="s">
        <v>1648</v>
      </c>
      <c r="P350" s="48" t="s">
        <v>1648</v>
      </c>
      <c r="Q350" s="48" t="s">
        <v>1648</v>
      </c>
      <c r="R350" s="48" t="s">
        <v>1648</v>
      </c>
      <c r="S350" s="48" t="s">
        <v>1649</v>
      </c>
      <c r="T350" s="48"/>
    </row>
    <row r="351" spans="1:20" ht="13.5" thickBot="1" x14ac:dyDescent="0.25">
      <c r="A351" s="48" t="s">
        <v>142</v>
      </c>
      <c r="B351" s="224" t="s">
        <v>141</v>
      </c>
      <c r="C351" s="48" t="s">
        <v>54</v>
      </c>
      <c r="D351" s="87" t="s">
        <v>3529</v>
      </c>
      <c r="E351" s="208">
        <v>100000</v>
      </c>
      <c r="F351" s="208">
        <v>125000</v>
      </c>
      <c r="G351" s="244">
        <v>40</v>
      </c>
      <c r="H351" s="48" t="s">
        <v>1648</v>
      </c>
      <c r="I351" s="48" t="s">
        <v>1648</v>
      </c>
      <c r="J351" s="48" t="s">
        <v>1648</v>
      </c>
      <c r="K351" s="48" t="s">
        <v>1648</v>
      </c>
      <c r="L351" s="48" t="s">
        <v>1648</v>
      </c>
      <c r="M351" s="48" t="s">
        <v>1648</v>
      </c>
      <c r="N351" s="48" t="s">
        <v>1648</v>
      </c>
      <c r="O351" s="48" t="s">
        <v>1648</v>
      </c>
      <c r="P351" s="48" t="s">
        <v>1648</v>
      </c>
      <c r="Q351" s="48" t="s">
        <v>1648</v>
      </c>
      <c r="R351" s="48" t="s">
        <v>1648</v>
      </c>
      <c r="S351" s="48" t="s">
        <v>1649</v>
      </c>
      <c r="T351" s="48" t="s">
        <v>3546</v>
      </c>
    </row>
    <row r="352" spans="1:20" ht="13.5" thickBot="1" x14ac:dyDescent="0.25">
      <c r="A352" s="48" t="s">
        <v>172</v>
      </c>
      <c r="B352" s="224" t="s">
        <v>171</v>
      </c>
      <c r="C352" s="48" t="s">
        <v>54</v>
      </c>
      <c r="D352" s="87" t="s">
        <v>3529</v>
      </c>
      <c r="E352" s="208">
        <v>61006</v>
      </c>
      <c r="F352" s="208">
        <v>78354</v>
      </c>
      <c r="G352" s="244">
        <v>40</v>
      </c>
      <c r="H352" s="48" t="s">
        <v>1648</v>
      </c>
      <c r="I352" s="48" t="s">
        <v>1648</v>
      </c>
      <c r="J352" s="48" t="s">
        <v>1648</v>
      </c>
      <c r="K352" s="48" t="s">
        <v>1648</v>
      </c>
      <c r="L352" s="48" t="s">
        <v>1648</v>
      </c>
      <c r="M352" s="48" t="s">
        <v>1648</v>
      </c>
      <c r="N352" s="48" t="s">
        <v>1648</v>
      </c>
      <c r="O352" s="48" t="s">
        <v>1648</v>
      </c>
      <c r="P352" s="48" t="s">
        <v>1648</v>
      </c>
      <c r="Q352" s="48" t="s">
        <v>1648</v>
      </c>
      <c r="R352" s="48" t="s">
        <v>1649</v>
      </c>
      <c r="S352" s="48" t="s">
        <v>1649</v>
      </c>
      <c r="T352" s="48" t="s">
        <v>3548</v>
      </c>
    </row>
    <row r="353" spans="1:20" ht="13.5" thickBot="1" x14ac:dyDescent="0.25">
      <c r="A353" s="48" t="s">
        <v>178</v>
      </c>
      <c r="B353" s="224" t="s">
        <v>177</v>
      </c>
      <c r="C353" s="48" t="s">
        <v>54</v>
      </c>
      <c r="D353" s="87" t="s">
        <v>3529</v>
      </c>
      <c r="E353" s="208">
        <v>115131</v>
      </c>
      <c r="F353" s="208">
        <v>151061</v>
      </c>
      <c r="G353" s="244">
        <v>45</v>
      </c>
      <c r="H353" s="48" t="s">
        <v>1648</v>
      </c>
      <c r="I353" s="48" t="s">
        <v>1648</v>
      </c>
      <c r="J353" s="48" t="s">
        <v>1648</v>
      </c>
      <c r="K353" s="48" t="s">
        <v>1648</v>
      </c>
      <c r="L353" s="48" t="s">
        <v>1648</v>
      </c>
      <c r="M353" s="48" t="s">
        <v>1648</v>
      </c>
      <c r="N353" s="48" t="s">
        <v>1648</v>
      </c>
      <c r="O353" s="48" t="s">
        <v>1649</v>
      </c>
      <c r="P353" s="48" t="s">
        <v>1648</v>
      </c>
      <c r="Q353" s="48" t="s">
        <v>1648</v>
      </c>
      <c r="R353" s="48" t="s">
        <v>1648</v>
      </c>
      <c r="S353" s="48" t="s">
        <v>1649</v>
      </c>
      <c r="T353" s="48"/>
    </row>
    <row r="354" spans="1:20" ht="13.5" thickBot="1" x14ac:dyDescent="0.25">
      <c r="A354" s="48" t="s">
        <v>212</v>
      </c>
      <c r="B354" s="224" t="s">
        <v>211</v>
      </c>
      <c r="C354" s="48" t="s">
        <v>54</v>
      </c>
      <c r="D354" s="87" t="s">
        <v>3529</v>
      </c>
      <c r="E354" s="208">
        <v>68500</v>
      </c>
      <c r="F354" s="208">
        <v>80000</v>
      </c>
      <c r="G354" s="244">
        <v>45</v>
      </c>
      <c r="H354" s="48" t="s">
        <v>1648</v>
      </c>
      <c r="I354" s="48" t="s">
        <v>1648</v>
      </c>
      <c r="J354" s="48" t="s">
        <v>1648</v>
      </c>
      <c r="K354" s="48" t="s">
        <v>1648</v>
      </c>
      <c r="L354" s="48" t="s">
        <v>1648</v>
      </c>
      <c r="M354" s="48" t="s">
        <v>1648</v>
      </c>
      <c r="N354" s="48" t="s">
        <v>1648</v>
      </c>
      <c r="O354" s="48" t="s">
        <v>1648</v>
      </c>
      <c r="P354" s="48" t="s">
        <v>1648</v>
      </c>
      <c r="Q354" s="48" t="s">
        <v>1648</v>
      </c>
      <c r="R354" s="48" t="s">
        <v>1648</v>
      </c>
      <c r="S354" s="48" t="s">
        <v>1648</v>
      </c>
      <c r="T354" s="48"/>
    </row>
    <row r="355" spans="1:20" ht="13.5" thickBot="1" x14ac:dyDescent="0.25">
      <c r="A355" s="48" t="s">
        <v>214</v>
      </c>
      <c r="B355" s="224" t="s">
        <v>213</v>
      </c>
      <c r="C355" s="48" t="s">
        <v>54</v>
      </c>
      <c r="D355" s="87" t="s">
        <v>3529</v>
      </c>
      <c r="E355" s="208">
        <v>92017</v>
      </c>
      <c r="F355" s="208">
        <v>116565</v>
      </c>
      <c r="G355" s="244">
        <v>40</v>
      </c>
      <c r="H355" s="48" t="s">
        <v>1648</v>
      </c>
      <c r="I355" s="48" t="s">
        <v>1648</v>
      </c>
      <c r="J355" s="48" t="s">
        <v>1648</v>
      </c>
      <c r="K355" s="48" t="s">
        <v>1648</v>
      </c>
      <c r="L355" s="48" t="s">
        <v>1648</v>
      </c>
      <c r="M355" s="48" t="s">
        <v>1648</v>
      </c>
      <c r="N355" s="48" t="s">
        <v>1648</v>
      </c>
      <c r="O355" s="48" t="s">
        <v>1648</v>
      </c>
      <c r="P355" s="48" t="s">
        <v>1648</v>
      </c>
      <c r="Q355" s="48" t="s">
        <v>1648</v>
      </c>
      <c r="R355" s="48" t="s">
        <v>1649</v>
      </c>
      <c r="S355" s="48" t="s">
        <v>1648</v>
      </c>
      <c r="T355" s="48"/>
    </row>
    <row r="356" spans="1:20" ht="13.5" thickBot="1" x14ac:dyDescent="0.25">
      <c r="A356" s="48" t="s">
        <v>222</v>
      </c>
      <c r="B356" s="224" t="s">
        <v>221</v>
      </c>
      <c r="C356" s="48" t="s">
        <v>54</v>
      </c>
      <c r="D356" s="87" t="s">
        <v>3529</v>
      </c>
      <c r="E356" s="208">
        <v>128585</v>
      </c>
      <c r="F356" s="208">
        <v>188551</v>
      </c>
      <c r="G356" s="244">
        <v>40</v>
      </c>
      <c r="H356" s="48" t="s">
        <v>1648</v>
      </c>
      <c r="I356" s="48" t="s">
        <v>1648</v>
      </c>
      <c r="J356" s="48" t="s">
        <v>1648</v>
      </c>
      <c r="K356" s="48" t="s">
        <v>1648</v>
      </c>
      <c r="L356" s="48" t="s">
        <v>1648</v>
      </c>
      <c r="M356" s="48" t="s">
        <v>1648</v>
      </c>
      <c r="N356" s="48" t="s">
        <v>1648</v>
      </c>
      <c r="O356" s="48" t="s">
        <v>1648</v>
      </c>
      <c r="P356" s="48" t="s">
        <v>1648</v>
      </c>
      <c r="Q356" s="48" t="s">
        <v>1648</v>
      </c>
      <c r="R356" s="48" t="s">
        <v>1649</v>
      </c>
      <c r="S356" s="48" t="s">
        <v>1648</v>
      </c>
      <c r="T356" s="48" t="s">
        <v>3553</v>
      </c>
    </row>
    <row r="357" spans="1:20" ht="13.5" thickBot="1" x14ac:dyDescent="0.25">
      <c r="A357" s="48" t="s">
        <v>266</v>
      </c>
      <c r="B357" s="224" t="s">
        <v>265</v>
      </c>
      <c r="C357" s="48" t="s">
        <v>54</v>
      </c>
      <c r="D357" s="87" t="s">
        <v>3529</v>
      </c>
      <c r="E357" s="208">
        <v>0</v>
      </c>
      <c r="F357" s="208">
        <v>0</v>
      </c>
      <c r="G357" s="244">
        <v>40</v>
      </c>
      <c r="H357" s="48" t="s">
        <v>1648</v>
      </c>
      <c r="I357" s="48" t="s">
        <v>1648</v>
      </c>
      <c r="J357" s="48" t="s">
        <v>1648</v>
      </c>
      <c r="K357" s="48" t="s">
        <v>1648</v>
      </c>
      <c r="L357" s="48" t="s">
        <v>1648</v>
      </c>
      <c r="M357" s="48" t="s">
        <v>1648</v>
      </c>
      <c r="N357" s="48" t="s">
        <v>1648</v>
      </c>
      <c r="O357" s="48" t="s">
        <v>1648</v>
      </c>
      <c r="P357" s="48" t="s">
        <v>1648</v>
      </c>
      <c r="Q357" s="48" t="s">
        <v>1649</v>
      </c>
      <c r="R357" s="48" t="s">
        <v>1648</v>
      </c>
      <c r="S357" s="48" t="s">
        <v>1649</v>
      </c>
      <c r="T357" s="48" t="s">
        <v>3539</v>
      </c>
    </row>
    <row r="358" spans="1:20" ht="13.5" thickBot="1" x14ac:dyDescent="0.25">
      <c r="A358" s="48" t="s">
        <v>278</v>
      </c>
      <c r="B358" s="224" t="s">
        <v>277</v>
      </c>
      <c r="C358" s="48" t="s">
        <v>54</v>
      </c>
      <c r="D358" s="87" t="s">
        <v>3529</v>
      </c>
      <c r="E358" s="208">
        <v>91219</v>
      </c>
      <c r="F358" s="208">
        <v>106224</v>
      </c>
      <c r="G358" s="244">
        <v>60</v>
      </c>
      <c r="H358" s="48" t="s">
        <v>1648</v>
      </c>
      <c r="I358" s="48" t="s">
        <v>1648</v>
      </c>
      <c r="J358" s="48" t="s">
        <v>1648</v>
      </c>
      <c r="K358" s="48" t="s">
        <v>1648</v>
      </c>
      <c r="L358" s="48" t="s">
        <v>1648</v>
      </c>
      <c r="M358" s="48" t="s">
        <v>1648</v>
      </c>
      <c r="N358" s="48" t="s">
        <v>1648</v>
      </c>
      <c r="O358" s="48" t="s">
        <v>1649</v>
      </c>
      <c r="P358" s="48" t="s">
        <v>1648</v>
      </c>
      <c r="Q358" s="48" t="s">
        <v>1648</v>
      </c>
      <c r="R358" s="48" t="s">
        <v>1648</v>
      </c>
      <c r="S358" s="48" t="s">
        <v>1648</v>
      </c>
      <c r="T358" s="48"/>
    </row>
    <row r="359" spans="1:20" ht="13.5" thickBot="1" x14ac:dyDescent="0.25">
      <c r="A359" s="48" t="s">
        <v>304</v>
      </c>
      <c r="B359" s="224" t="s">
        <v>303</v>
      </c>
      <c r="C359" s="48" t="s">
        <v>54</v>
      </c>
      <c r="D359" s="87" t="s">
        <v>3529</v>
      </c>
      <c r="E359" s="208">
        <v>102675</v>
      </c>
      <c r="F359" s="208">
        <v>102675</v>
      </c>
      <c r="G359" s="244">
        <v>40</v>
      </c>
      <c r="H359" s="48" t="s">
        <v>1648</v>
      </c>
      <c r="I359" s="48" t="s">
        <v>1648</v>
      </c>
      <c r="J359" s="48" t="s">
        <v>1648</v>
      </c>
      <c r="K359" s="48" t="s">
        <v>1648</v>
      </c>
      <c r="L359" s="48" t="s">
        <v>1648</v>
      </c>
      <c r="M359" s="48" t="s">
        <v>1648</v>
      </c>
      <c r="N359" s="48" t="s">
        <v>1648</v>
      </c>
      <c r="O359" s="48" t="s">
        <v>1649</v>
      </c>
      <c r="P359" s="48" t="s">
        <v>1648</v>
      </c>
      <c r="Q359" s="48" t="s">
        <v>1648</v>
      </c>
      <c r="R359" s="48" t="s">
        <v>1648</v>
      </c>
      <c r="S359" s="48" t="s">
        <v>1649</v>
      </c>
      <c r="T359" s="48"/>
    </row>
    <row r="360" spans="1:20" ht="13.5" thickBot="1" x14ac:dyDescent="0.25">
      <c r="A360" s="48" t="s">
        <v>318</v>
      </c>
      <c r="B360" s="224" t="s">
        <v>317</v>
      </c>
      <c r="C360" s="48" t="s">
        <v>54</v>
      </c>
      <c r="D360" s="87" t="s">
        <v>3529</v>
      </c>
      <c r="E360" s="208">
        <v>96750</v>
      </c>
      <c r="F360" s="208">
        <v>125276</v>
      </c>
      <c r="G360" s="244">
        <v>40</v>
      </c>
      <c r="H360" s="48" t="s">
        <v>1648</v>
      </c>
      <c r="I360" s="48" t="s">
        <v>1648</v>
      </c>
      <c r="J360" s="48" t="s">
        <v>1648</v>
      </c>
      <c r="K360" s="48" t="s">
        <v>1648</v>
      </c>
      <c r="L360" s="48" t="s">
        <v>1649</v>
      </c>
      <c r="M360" s="48" t="s">
        <v>1649</v>
      </c>
      <c r="N360" s="48" t="s">
        <v>1648</v>
      </c>
      <c r="O360" s="48" t="s">
        <v>1648</v>
      </c>
      <c r="P360" s="48" t="s">
        <v>1648</v>
      </c>
      <c r="Q360" s="48" t="s">
        <v>1648</v>
      </c>
      <c r="R360" s="48" t="s">
        <v>1648</v>
      </c>
      <c r="S360" s="48" t="s">
        <v>1649</v>
      </c>
      <c r="T360" s="48"/>
    </row>
    <row r="361" spans="1:20" ht="13.5" thickBot="1" x14ac:dyDescent="0.25">
      <c r="A361" s="48" t="s">
        <v>322</v>
      </c>
      <c r="B361" s="224" t="s">
        <v>321</v>
      </c>
      <c r="C361" s="48" t="s">
        <v>54</v>
      </c>
      <c r="D361" s="87" t="s">
        <v>3529</v>
      </c>
      <c r="E361" s="208">
        <v>114587</v>
      </c>
      <c r="F361" s="208">
        <v>146246</v>
      </c>
      <c r="G361" s="244">
        <v>40</v>
      </c>
      <c r="H361" s="48" t="s">
        <v>1648</v>
      </c>
      <c r="I361" s="48" t="s">
        <v>1648</v>
      </c>
      <c r="J361" s="48" t="s">
        <v>1648</v>
      </c>
      <c r="K361" s="48" t="s">
        <v>1648</v>
      </c>
      <c r="L361" s="48" t="s">
        <v>1649</v>
      </c>
      <c r="M361" s="48" t="s">
        <v>1648</v>
      </c>
      <c r="N361" s="48" t="s">
        <v>1648</v>
      </c>
      <c r="O361" s="48" t="s">
        <v>1648</v>
      </c>
      <c r="P361" s="48" t="s">
        <v>1648</v>
      </c>
      <c r="Q361" s="48" t="s">
        <v>1648</v>
      </c>
      <c r="R361" s="48" t="s">
        <v>1648</v>
      </c>
      <c r="S361" s="48" t="s">
        <v>1649</v>
      </c>
      <c r="T361" s="48"/>
    </row>
    <row r="362" spans="1:20" ht="13.5" thickBot="1" x14ac:dyDescent="0.25">
      <c r="A362" s="48" t="s">
        <v>326</v>
      </c>
      <c r="B362" s="224" t="s">
        <v>325</v>
      </c>
      <c r="C362" s="48" t="s">
        <v>54</v>
      </c>
      <c r="D362" s="87" t="s">
        <v>3529</v>
      </c>
      <c r="E362" s="208">
        <v>1</v>
      </c>
      <c r="F362" s="208">
        <v>110000</v>
      </c>
      <c r="G362" s="244">
        <v>40</v>
      </c>
      <c r="H362" s="48" t="s">
        <v>1648</v>
      </c>
      <c r="I362" s="48" t="s">
        <v>1648</v>
      </c>
      <c r="J362" s="48" t="s">
        <v>1648</v>
      </c>
      <c r="K362" s="48" t="s">
        <v>1648</v>
      </c>
      <c r="L362" s="48" t="s">
        <v>1649</v>
      </c>
      <c r="M362" s="48" t="s">
        <v>1648</v>
      </c>
      <c r="N362" s="48" t="s">
        <v>1648</v>
      </c>
      <c r="O362" s="48" t="s">
        <v>1648</v>
      </c>
      <c r="P362" s="48" t="s">
        <v>1648</v>
      </c>
      <c r="Q362" s="48" t="s">
        <v>1648</v>
      </c>
      <c r="R362" s="48" t="s">
        <v>1648</v>
      </c>
      <c r="S362" s="48" t="s">
        <v>1649</v>
      </c>
      <c r="T362" s="48"/>
    </row>
    <row r="363" spans="1:20" ht="13.5" thickBot="1" x14ac:dyDescent="0.25">
      <c r="A363" s="48" t="s">
        <v>352</v>
      </c>
      <c r="B363" s="224" t="s">
        <v>351</v>
      </c>
      <c r="C363" s="48" t="s">
        <v>54</v>
      </c>
      <c r="D363" s="87" t="s">
        <v>3529</v>
      </c>
      <c r="E363" s="208">
        <v>89211</v>
      </c>
      <c r="F363" s="208">
        <v>107894</v>
      </c>
      <c r="G363" s="244">
        <v>50</v>
      </c>
      <c r="H363" s="48" t="s">
        <v>1648</v>
      </c>
      <c r="I363" s="48" t="s">
        <v>1648</v>
      </c>
      <c r="J363" s="48" t="s">
        <v>1649</v>
      </c>
      <c r="K363" s="48" t="s">
        <v>1648</v>
      </c>
      <c r="L363" s="48" t="s">
        <v>1648</v>
      </c>
      <c r="M363" s="48" t="s">
        <v>1648</v>
      </c>
      <c r="N363" s="48" t="s">
        <v>1648</v>
      </c>
      <c r="O363" s="48" t="s">
        <v>1648</v>
      </c>
      <c r="P363" s="48" t="s">
        <v>1648</v>
      </c>
      <c r="Q363" s="48" t="s">
        <v>1648</v>
      </c>
      <c r="R363" s="48" t="s">
        <v>1648</v>
      </c>
      <c r="S363" s="48" t="s">
        <v>1648</v>
      </c>
      <c r="T363" s="48"/>
    </row>
    <row r="364" spans="1:20" ht="13.5" thickBot="1" x14ac:dyDescent="0.25">
      <c r="A364" s="48" t="s">
        <v>374</v>
      </c>
      <c r="B364" s="224" t="s">
        <v>373</v>
      </c>
      <c r="C364" s="48" t="s">
        <v>54</v>
      </c>
      <c r="D364" s="87" t="s">
        <v>3529</v>
      </c>
      <c r="E364" s="208">
        <v>75462</v>
      </c>
      <c r="F364" s="208">
        <v>113194</v>
      </c>
      <c r="G364" s="244">
        <v>42</v>
      </c>
      <c r="H364" s="48" t="s">
        <v>1648</v>
      </c>
      <c r="I364" s="48" t="s">
        <v>1649</v>
      </c>
      <c r="J364" s="48" t="s">
        <v>1649</v>
      </c>
      <c r="K364" s="48" t="s">
        <v>1648</v>
      </c>
      <c r="L364" s="48" t="s">
        <v>1648</v>
      </c>
      <c r="M364" s="48" t="s">
        <v>1648</v>
      </c>
      <c r="N364" s="48" t="s">
        <v>1648</v>
      </c>
      <c r="O364" s="48" t="s">
        <v>1649</v>
      </c>
      <c r="P364" s="48" t="s">
        <v>1648</v>
      </c>
      <c r="Q364" s="48" t="s">
        <v>1648</v>
      </c>
      <c r="R364" s="48" t="s">
        <v>1649</v>
      </c>
      <c r="S364" s="48" t="s">
        <v>1649</v>
      </c>
      <c r="T364" s="48"/>
    </row>
    <row r="365" spans="1:20" ht="13.5" thickBot="1" x14ac:dyDescent="0.25">
      <c r="A365" s="48" t="s">
        <v>394</v>
      </c>
      <c r="B365" s="224" t="s">
        <v>393</v>
      </c>
      <c r="C365" s="48" t="s">
        <v>54</v>
      </c>
      <c r="D365" s="87" t="s">
        <v>3529</v>
      </c>
      <c r="E365" s="208">
        <v>108000</v>
      </c>
      <c r="F365" s="208">
        <v>120000</v>
      </c>
      <c r="G365" s="244">
        <v>40</v>
      </c>
      <c r="H365" s="48" t="s">
        <v>1648</v>
      </c>
      <c r="I365" s="48" t="s">
        <v>1648</v>
      </c>
      <c r="J365" s="48" t="s">
        <v>1648</v>
      </c>
      <c r="K365" s="48" t="s">
        <v>1648</v>
      </c>
      <c r="L365" s="48" t="s">
        <v>1648</v>
      </c>
      <c r="M365" s="48" t="s">
        <v>1648</v>
      </c>
      <c r="N365" s="48" t="s">
        <v>1648</v>
      </c>
      <c r="O365" s="48" t="s">
        <v>1648</v>
      </c>
      <c r="P365" s="48" t="s">
        <v>1648</v>
      </c>
      <c r="Q365" s="48" t="s">
        <v>1648</v>
      </c>
      <c r="R365" s="48" t="s">
        <v>1648</v>
      </c>
      <c r="S365" s="48" t="s">
        <v>1649</v>
      </c>
      <c r="T365" s="48"/>
    </row>
    <row r="366" spans="1:20" ht="13.5" thickBot="1" x14ac:dyDescent="0.25">
      <c r="A366" s="48" t="s">
        <v>402</v>
      </c>
      <c r="B366" s="224" t="s">
        <v>401</v>
      </c>
      <c r="C366" s="48" t="s">
        <v>54</v>
      </c>
      <c r="D366" s="87" t="s">
        <v>3529</v>
      </c>
      <c r="E366" s="208">
        <v>131968</v>
      </c>
      <c r="F366" s="208">
        <v>131968</v>
      </c>
      <c r="G366" s="244">
        <v>40</v>
      </c>
      <c r="H366" s="48" t="s">
        <v>1648</v>
      </c>
      <c r="I366" s="48" t="s">
        <v>1648</v>
      </c>
      <c r="J366" s="48" t="s">
        <v>1648</v>
      </c>
      <c r="K366" s="48" t="s">
        <v>1648</v>
      </c>
      <c r="L366" s="48" t="s">
        <v>1648</v>
      </c>
      <c r="M366" s="48" t="s">
        <v>1648</v>
      </c>
      <c r="N366" s="48" t="s">
        <v>1648</v>
      </c>
      <c r="O366" s="48" t="s">
        <v>1648</v>
      </c>
      <c r="P366" s="48" t="s">
        <v>1648</v>
      </c>
      <c r="Q366" s="48" t="s">
        <v>1649</v>
      </c>
      <c r="R366" s="48" t="s">
        <v>1648</v>
      </c>
      <c r="S366" s="48" t="s">
        <v>1649</v>
      </c>
      <c r="T366" s="48"/>
    </row>
    <row r="367" spans="1:20" ht="13.5" thickBot="1" x14ac:dyDescent="0.25">
      <c r="A367" s="48" t="s">
        <v>406</v>
      </c>
      <c r="B367" s="224" t="s">
        <v>405</v>
      </c>
      <c r="C367" s="48" t="s">
        <v>54</v>
      </c>
      <c r="D367" s="87" t="s">
        <v>3529</v>
      </c>
      <c r="E367" s="87" t="s">
        <v>1660</v>
      </c>
      <c r="F367" s="87" t="s">
        <v>1660</v>
      </c>
      <c r="G367" s="244">
        <v>50</v>
      </c>
      <c r="H367" s="48" t="s">
        <v>1648</v>
      </c>
      <c r="I367" s="48" t="s">
        <v>1648</v>
      </c>
      <c r="J367" s="48" t="s">
        <v>1648</v>
      </c>
      <c r="K367" s="48" t="s">
        <v>1648</v>
      </c>
      <c r="L367" s="48" t="s">
        <v>1649</v>
      </c>
      <c r="M367" s="48" t="s">
        <v>1648</v>
      </c>
      <c r="N367" s="48" t="s">
        <v>1648</v>
      </c>
      <c r="O367" s="48" t="s">
        <v>1649</v>
      </c>
      <c r="P367" s="48" t="s">
        <v>1648</v>
      </c>
      <c r="Q367" s="48" t="s">
        <v>1648</v>
      </c>
      <c r="R367" s="48" t="s">
        <v>1648</v>
      </c>
      <c r="S367" s="48" t="s">
        <v>1649</v>
      </c>
      <c r="T367" s="48" t="s">
        <v>3569</v>
      </c>
    </row>
    <row r="368" spans="1:20" ht="13.5" thickBot="1" x14ac:dyDescent="0.25">
      <c r="A368" s="48" t="s">
        <v>417</v>
      </c>
      <c r="B368" s="224" t="s">
        <v>416</v>
      </c>
      <c r="C368" s="48" t="s">
        <v>54</v>
      </c>
      <c r="D368" s="87" t="s">
        <v>3529</v>
      </c>
      <c r="E368" s="208">
        <v>65000</v>
      </c>
      <c r="F368" s="208">
        <v>85000</v>
      </c>
      <c r="G368" s="244">
        <v>40</v>
      </c>
      <c r="H368" s="48" t="s">
        <v>1648</v>
      </c>
      <c r="I368" s="48" t="s">
        <v>1648</v>
      </c>
      <c r="J368" s="48" t="s">
        <v>1648</v>
      </c>
      <c r="K368" s="48" t="s">
        <v>1648</v>
      </c>
      <c r="L368" s="48" t="s">
        <v>1648</v>
      </c>
      <c r="M368" s="48" t="s">
        <v>1648</v>
      </c>
      <c r="N368" s="48" t="s">
        <v>1648</v>
      </c>
      <c r="O368" s="48" t="s">
        <v>1648</v>
      </c>
      <c r="P368" s="48" t="s">
        <v>1648</v>
      </c>
      <c r="Q368" s="48" t="s">
        <v>1648</v>
      </c>
      <c r="R368" s="48" t="s">
        <v>1648</v>
      </c>
      <c r="S368" s="48" t="s">
        <v>1649</v>
      </c>
      <c r="T368" s="48"/>
    </row>
    <row r="369" spans="1:20" ht="13.5" thickBot="1" x14ac:dyDescent="0.25">
      <c r="A369" s="48" t="s">
        <v>443</v>
      </c>
      <c r="B369" s="224" t="s">
        <v>442</v>
      </c>
      <c r="C369" s="48" t="s">
        <v>54</v>
      </c>
      <c r="D369" s="87" t="s">
        <v>3529</v>
      </c>
      <c r="E369" s="208">
        <v>94348</v>
      </c>
      <c r="F369" s="208">
        <v>104270</v>
      </c>
      <c r="G369" s="244">
        <v>40</v>
      </c>
      <c r="H369" s="48" t="s">
        <v>1648</v>
      </c>
      <c r="I369" s="48" t="s">
        <v>1648</v>
      </c>
      <c r="J369" s="48" t="s">
        <v>1648</v>
      </c>
      <c r="K369" s="48" t="s">
        <v>1648</v>
      </c>
      <c r="L369" s="48" t="s">
        <v>1649</v>
      </c>
      <c r="M369" s="48" t="s">
        <v>1648</v>
      </c>
      <c r="N369" s="48" t="s">
        <v>1648</v>
      </c>
      <c r="O369" s="48" t="s">
        <v>1648</v>
      </c>
      <c r="P369" s="48" t="s">
        <v>1648</v>
      </c>
      <c r="Q369" s="48" t="s">
        <v>1648</v>
      </c>
      <c r="R369" s="48" t="s">
        <v>1648</v>
      </c>
      <c r="S369" s="48" t="s">
        <v>1648</v>
      </c>
      <c r="T369" s="48"/>
    </row>
    <row r="370" spans="1:20" ht="13.5" thickBot="1" x14ac:dyDescent="0.25">
      <c r="A370" s="48" t="s">
        <v>508</v>
      </c>
      <c r="B370" s="224" t="s">
        <v>507</v>
      </c>
      <c r="C370" s="48" t="s">
        <v>54</v>
      </c>
      <c r="D370" s="87" t="s">
        <v>3529</v>
      </c>
      <c r="E370" s="208">
        <v>118061</v>
      </c>
      <c r="F370" s="208">
        <v>118061</v>
      </c>
      <c r="G370" s="244">
        <v>40</v>
      </c>
      <c r="H370" s="48" t="s">
        <v>1648</v>
      </c>
      <c r="I370" s="48" t="s">
        <v>1648</v>
      </c>
      <c r="J370" s="48" t="s">
        <v>1648</v>
      </c>
      <c r="K370" s="48" t="s">
        <v>1648</v>
      </c>
      <c r="L370" s="48" t="s">
        <v>1648</v>
      </c>
      <c r="M370" s="48" t="s">
        <v>1648</v>
      </c>
      <c r="N370" s="48" t="s">
        <v>1648</v>
      </c>
      <c r="O370" s="48" t="s">
        <v>1648</v>
      </c>
      <c r="P370" s="48" t="s">
        <v>1648</v>
      </c>
      <c r="Q370" s="48" t="s">
        <v>1648</v>
      </c>
      <c r="R370" s="48" t="s">
        <v>1648</v>
      </c>
      <c r="S370" s="48" t="s">
        <v>1648</v>
      </c>
      <c r="T370" s="48" t="s">
        <v>3578</v>
      </c>
    </row>
    <row r="371" spans="1:20" ht="13.5" thickBot="1" x14ac:dyDescent="0.25">
      <c r="A371" s="48" t="s">
        <v>522</v>
      </c>
      <c r="B371" s="224" t="s">
        <v>521</v>
      </c>
      <c r="C371" s="48" t="s">
        <v>54</v>
      </c>
      <c r="D371" s="87" t="s">
        <v>3529</v>
      </c>
      <c r="E371" s="208">
        <v>96000</v>
      </c>
      <c r="F371" s="208">
        <v>96000</v>
      </c>
      <c r="G371" s="244">
        <v>40</v>
      </c>
      <c r="H371" s="48" t="s">
        <v>1648</v>
      </c>
      <c r="I371" s="48" t="s">
        <v>1648</v>
      </c>
      <c r="J371" s="48" t="s">
        <v>1648</v>
      </c>
      <c r="K371" s="48" t="s">
        <v>1648</v>
      </c>
      <c r="L371" s="48" t="s">
        <v>1648</v>
      </c>
      <c r="M371" s="48" t="s">
        <v>1648</v>
      </c>
      <c r="N371" s="48" t="s">
        <v>1648</v>
      </c>
      <c r="O371" s="48" t="s">
        <v>1648</v>
      </c>
      <c r="P371" s="48" t="s">
        <v>1648</v>
      </c>
      <c r="Q371" s="48" t="s">
        <v>1648</v>
      </c>
      <c r="R371" s="48" t="s">
        <v>1648</v>
      </c>
      <c r="S371" s="48" t="s">
        <v>1648</v>
      </c>
      <c r="T371" s="48" t="s">
        <v>3580</v>
      </c>
    </row>
    <row r="372" spans="1:20" ht="13.5" thickBot="1" x14ac:dyDescent="0.25">
      <c r="A372" s="48" t="s">
        <v>542</v>
      </c>
      <c r="B372" s="224" t="s">
        <v>541</v>
      </c>
      <c r="C372" s="48" t="s">
        <v>54</v>
      </c>
      <c r="D372" s="87" t="s">
        <v>3529</v>
      </c>
      <c r="E372" s="208">
        <v>85990</v>
      </c>
      <c r="F372" s="208">
        <v>120386</v>
      </c>
      <c r="G372" s="244">
        <v>40</v>
      </c>
      <c r="H372" s="48" t="s">
        <v>1648</v>
      </c>
      <c r="I372" s="48" t="s">
        <v>1648</v>
      </c>
      <c r="J372" s="48" t="s">
        <v>1648</v>
      </c>
      <c r="K372" s="48" t="s">
        <v>1648</v>
      </c>
      <c r="L372" s="48" t="s">
        <v>1649</v>
      </c>
      <c r="M372" s="48" t="s">
        <v>1648</v>
      </c>
      <c r="N372" s="48" t="s">
        <v>1648</v>
      </c>
      <c r="O372" s="48" t="s">
        <v>1648</v>
      </c>
      <c r="P372" s="48" t="s">
        <v>1648</v>
      </c>
      <c r="Q372" s="48" t="s">
        <v>1648</v>
      </c>
      <c r="R372" s="48" t="s">
        <v>1649</v>
      </c>
      <c r="S372" s="48" t="s">
        <v>1649</v>
      </c>
      <c r="T372" s="48" t="s">
        <v>3583</v>
      </c>
    </row>
    <row r="373" spans="1:20" ht="13.5" thickBot="1" x14ac:dyDescent="0.25">
      <c r="A373" s="48" t="s">
        <v>590</v>
      </c>
      <c r="B373" s="224" t="s">
        <v>589</v>
      </c>
      <c r="C373" s="48" t="s">
        <v>54</v>
      </c>
      <c r="D373" s="87" t="s">
        <v>3529</v>
      </c>
      <c r="E373" s="208">
        <v>51000</v>
      </c>
      <c r="F373" s="208">
        <v>80000</v>
      </c>
      <c r="G373" s="244">
        <v>40</v>
      </c>
      <c r="H373" s="48" t="s">
        <v>1648</v>
      </c>
      <c r="I373" s="48" t="s">
        <v>1648</v>
      </c>
      <c r="J373" s="48" t="s">
        <v>1649</v>
      </c>
      <c r="K373" s="48" t="s">
        <v>1648</v>
      </c>
      <c r="L373" s="48" t="s">
        <v>1649</v>
      </c>
      <c r="M373" s="48" t="s">
        <v>1648</v>
      </c>
      <c r="N373" s="48" t="s">
        <v>1648</v>
      </c>
      <c r="O373" s="48" t="s">
        <v>1648</v>
      </c>
      <c r="P373" s="48" t="s">
        <v>1648</v>
      </c>
      <c r="Q373" s="48" t="s">
        <v>1649</v>
      </c>
      <c r="R373" s="48" t="s">
        <v>1649</v>
      </c>
      <c r="S373" s="48" t="s">
        <v>1649</v>
      </c>
      <c r="T373" s="48"/>
    </row>
    <row r="374" spans="1:20" ht="13.5" thickBot="1" x14ac:dyDescent="0.25">
      <c r="A374" s="48" t="s">
        <v>594</v>
      </c>
      <c r="B374" s="224" t="s">
        <v>593</v>
      </c>
      <c r="C374" s="48" t="s">
        <v>54</v>
      </c>
      <c r="D374" s="87" t="s">
        <v>3529</v>
      </c>
      <c r="E374" s="208">
        <v>70000</v>
      </c>
      <c r="F374" s="208">
        <v>105000</v>
      </c>
      <c r="G374" s="244">
        <v>45</v>
      </c>
      <c r="H374" s="48" t="s">
        <v>1648</v>
      </c>
      <c r="I374" s="48" t="s">
        <v>1648</v>
      </c>
      <c r="J374" s="48" t="s">
        <v>1648</v>
      </c>
      <c r="K374" s="48" t="s">
        <v>1648</v>
      </c>
      <c r="L374" s="48" t="s">
        <v>1649</v>
      </c>
      <c r="M374" s="48" t="s">
        <v>1648</v>
      </c>
      <c r="N374" s="48" t="s">
        <v>1648</v>
      </c>
      <c r="O374" s="48" t="s">
        <v>1649</v>
      </c>
      <c r="P374" s="48" t="s">
        <v>1648</v>
      </c>
      <c r="Q374" s="48" t="s">
        <v>1648</v>
      </c>
      <c r="R374" s="48" t="s">
        <v>1648</v>
      </c>
      <c r="S374" s="48" t="s">
        <v>1649</v>
      </c>
      <c r="T374" s="48" t="s">
        <v>3591</v>
      </c>
    </row>
    <row r="375" spans="1:20" ht="13.5" thickBot="1" x14ac:dyDescent="0.25">
      <c r="A375" s="48" t="s">
        <v>604</v>
      </c>
      <c r="B375" s="224" t="s">
        <v>603</v>
      </c>
      <c r="C375" s="48" t="s">
        <v>54</v>
      </c>
      <c r="D375" s="87" t="s">
        <v>3529</v>
      </c>
      <c r="E375" s="208">
        <v>75000</v>
      </c>
      <c r="F375" s="208">
        <v>87780</v>
      </c>
      <c r="G375" s="244">
        <v>40</v>
      </c>
      <c r="H375" s="48" t="s">
        <v>1648</v>
      </c>
      <c r="I375" s="48" t="s">
        <v>1648</v>
      </c>
      <c r="J375" s="48" t="s">
        <v>1648</v>
      </c>
      <c r="K375" s="48" t="s">
        <v>1648</v>
      </c>
      <c r="L375" s="48" t="s">
        <v>1648</v>
      </c>
      <c r="M375" s="48" t="s">
        <v>1648</v>
      </c>
      <c r="N375" s="48" t="s">
        <v>1648</v>
      </c>
      <c r="O375" s="48" t="s">
        <v>1648</v>
      </c>
      <c r="P375" s="48" t="s">
        <v>1648</v>
      </c>
      <c r="Q375" s="48" t="s">
        <v>1648</v>
      </c>
      <c r="R375" s="48" t="s">
        <v>1649</v>
      </c>
      <c r="S375" s="48" t="s">
        <v>1649</v>
      </c>
      <c r="T375" s="48"/>
    </row>
    <row r="376" spans="1:20" ht="13.5" thickBot="1" x14ac:dyDescent="0.25">
      <c r="A376" s="48" t="s">
        <v>638</v>
      </c>
      <c r="B376" s="224" t="s">
        <v>637</v>
      </c>
      <c r="C376" s="48" t="s">
        <v>54</v>
      </c>
      <c r="D376" s="87" t="s">
        <v>3529</v>
      </c>
      <c r="E376" s="208">
        <v>110726</v>
      </c>
      <c r="F376" s="208">
        <v>157598</v>
      </c>
      <c r="G376" s="244">
        <v>38</v>
      </c>
      <c r="H376" s="48" t="s">
        <v>1648</v>
      </c>
      <c r="I376" s="48" t="s">
        <v>1648</v>
      </c>
      <c r="J376" s="48" t="s">
        <v>1648</v>
      </c>
      <c r="K376" s="48" t="s">
        <v>1649</v>
      </c>
      <c r="L376" s="48" t="s">
        <v>1648</v>
      </c>
      <c r="M376" s="48" t="s">
        <v>1648</v>
      </c>
      <c r="N376" s="48" t="s">
        <v>1648</v>
      </c>
      <c r="O376" s="48" t="s">
        <v>1649</v>
      </c>
      <c r="P376" s="48" t="s">
        <v>1648</v>
      </c>
      <c r="Q376" s="48" t="s">
        <v>1648</v>
      </c>
      <c r="R376" s="48" t="s">
        <v>1648</v>
      </c>
      <c r="S376" s="48" t="s">
        <v>1649</v>
      </c>
      <c r="T376" s="48" t="s">
        <v>3595</v>
      </c>
    </row>
    <row r="377" spans="1:20" ht="13.5" thickBot="1" x14ac:dyDescent="0.25">
      <c r="A377" s="48" t="s">
        <v>648</v>
      </c>
      <c r="B377" s="224" t="s">
        <v>647</v>
      </c>
      <c r="C377" s="48" t="s">
        <v>54</v>
      </c>
      <c r="D377" s="87" t="s">
        <v>3529</v>
      </c>
      <c r="E377" s="208">
        <v>78504</v>
      </c>
      <c r="F377" s="208">
        <v>95569</v>
      </c>
      <c r="G377" s="244">
        <v>40</v>
      </c>
      <c r="H377" s="48" t="s">
        <v>1648</v>
      </c>
      <c r="I377" s="48" t="s">
        <v>1648</v>
      </c>
      <c r="J377" s="48" t="s">
        <v>1648</v>
      </c>
      <c r="K377" s="48" t="s">
        <v>1648</v>
      </c>
      <c r="L377" s="48" t="s">
        <v>1649</v>
      </c>
      <c r="M377" s="48" t="s">
        <v>1648</v>
      </c>
      <c r="N377" s="48" t="s">
        <v>1648</v>
      </c>
      <c r="O377" s="48" t="s">
        <v>1648</v>
      </c>
      <c r="P377" s="48" t="s">
        <v>1648</v>
      </c>
      <c r="Q377" s="48" t="s">
        <v>1648</v>
      </c>
      <c r="R377" s="48" t="s">
        <v>1648</v>
      </c>
      <c r="S377" s="48" t="s">
        <v>1648</v>
      </c>
      <c r="T377" s="48" t="s">
        <v>3598</v>
      </c>
    </row>
    <row r="378" spans="1:20" ht="13.5" thickBot="1" x14ac:dyDescent="0.25">
      <c r="A378" s="48" t="s">
        <v>654</v>
      </c>
      <c r="B378" s="224" t="s">
        <v>653</v>
      </c>
      <c r="C378" s="48" t="s">
        <v>54</v>
      </c>
      <c r="D378" s="87" t="s">
        <v>3529</v>
      </c>
      <c r="E378" s="208">
        <v>86295</v>
      </c>
      <c r="F378" s="208">
        <v>89746</v>
      </c>
      <c r="G378" s="244">
        <v>40</v>
      </c>
      <c r="H378" s="48" t="s">
        <v>1648</v>
      </c>
      <c r="I378" s="48" t="s">
        <v>1648</v>
      </c>
      <c r="J378" s="48" t="s">
        <v>1648</v>
      </c>
      <c r="K378" s="48" t="s">
        <v>1648</v>
      </c>
      <c r="L378" s="48" t="s">
        <v>1648</v>
      </c>
      <c r="M378" s="48" t="s">
        <v>1648</v>
      </c>
      <c r="N378" s="48" t="s">
        <v>1648</v>
      </c>
      <c r="O378" s="48" t="s">
        <v>1649</v>
      </c>
      <c r="P378" s="48" t="s">
        <v>1648</v>
      </c>
      <c r="Q378" s="48" t="s">
        <v>1648</v>
      </c>
      <c r="R378" s="48" t="s">
        <v>1648</v>
      </c>
      <c r="S378" s="48" t="s">
        <v>1649</v>
      </c>
      <c r="T378" s="48"/>
    </row>
    <row r="379" spans="1:20" ht="13.5" thickBot="1" x14ac:dyDescent="0.25">
      <c r="A379" s="48" t="s">
        <v>656</v>
      </c>
      <c r="B379" s="224" t="s">
        <v>655</v>
      </c>
      <c r="C379" s="48" t="s">
        <v>54</v>
      </c>
      <c r="D379" s="87" t="s">
        <v>3529</v>
      </c>
      <c r="E379" s="208">
        <v>87340</v>
      </c>
      <c r="F379" s="208">
        <v>102753</v>
      </c>
      <c r="G379" s="244">
        <v>38</v>
      </c>
      <c r="H379" s="48" t="s">
        <v>1648</v>
      </c>
      <c r="I379" s="48" t="s">
        <v>1648</v>
      </c>
      <c r="J379" s="48" t="s">
        <v>1648</v>
      </c>
      <c r="K379" s="48" t="s">
        <v>1648</v>
      </c>
      <c r="L379" s="48" t="s">
        <v>1648</v>
      </c>
      <c r="M379" s="48" t="s">
        <v>1648</v>
      </c>
      <c r="N379" s="48" t="s">
        <v>1648</v>
      </c>
      <c r="O379" s="48" t="s">
        <v>1648</v>
      </c>
      <c r="P379" s="48" t="s">
        <v>1648</v>
      </c>
      <c r="Q379" s="48" t="s">
        <v>1648</v>
      </c>
      <c r="R379" s="48" t="s">
        <v>1648</v>
      </c>
      <c r="S379" s="48" t="s">
        <v>1648</v>
      </c>
      <c r="T379" s="48"/>
    </row>
    <row r="380" spans="1:20" ht="13.5" thickBot="1" x14ac:dyDescent="0.25">
      <c r="A380" s="48" t="s">
        <v>684</v>
      </c>
      <c r="B380" s="224" t="s">
        <v>683</v>
      </c>
      <c r="C380" s="48" t="s">
        <v>54</v>
      </c>
      <c r="D380" s="87" t="s">
        <v>3529</v>
      </c>
      <c r="E380" s="208">
        <v>87165</v>
      </c>
      <c r="F380" s="208">
        <v>102232</v>
      </c>
      <c r="G380" s="244">
        <v>38</v>
      </c>
      <c r="H380" s="48" t="s">
        <v>1648</v>
      </c>
      <c r="I380" s="48" t="s">
        <v>1648</v>
      </c>
      <c r="J380" s="48" t="s">
        <v>1648</v>
      </c>
      <c r="K380" s="48" t="s">
        <v>1648</v>
      </c>
      <c r="L380" s="48" t="s">
        <v>1648</v>
      </c>
      <c r="M380" s="48" t="s">
        <v>1648</v>
      </c>
      <c r="N380" s="48" t="s">
        <v>1648</v>
      </c>
      <c r="O380" s="48" t="s">
        <v>1648</v>
      </c>
      <c r="P380" s="48" t="s">
        <v>1648</v>
      </c>
      <c r="Q380" s="48" t="s">
        <v>1648</v>
      </c>
      <c r="R380" s="48" t="s">
        <v>1648</v>
      </c>
      <c r="S380" s="48" t="s">
        <v>1649</v>
      </c>
      <c r="T380" s="48" t="s">
        <v>3605</v>
      </c>
    </row>
    <row r="381" spans="1:20" ht="13.5" thickBot="1" x14ac:dyDescent="0.25">
      <c r="A381" s="48" t="s">
        <v>696</v>
      </c>
      <c r="B381" s="224" t="s">
        <v>695</v>
      </c>
      <c r="C381" s="48" t="s">
        <v>54</v>
      </c>
      <c r="D381" s="87" t="s">
        <v>3529</v>
      </c>
      <c r="E381" s="208">
        <v>80016</v>
      </c>
      <c r="F381" s="208">
        <v>108258</v>
      </c>
      <c r="G381" s="244">
        <v>40</v>
      </c>
      <c r="H381" s="48" t="s">
        <v>1648</v>
      </c>
      <c r="I381" s="48" t="s">
        <v>1648</v>
      </c>
      <c r="J381" s="48" t="s">
        <v>1648</v>
      </c>
      <c r="K381" s="48" t="s">
        <v>1648</v>
      </c>
      <c r="L381" s="48" t="s">
        <v>1648</v>
      </c>
      <c r="M381" s="48" t="s">
        <v>1648</v>
      </c>
      <c r="N381" s="48" t="s">
        <v>1648</v>
      </c>
      <c r="O381" s="48" t="s">
        <v>1648</v>
      </c>
      <c r="P381" s="48" t="s">
        <v>1648</v>
      </c>
      <c r="Q381" s="48" t="s">
        <v>1648</v>
      </c>
      <c r="R381" s="48" t="s">
        <v>1648</v>
      </c>
      <c r="S381" s="48" t="s">
        <v>1649</v>
      </c>
      <c r="T381" s="48"/>
    </row>
    <row r="382" spans="1:20" ht="13.5" thickBot="1" x14ac:dyDescent="0.25">
      <c r="A382" s="48" t="s">
        <v>710</v>
      </c>
      <c r="B382" s="224" t="s">
        <v>709</v>
      </c>
      <c r="C382" s="48" t="s">
        <v>54</v>
      </c>
      <c r="D382" s="87" t="s">
        <v>3529</v>
      </c>
      <c r="E382" s="208">
        <v>101557</v>
      </c>
      <c r="F382" s="208">
        <v>125913</v>
      </c>
      <c r="G382" s="244">
        <v>24</v>
      </c>
      <c r="H382" s="48" t="s">
        <v>1648</v>
      </c>
      <c r="I382" s="48" t="s">
        <v>1648</v>
      </c>
      <c r="J382" s="48" t="s">
        <v>1648</v>
      </c>
      <c r="K382" s="48" t="s">
        <v>1648</v>
      </c>
      <c r="L382" s="48" t="s">
        <v>1649</v>
      </c>
      <c r="M382" s="48" t="s">
        <v>1648</v>
      </c>
      <c r="N382" s="48" t="s">
        <v>1648</v>
      </c>
      <c r="O382" s="48" t="s">
        <v>1648</v>
      </c>
      <c r="P382" s="48" t="s">
        <v>1648</v>
      </c>
      <c r="Q382" s="48" t="s">
        <v>1648</v>
      </c>
      <c r="R382" s="48" t="s">
        <v>1648</v>
      </c>
      <c r="S382" s="48" t="s">
        <v>1648</v>
      </c>
      <c r="T382" s="48" t="s">
        <v>3608</v>
      </c>
    </row>
    <row r="383" spans="1:20" ht="13.5" thickBot="1" x14ac:dyDescent="0.25">
      <c r="A383" s="48" t="s">
        <v>726</v>
      </c>
      <c r="B383" s="224" t="s">
        <v>725</v>
      </c>
      <c r="C383" s="48" t="s">
        <v>54</v>
      </c>
      <c r="D383" s="87" t="s">
        <v>3529</v>
      </c>
      <c r="E383" s="208">
        <v>65000</v>
      </c>
      <c r="F383" s="208">
        <v>70000</v>
      </c>
      <c r="G383" s="244">
        <v>40</v>
      </c>
      <c r="H383" s="48" t="s">
        <v>1648</v>
      </c>
      <c r="I383" s="48" t="s">
        <v>1648</v>
      </c>
      <c r="J383" s="48" t="s">
        <v>1648</v>
      </c>
      <c r="K383" s="48" t="s">
        <v>1648</v>
      </c>
      <c r="L383" s="48" t="s">
        <v>1648</v>
      </c>
      <c r="M383" s="48" t="s">
        <v>1649</v>
      </c>
      <c r="N383" s="48" t="s">
        <v>1649</v>
      </c>
      <c r="O383" s="48" t="s">
        <v>1649</v>
      </c>
      <c r="P383" s="48" t="s">
        <v>1648</v>
      </c>
      <c r="Q383" s="48" t="s">
        <v>1648</v>
      </c>
      <c r="R383" s="48" t="s">
        <v>1649</v>
      </c>
      <c r="S383" s="48" t="s">
        <v>1649</v>
      </c>
      <c r="T383" s="48" t="s">
        <v>3604</v>
      </c>
    </row>
    <row r="384" spans="1:20" ht="13.5" thickBot="1" x14ac:dyDescent="0.25">
      <c r="A384" s="48" t="s">
        <v>752</v>
      </c>
      <c r="B384" s="224" t="s">
        <v>751</v>
      </c>
      <c r="C384" s="48" t="s">
        <v>54</v>
      </c>
      <c r="D384" s="87" t="s">
        <v>3529</v>
      </c>
      <c r="E384" s="208">
        <v>85000</v>
      </c>
      <c r="F384" s="208">
        <v>95000</v>
      </c>
      <c r="G384" s="244">
        <v>40</v>
      </c>
      <c r="H384" s="48" t="s">
        <v>1648</v>
      </c>
      <c r="I384" s="48" t="s">
        <v>1648</v>
      </c>
      <c r="J384" s="48" t="s">
        <v>1648</v>
      </c>
      <c r="K384" s="48" t="s">
        <v>1648</v>
      </c>
      <c r="L384" s="48" t="s">
        <v>1649</v>
      </c>
      <c r="M384" s="48" t="s">
        <v>1648</v>
      </c>
      <c r="N384" s="48" t="s">
        <v>1648</v>
      </c>
      <c r="O384" s="48" t="s">
        <v>1648</v>
      </c>
      <c r="P384" s="48" t="s">
        <v>1648</v>
      </c>
      <c r="Q384" s="48" t="s">
        <v>1648</v>
      </c>
      <c r="R384" s="48" t="s">
        <v>1648</v>
      </c>
      <c r="S384" s="48" t="s">
        <v>1649</v>
      </c>
      <c r="T384" s="48"/>
    </row>
    <row r="385" spans="1:20" ht="13.5" thickBot="1" x14ac:dyDescent="0.25">
      <c r="A385" s="48" t="s">
        <v>754</v>
      </c>
      <c r="B385" s="224" t="s">
        <v>1614</v>
      </c>
      <c r="C385" s="48" t="s">
        <v>54</v>
      </c>
      <c r="D385" s="87" t="s">
        <v>3529</v>
      </c>
      <c r="E385" s="208">
        <v>61102</v>
      </c>
      <c r="F385" s="208">
        <v>71481</v>
      </c>
      <c r="G385" s="244">
        <v>40</v>
      </c>
      <c r="H385" s="48" t="s">
        <v>1648</v>
      </c>
      <c r="I385" s="48" t="s">
        <v>1648</v>
      </c>
      <c r="J385" s="48" t="s">
        <v>1648</v>
      </c>
      <c r="K385" s="48" t="s">
        <v>1648</v>
      </c>
      <c r="L385" s="48" t="s">
        <v>1649</v>
      </c>
      <c r="M385" s="48" t="s">
        <v>1648</v>
      </c>
      <c r="N385" s="48" t="s">
        <v>1648</v>
      </c>
      <c r="O385" s="48" t="s">
        <v>1648</v>
      </c>
      <c r="P385" s="48" t="s">
        <v>1648</v>
      </c>
      <c r="Q385" s="48" t="s">
        <v>1648</v>
      </c>
      <c r="R385" s="48" t="s">
        <v>1648</v>
      </c>
      <c r="S385" s="48" t="s">
        <v>1649</v>
      </c>
      <c r="T385" s="48"/>
    </row>
    <row r="386" spans="1:20" ht="13.5" thickBot="1" x14ac:dyDescent="0.25">
      <c r="A386" s="48" t="s">
        <v>756</v>
      </c>
      <c r="B386" s="224" t="s">
        <v>755</v>
      </c>
      <c r="C386" s="48" t="s">
        <v>54</v>
      </c>
      <c r="D386" s="87" t="s">
        <v>3529</v>
      </c>
      <c r="E386" s="208">
        <v>86891</v>
      </c>
      <c r="F386" s="208">
        <v>130036</v>
      </c>
      <c r="G386" s="244">
        <v>40</v>
      </c>
      <c r="H386" s="48" t="s">
        <v>1648</v>
      </c>
      <c r="I386" s="48" t="s">
        <v>1648</v>
      </c>
      <c r="J386" s="48" t="s">
        <v>1648</v>
      </c>
      <c r="K386" s="48" t="s">
        <v>1648</v>
      </c>
      <c r="L386" s="48" t="s">
        <v>1649</v>
      </c>
      <c r="M386" s="48" t="s">
        <v>1648</v>
      </c>
      <c r="N386" s="48" t="s">
        <v>1648</v>
      </c>
      <c r="O386" s="48" t="s">
        <v>1648</v>
      </c>
      <c r="P386" s="48" t="s">
        <v>1648</v>
      </c>
      <c r="Q386" s="48" t="s">
        <v>1648</v>
      </c>
      <c r="R386" s="48" t="s">
        <v>1648</v>
      </c>
      <c r="S386" s="48" t="s">
        <v>1649</v>
      </c>
      <c r="T386" s="48" t="s">
        <v>3610</v>
      </c>
    </row>
    <row r="387" spans="1:20" ht="13.5" thickBot="1" x14ac:dyDescent="0.25">
      <c r="A387" s="48" t="s">
        <v>778</v>
      </c>
      <c r="B387" s="224" t="s">
        <v>777</v>
      </c>
      <c r="C387" s="48" t="s">
        <v>54</v>
      </c>
      <c r="D387" s="87" t="s">
        <v>3529</v>
      </c>
      <c r="E387" s="208">
        <v>102757</v>
      </c>
      <c r="F387" s="208">
        <v>104041</v>
      </c>
      <c r="G387" s="244">
        <v>38</v>
      </c>
      <c r="H387" s="48" t="s">
        <v>1648</v>
      </c>
      <c r="I387" s="48" t="s">
        <v>1648</v>
      </c>
      <c r="J387" s="48" t="s">
        <v>1648</v>
      </c>
      <c r="K387" s="48" t="s">
        <v>1648</v>
      </c>
      <c r="L387" s="48" t="s">
        <v>1648</v>
      </c>
      <c r="M387" s="48" t="s">
        <v>1648</v>
      </c>
      <c r="N387" s="48" t="s">
        <v>1648</v>
      </c>
      <c r="O387" s="48" t="s">
        <v>1648</v>
      </c>
      <c r="P387" s="48" t="s">
        <v>1648</v>
      </c>
      <c r="Q387" s="48" t="s">
        <v>1648</v>
      </c>
      <c r="R387" s="48" t="s">
        <v>1648</v>
      </c>
      <c r="S387" s="48" t="s">
        <v>1648</v>
      </c>
      <c r="T387" s="48"/>
    </row>
    <row r="388" spans="1:20" ht="13.5" thickBot="1" x14ac:dyDescent="0.25">
      <c r="A388" s="48" t="s">
        <v>780</v>
      </c>
      <c r="B388" s="224" t="s">
        <v>779</v>
      </c>
      <c r="C388" s="48" t="s">
        <v>54</v>
      </c>
      <c r="D388" s="87" t="s">
        <v>3529</v>
      </c>
      <c r="E388" s="208">
        <v>93051</v>
      </c>
      <c r="F388" s="208">
        <v>112524</v>
      </c>
      <c r="G388" s="244">
        <v>40</v>
      </c>
      <c r="H388" s="48" t="s">
        <v>1648</v>
      </c>
      <c r="I388" s="48" t="s">
        <v>1648</v>
      </c>
      <c r="J388" s="48" t="s">
        <v>1648</v>
      </c>
      <c r="K388" s="48" t="s">
        <v>1648</v>
      </c>
      <c r="L388" s="48" t="s">
        <v>1648</v>
      </c>
      <c r="M388" s="48" t="s">
        <v>1648</v>
      </c>
      <c r="N388" s="48" t="s">
        <v>1648</v>
      </c>
      <c r="O388" s="48" t="s">
        <v>1648</v>
      </c>
      <c r="P388" s="48" t="s">
        <v>1648</v>
      </c>
      <c r="Q388" s="48" t="s">
        <v>1648</v>
      </c>
      <c r="R388" s="48" t="s">
        <v>1648</v>
      </c>
      <c r="S388" s="48" t="s">
        <v>1648</v>
      </c>
      <c r="T388" s="48"/>
    </row>
    <row r="389" spans="1:20" ht="13.5" thickBot="1" x14ac:dyDescent="0.25">
      <c r="A389" s="48" t="s">
        <v>788</v>
      </c>
      <c r="B389" s="224" t="s">
        <v>787</v>
      </c>
      <c r="C389" s="48" t="s">
        <v>54</v>
      </c>
      <c r="D389" s="87" t="s">
        <v>3529</v>
      </c>
      <c r="E389" s="208">
        <v>88276</v>
      </c>
      <c r="F389" s="208">
        <v>125860</v>
      </c>
      <c r="G389" s="244">
        <v>35</v>
      </c>
      <c r="H389" s="48" t="s">
        <v>1648</v>
      </c>
      <c r="I389" s="48" t="s">
        <v>1648</v>
      </c>
      <c r="J389" s="48" t="s">
        <v>1648</v>
      </c>
      <c r="K389" s="48" t="s">
        <v>1648</v>
      </c>
      <c r="L389" s="48" t="s">
        <v>1648</v>
      </c>
      <c r="M389" s="48" t="s">
        <v>1648</v>
      </c>
      <c r="N389" s="48" t="s">
        <v>1648</v>
      </c>
      <c r="O389" s="48" t="s">
        <v>1648</v>
      </c>
      <c r="P389" s="48" t="s">
        <v>1648</v>
      </c>
      <c r="Q389" s="48" t="s">
        <v>1648</v>
      </c>
      <c r="R389" s="48" t="s">
        <v>1648</v>
      </c>
      <c r="S389" s="48" t="s">
        <v>1648</v>
      </c>
      <c r="T389" s="48"/>
    </row>
    <row r="390" spans="1:20" ht="13.5" thickBot="1" x14ac:dyDescent="0.25">
      <c r="A390" s="48" t="s">
        <v>808</v>
      </c>
      <c r="B390" s="224" t="s">
        <v>807</v>
      </c>
      <c r="C390" s="48" t="s">
        <v>54</v>
      </c>
      <c r="D390" s="87" t="s">
        <v>3529</v>
      </c>
      <c r="E390" s="208">
        <v>100000</v>
      </c>
      <c r="F390" s="208">
        <v>100000</v>
      </c>
      <c r="G390" s="244">
        <v>40</v>
      </c>
      <c r="H390" s="48" t="s">
        <v>1648</v>
      </c>
      <c r="I390" s="48" t="s">
        <v>1648</v>
      </c>
      <c r="J390" s="48" t="s">
        <v>1648</v>
      </c>
      <c r="K390" s="48" t="s">
        <v>1648</v>
      </c>
      <c r="L390" s="48" t="s">
        <v>1648</v>
      </c>
      <c r="M390" s="48" t="s">
        <v>1648</v>
      </c>
      <c r="N390" s="48" t="s">
        <v>1648</v>
      </c>
      <c r="O390" s="48" t="s">
        <v>1648</v>
      </c>
      <c r="P390" s="48" t="s">
        <v>1648</v>
      </c>
      <c r="Q390" s="48" t="s">
        <v>1649</v>
      </c>
      <c r="R390" s="48" t="s">
        <v>1648</v>
      </c>
      <c r="S390" s="48" t="s">
        <v>1649</v>
      </c>
      <c r="T390" s="48"/>
    </row>
    <row r="391" spans="1:20" ht="13.5" thickBot="1" x14ac:dyDescent="0.25">
      <c r="A391" s="48" t="s">
        <v>810</v>
      </c>
      <c r="B391" s="224" t="s">
        <v>809</v>
      </c>
      <c r="C391" s="48" t="s">
        <v>54</v>
      </c>
      <c r="D391" s="87" t="s">
        <v>3529</v>
      </c>
      <c r="E391" s="208">
        <v>70000</v>
      </c>
      <c r="F391" s="208">
        <v>92000</v>
      </c>
      <c r="G391" s="244">
        <v>40</v>
      </c>
      <c r="H391" s="48" t="s">
        <v>1648</v>
      </c>
      <c r="I391" s="48" t="s">
        <v>1648</v>
      </c>
      <c r="J391" s="48" t="s">
        <v>1648</v>
      </c>
      <c r="K391" s="48" t="s">
        <v>1648</v>
      </c>
      <c r="L391" s="48" t="s">
        <v>1648</v>
      </c>
      <c r="M391" s="48" t="s">
        <v>1649</v>
      </c>
      <c r="N391" s="48" t="s">
        <v>1648</v>
      </c>
      <c r="O391" s="48" t="s">
        <v>1648</v>
      </c>
      <c r="P391" s="48" t="s">
        <v>1648</v>
      </c>
      <c r="Q391" s="48" t="s">
        <v>1648</v>
      </c>
      <c r="R391" s="48" t="s">
        <v>1649</v>
      </c>
      <c r="S391" s="48" t="s">
        <v>1649</v>
      </c>
      <c r="T391" s="48"/>
    </row>
    <row r="392" spans="1:20" x14ac:dyDescent="0.2">
      <c r="A392" s="48" t="s">
        <v>816</v>
      </c>
      <c r="B392" s="231" t="s">
        <v>815</v>
      </c>
      <c r="C392" s="48" t="s">
        <v>54</v>
      </c>
      <c r="D392" s="87" t="s">
        <v>3529</v>
      </c>
      <c r="E392" s="208">
        <v>105048</v>
      </c>
      <c r="F392" s="208">
        <v>105048</v>
      </c>
      <c r="G392" s="244">
        <v>40</v>
      </c>
      <c r="H392" s="48" t="s">
        <v>1648</v>
      </c>
      <c r="I392" s="48" t="s">
        <v>1648</v>
      </c>
      <c r="J392" s="48" t="s">
        <v>1648</v>
      </c>
      <c r="K392" s="48" t="s">
        <v>1648</v>
      </c>
      <c r="L392" s="48" t="s">
        <v>1649</v>
      </c>
      <c r="M392" s="48" t="s">
        <v>1648</v>
      </c>
      <c r="N392" s="48" t="s">
        <v>1648</v>
      </c>
      <c r="O392" s="48" t="s">
        <v>1648</v>
      </c>
      <c r="P392" s="48" t="s">
        <v>1648</v>
      </c>
      <c r="Q392" s="48" t="s">
        <v>1648</v>
      </c>
      <c r="R392" s="48" t="s">
        <v>1648</v>
      </c>
      <c r="S392" s="48" t="s">
        <v>1649</v>
      </c>
      <c r="T392" s="48" t="s">
        <v>3612</v>
      </c>
    </row>
    <row r="393" spans="1:20" x14ac:dyDescent="0.2">
      <c r="A393" s="60"/>
      <c r="G393" s="216"/>
      <c r="H393" s="60"/>
      <c r="I393" s="60"/>
      <c r="J393" s="60"/>
      <c r="K393" s="60"/>
      <c r="L393" s="60"/>
      <c r="M393" s="60"/>
      <c r="N393" s="60"/>
      <c r="O393" s="60"/>
      <c r="P393" s="60"/>
      <c r="Q393" s="60"/>
      <c r="R393" s="60"/>
      <c r="S393" s="60"/>
      <c r="T393" s="60"/>
    </row>
    <row r="394" spans="1:20" ht="13.5" thickBot="1" x14ac:dyDescent="0.25"/>
    <row r="395" spans="1:20" ht="19.5" thickTop="1" thickBot="1" x14ac:dyDescent="0.3">
      <c r="B395" s="59" t="s">
        <v>1599</v>
      </c>
      <c r="C395" s="219">
        <f>SUBTOTAL(103,Table13[Library Class])</f>
        <v>389</v>
      </c>
      <c r="D395" s="284" t="s">
        <v>1621</v>
      </c>
      <c r="E395" s="285">
        <f>SUBTOTAL(101,Table13[Director Minimum Salary])</f>
        <v>48391.987898936168</v>
      </c>
      <c r="F395" s="285">
        <f>SUBTOTAL(101,Table13[Director Maximum Salary])</f>
        <v>59146.441160949864</v>
      </c>
    </row>
    <row r="396" spans="1:20" ht="13.5" thickBot="1" x14ac:dyDescent="0.25"/>
    <row r="397" spans="1:20" ht="32.25" thickBot="1" x14ac:dyDescent="0.3">
      <c r="B397" s="270" t="s">
        <v>3613</v>
      </c>
      <c r="C397" s="271" t="s">
        <v>3516</v>
      </c>
      <c r="D397" s="271" t="s">
        <v>3517</v>
      </c>
      <c r="E397" s="271" t="s">
        <v>3518</v>
      </c>
      <c r="F397" s="271" t="s">
        <v>3519</v>
      </c>
      <c r="G397" s="271" t="s">
        <v>3520</v>
      </c>
      <c r="H397" s="271" t="s">
        <v>3521</v>
      </c>
      <c r="I397" s="271" t="s">
        <v>3522</v>
      </c>
      <c r="J397" s="271" t="s">
        <v>3523</v>
      </c>
      <c r="K397" s="271" t="s">
        <v>3524</v>
      </c>
      <c r="L397" s="271" t="s">
        <v>3525</v>
      </c>
      <c r="M397" s="271" t="s">
        <v>3526</v>
      </c>
      <c r="N397" s="271" t="s">
        <v>3527</v>
      </c>
    </row>
    <row r="398" spans="1:20" ht="15.75" x14ac:dyDescent="0.25">
      <c r="B398" s="272" t="s">
        <v>1705</v>
      </c>
      <c r="C398" s="273">
        <v>0.19696969696969696</v>
      </c>
      <c r="D398" s="273">
        <v>0.13636363636363635</v>
      </c>
      <c r="E398" s="273">
        <v>9.0909090909090912E-2</v>
      </c>
      <c r="F398" s="273">
        <v>0.10606060606060606</v>
      </c>
      <c r="G398" s="273">
        <v>0.18181818181818182</v>
      </c>
      <c r="H398" s="273">
        <v>0.43939393939393939</v>
      </c>
      <c r="I398" s="273">
        <v>0.65151515151515149</v>
      </c>
      <c r="J398" s="273">
        <v>0.48484848484848486</v>
      </c>
      <c r="K398" s="273">
        <v>0.71212121212121215</v>
      </c>
      <c r="L398" s="273">
        <v>9.0909090909090912E-2</v>
      </c>
      <c r="M398" s="273">
        <v>4.5454545454545456E-2</v>
      </c>
      <c r="N398" s="274">
        <v>9.0909090909090912E-2</v>
      </c>
    </row>
    <row r="399" spans="1:20" ht="15.75" x14ac:dyDescent="0.25">
      <c r="B399" s="275" t="s">
        <v>1711</v>
      </c>
      <c r="C399" s="276">
        <v>0.35897435897435898</v>
      </c>
      <c r="D399" s="276">
        <v>0.20512820512820512</v>
      </c>
      <c r="E399" s="276">
        <v>0.19230769230769232</v>
      </c>
      <c r="F399" s="276">
        <v>0.16666666666666666</v>
      </c>
      <c r="G399" s="276">
        <v>0.24358974358974358</v>
      </c>
      <c r="H399" s="276">
        <v>0.78205128205128205</v>
      </c>
      <c r="I399" s="276">
        <v>0.9358974358974359</v>
      </c>
      <c r="J399" s="276">
        <v>0.67948717948717952</v>
      </c>
      <c r="K399" s="276">
        <v>0.92307692307692313</v>
      </c>
      <c r="L399" s="276">
        <v>0.15384615384615385</v>
      </c>
      <c r="M399" s="276">
        <v>0.10256410256410256</v>
      </c>
      <c r="N399" s="277">
        <v>8.9743589743589744E-2</v>
      </c>
    </row>
    <row r="400" spans="1:20" ht="15.75" x14ac:dyDescent="0.25">
      <c r="B400" s="278" t="s">
        <v>1707</v>
      </c>
      <c r="C400" s="279">
        <v>0.64102564102564108</v>
      </c>
      <c r="D400" s="279">
        <v>0.5</v>
      </c>
      <c r="E400" s="279">
        <v>0.4358974358974359</v>
      </c>
      <c r="F400" s="279">
        <v>0.4358974358974359</v>
      </c>
      <c r="G400" s="279">
        <v>0.4358974358974359</v>
      </c>
      <c r="H400" s="279">
        <v>0.83333333333333337</v>
      </c>
      <c r="I400" s="279">
        <v>0.91025641025641024</v>
      </c>
      <c r="J400" s="279">
        <v>0.69230769230769229</v>
      </c>
      <c r="K400" s="279">
        <v>0.91025641025641024</v>
      </c>
      <c r="L400" s="279">
        <v>0.37179487179487181</v>
      </c>
      <c r="M400" s="279">
        <v>0.34615384615384615</v>
      </c>
      <c r="N400" s="280">
        <v>0.15384615384615385</v>
      </c>
    </row>
    <row r="401" spans="2:14" ht="15.75" x14ac:dyDescent="0.25">
      <c r="B401" s="275" t="s">
        <v>1708</v>
      </c>
      <c r="C401" s="276">
        <v>0.87341772151898733</v>
      </c>
      <c r="D401" s="276">
        <v>0.73417721518987344</v>
      </c>
      <c r="E401" s="276">
        <v>0.68354430379746833</v>
      </c>
      <c r="F401" s="276">
        <v>0.74683544303797467</v>
      </c>
      <c r="G401" s="276">
        <v>0.55696202531645567</v>
      </c>
      <c r="H401" s="276">
        <v>0.92405063291139244</v>
      </c>
      <c r="I401" s="276">
        <v>0.97468354430379744</v>
      </c>
      <c r="J401" s="276">
        <v>0.72151898734177211</v>
      </c>
      <c r="K401" s="276">
        <v>0.98734177215189878</v>
      </c>
      <c r="L401" s="276">
        <v>0.569620253164557</v>
      </c>
      <c r="M401" s="276">
        <v>0.46835443037974683</v>
      </c>
      <c r="N401" s="277">
        <v>0.24050632911392406</v>
      </c>
    </row>
    <row r="402" spans="2:14" ht="15.75" x14ac:dyDescent="0.25">
      <c r="B402" s="278" t="s">
        <v>1709</v>
      </c>
      <c r="C402" s="279">
        <v>1</v>
      </c>
      <c r="D402" s="279">
        <v>0.95348837209302328</v>
      </c>
      <c r="E402" s="279">
        <v>0.90697674418604646</v>
      </c>
      <c r="F402" s="279">
        <v>0.90697674418604646</v>
      </c>
      <c r="G402" s="279">
        <v>0.76744186046511631</v>
      </c>
      <c r="H402" s="279">
        <v>1</v>
      </c>
      <c r="I402" s="279">
        <v>1</v>
      </c>
      <c r="J402" s="279">
        <v>0.83720930232558144</v>
      </c>
      <c r="K402" s="279">
        <v>1</v>
      </c>
      <c r="L402" s="279">
        <v>0.7441860465116279</v>
      </c>
      <c r="M402" s="279">
        <v>0.7441860465116279</v>
      </c>
      <c r="N402" s="280">
        <v>0.46511627906976744</v>
      </c>
    </row>
    <row r="403" spans="2:14" ht="16.5" thickBot="1" x14ac:dyDescent="0.3">
      <c r="B403" s="281" t="s">
        <v>1710</v>
      </c>
      <c r="C403" s="282">
        <v>1</v>
      </c>
      <c r="D403" s="282">
        <v>0.97777777777777775</v>
      </c>
      <c r="E403" s="282">
        <v>0.91111111111111109</v>
      </c>
      <c r="F403" s="282">
        <v>0.97777777777777775</v>
      </c>
      <c r="G403" s="282">
        <v>0.64444444444444449</v>
      </c>
      <c r="H403" s="282">
        <v>0.93333333333333335</v>
      </c>
      <c r="I403" s="282">
        <v>0.97777777777777775</v>
      </c>
      <c r="J403" s="282">
        <v>0.77777777777777779</v>
      </c>
      <c r="K403" s="282">
        <v>1</v>
      </c>
      <c r="L403" s="282">
        <v>0.91111111111111109</v>
      </c>
      <c r="M403" s="282">
        <v>0.77777777777777779</v>
      </c>
      <c r="N403" s="283">
        <v>0.31111111111111112</v>
      </c>
    </row>
    <row r="405" spans="2:14" ht="15" x14ac:dyDescent="0.25">
      <c r="B405" s="369" t="s">
        <v>3736</v>
      </c>
    </row>
  </sheetData>
  <sortState xmlns:xlrd2="http://schemas.microsoft.com/office/spreadsheetml/2017/richdata2" ref="A4:T392">
    <sortCondition ref="C4:C392"/>
    <sortCondition ref="B4:B392"/>
  </sortState>
  <hyperlinks>
    <hyperlink ref="G1" location="'Table of Contents'!A1" display="Return to Table of Contents" xr:uid="{BF11407C-9185-4D53-9A79-2B9FB481809C}"/>
  </hyperlinks>
  <pageMargins left="0.7" right="0.7" top="0.75" bottom="0.75" header="0.3" footer="0.3"/>
  <pageSetup orientation="portrait" horizontalDpi="1200" verticalDpi="1200"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FC000-2E95-43C0-8D5E-AAEFE5FF09C0}">
  <sheetPr>
    <tabColor rgb="FF8CC6D4"/>
  </sheetPr>
  <dimension ref="A1:AU415"/>
  <sheetViews>
    <sheetView workbookViewId="0">
      <pane xSplit="3" ySplit="3" topLeftCell="D4" activePane="bottomRight" state="frozen"/>
      <selection pane="topRight" activeCell="D1" sqref="D1"/>
      <selection pane="bottomLeft" activeCell="A2" sqref="A2"/>
      <selection pane="bottomRight" activeCell="C1" sqref="C1"/>
    </sheetView>
  </sheetViews>
  <sheetFormatPr defaultRowHeight="12.75" x14ac:dyDescent="0.2"/>
  <cols>
    <col min="1" max="1" width="15.28515625" customWidth="1"/>
    <col min="2" max="2" width="71.5703125" bestFit="1" customWidth="1"/>
    <col min="3" max="3" width="29.85546875" customWidth="1"/>
    <col min="4" max="33" width="20.7109375" customWidth="1"/>
    <col min="34" max="34" width="95.42578125" bestFit="1" customWidth="1"/>
    <col min="35" max="46" width="20.7109375" customWidth="1"/>
    <col min="47" max="47" width="88.28515625" bestFit="1" customWidth="1"/>
  </cols>
  <sheetData>
    <row r="1" spans="1:47" ht="18.75" x14ac:dyDescent="0.3">
      <c r="A1" s="362" t="s">
        <v>3729</v>
      </c>
      <c r="B1" s="365"/>
      <c r="D1" s="364" t="s">
        <v>3734</v>
      </c>
      <c r="F1" s="360" t="s">
        <v>3727</v>
      </c>
    </row>
    <row r="2" spans="1:47" ht="13.5" thickBot="1" x14ac:dyDescent="0.25"/>
    <row r="3" spans="1:47" s="34" customFormat="1" ht="47.25" customHeight="1" thickBot="1" x14ac:dyDescent="0.25">
      <c r="A3" s="260" t="s">
        <v>1</v>
      </c>
      <c r="B3" s="260" t="s">
        <v>0</v>
      </c>
      <c r="C3" s="286" t="s">
        <v>4</v>
      </c>
      <c r="D3" s="286" t="s">
        <v>3614</v>
      </c>
      <c r="E3" s="286" t="s">
        <v>3615</v>
      </c>
      <c r="F3" s="286" t="s">
        <v>3616</v>
      </c>
      <c r="G3" s="286" t="s">
        <v>3617</v>
      </c>
      <c r="H3" s="286" t="s">
        <v>3618</v>
      </c>
      <c r="I3" s="286" t="s">
        <v>3619</v>
      </c>
      <c r="J3" s="286" t="s">
        <v>3620</v>
      </c>
      <c r="K3" s="286" t="s">
        <v>3621</v>
      </c>
      <c r="L3" s="286" t="s">
        <v>3622</v>
      </c>
      <c r="M3" s="286" t="s">
        <v>3623</v>
      </c>
      <c r="N3" s="286" t="s">
        <v>3624</v>
      </c>
      <c r="O3" s="286" t="s">
        <v>3625</v>
      </c>
      <c r="P3" s="286" t="s">
        <v>3626</v>
      </c>
      <c r="Q3" s="286" t="s">
        <v>3627</v>
      </c>
      <c r="R3" s="286" t="s">
        <v>3628</v>
      </c>
      <c r="S3" s="286" t="s">
        <v>3629</v>
      </c>
      <c r="T3" s="286" t="s">
        <v>3630</v>
      </c>
      <c r="U3" s="286" t="s">
        <v>3631</v>
      </c>
      <c r="V3" s="287" t="s">
        <v>3632</v>
      </c>
      <c r="W3" s="287" t="s">
        <v>3633</v>
      </c>
      <c r="X3" s="287" t="s">
        <v>3634</v>
      </c>
      <c r="Y3" s="287" t="s">
        <v>3635</v>
      </c>
      <c r="Z3" s="287" t="s">
        <v>3636</v>
      </c>
      <c r="AA3" s="287" t="s">
        <v>3637</v>
      </c>
      <c r="AB3" s="287" t="s">
        <v>3638</v>
      </c>
      <c r="AC3" s="287" t="s">
        <v>3639</v>
      </c>
      <c r="AD3" s="287" t="s">
        <v>3640</v>
      </c>
      <c r="AE3" s="287" t="s">
        <v>3641</v>
      </c>
      <c r="AF3" s="287" t="s">
        <v>3642</v>
      </c>
      <c r="AG3" s="287" t="s">
        <v>3643</v>
      </c>
      <c r="AH3" s="287" t="s">
        <v>3644</v>
      </c>
      <c r="AI3" s="288" t="s">
        <v>3645</v>
      </c>
      <c r="AJ3" s="288" t="s">
        <v>3646</v>
      </c>
      <c r="AK3" s="289" t="s">
        <v>3647</v>
      </c>
      <c r="AL3" s="290" t="s">
        <v>3648</v>
      </c>
      <c r="AM3" s="290" t="s">
        <v>3649</v>
      </c>
      <c r="AN3" s="290" t="s">
        <v>3650</v>
      </c>
      <c r="AO3" s="290" t="s">
        <v>3651</v>
      </c>
      <c r="AP3" s="290" t="s">
        <v>3652</v>
      </c>
      <c r="AQ3" s="290" t="s">
        <v>3653</v>
      </c>
      <c r="AR3" s="290" t="s">
        <v>3654</v>
      </c>
      <c r="AS3" s="290" t="s">
        <v>3655</v>
      </c>
      <c r="AT3" s="290" t="s">
        <v>3656</v>
      </c>
      <c r="AU3" s="290" t="s">
        <v>3657</v>
      </c>
    </row>
    <row r="4" spans="1:47" ht="13.5" thickBot="1" x14ac:dyDescent="0.25">
      <c r="A4" s="48" t="s">
        <v>33</v>
      </c>
      <c r="B4" s="291" t="s">
        <v>32</v>
      </c>
      <c r="C4" s="292" t="s">
        <v>34</v>
      </c>
      <c r="D4" s="293">
        <v>8</v>
      </c>
      <c r="E4" s="294">
        <v>5753</v>
      </c>
      <c r="F4" s="294">
        <v>5753</v>
      </c>
      <c r="G4" s="295" t="s">
        <v>1613</v>
      </c>
      <c r="H4" s="295" t="s">
        <v>1613</v>
      </c>
      <c r="I4" s="295" t="s">
        <v>1613</v>
      </c>
      <c r="J4" s="295" t="s">
        <v>1613</v>
      </c>
      <c r="K4" s="295" t="s">
        <v>1613</v>
      </c>
      <c r="L4" s="295" t="s">
        <v>1613</v>
      </c>
      <c r="M4" s="295" t="s">
        <v>1613</v>
      </c>
      <c r="N4" s="295" t="s">
        <v>1613</v>
      </c>
      <c r="O4" s="295" t="s">
        <v>1613</v>
      </c>
      <c r="P4" s="295" t="s">
        <v>1613</v>
      </c>
      <c r="Q4" s="295" t="s">
        <v>1613</v>
      </c>
      <c r="R4" s="295" t="s">
        <v>1613</v>
      </c>
      <c r="S4" s="293">
        <v>44</v>
      </c>
      <c r="T4" s="294">
        <v>12864</v>
      </c>
      <c r="U4" s="294">
        <v>15309</v>
      </c>
      <c r="V4" s="320" t="s">
        <v>1649</v>
      </c>
      <c r="W4" s="320" t="s">
        <v>1649</v>
      </c>
      <c r="X4" s="320" t="s">
        <v>1649</v>
      </c>
      <c r="Y4" s="320" t="s">
        <v>1649</v>
      </c>
      <c r="Z4" s="320" t="s">
        <v>1649</v>
      </c>
      <c r="AA4" s="320" t="s">
        <v>1649</v>
      </c>
      <c r="AB4" s="320" t="s">
        <v>1649</v>
      </c>
      <c r="AC4" s="320" t="s">
        <v>1649</v>
      </c>
      <c r="AD4" s="320" t="s">
        <v>1649</v>
      </c>
      <c r="AE4" s="320" t="s">
        <v>1649</v>
      </c>
      <c r="AF4" s="320" t="s">
        <v>1649</v>
      </c>
      <c r="AG4" s="320" t="s">
        <v>1649</v>
      </c>
      <c r="AH4" s="296" t="s">
        <v>1613</v>
      </c>
      <c r="AI4" s="320" t="s">
        <v>1649</v>
      </c>
      <c r="AJ4" s="320" t="s">
        <v>1649</v>
      </c>
      <c r="AK4" s="320" t="s">
        <v>1649</v>
      </c>
      <c r="AL4" s="320" t="s">
        <v>1649</v>
      </c>
      <c r="AM4" s="320" t="s">
        <v>1649</v>
      </c>
      <c r="AN4" s="320" t="s">
        <v>1649</v>
      </c>
      <c r="AO4" s="320" t="s">
        <v>1649</v>
      </c>
      <c r="AP4" s="320" t="s">
        <v>1649</v>
      </c>
      <c r="AQ4" s="320" t="s">
        <v>1649</v>
      </c>
      <c r="AR4" s="320" t="s">
        <v>1649</v>
      </c>
      <c r="AS4" s="320" t="s">
        <v>1649</v>
      </c>
      <c r="AT4" s="320" t="s">
        <v>1649</v>
      </c>
      <c r="AU4" s="297" t="s">
        <v>1613</v>
      </c>
    </row>
    <row r="5" spans="1:47" ht="13.5" thickBot="1" x14ac:dyDescent="0.25">
      <c r="A5" s="48" t="s">
        <v>58</v>
      </c>
      <c r="B5" s="291" t="s">
        <v>57</v>
      </c>
      <c r="C5" s="298" t="s">
        <v>34</v>
      </c>
      <c r="D5" s="299" t="s">
        <v>1613</v>
      </c>
      <c r="E5" s="299" t="s">
        <v>1613</v>
      </c>
      <c r="F5" s="299" t="s">
        <v>1613</v>
      </c>
      <c r="G5" s="299" t="s">
        <v>1613</v>
      </c>
      <c r="H5" s="299" t="s">
        <v>1613</v>
      </c>
      <c r="I5" s="299" t="s">
        <v>1613</v>
      </c>
      <c r="J5" s="299" t="s">
        <v>1613</v>
      </c>
      <c r="K5" s="299" t="s">
        <v>1613</v>
      </c>
      <c r="L5" s="299" t="s">
        <v>1613</v>
      </c>
      <c r="M5" s="299" t="s">
        <v>1613</v>
      </c>
      <c r="N5" s="299" t="s">
        <v>1613</v>
      </c>
      <c r="O5" s="299" t="s">
        <v>1613</v>
      </c>
      <c r="P5" s="299" t="s">
        <v>1613</v>
      </c>
      <c r="Q5" s="299" t="s">
        <v>1613</v>
      </c>
      <c r="R5" s="299" t="s">
        <v>1613</v>
      </c>
      <c r="S5" s="299" t="s">
        <v>1613</v>
      </c>
      <c r="T5" s="299" t="s">
        <v>1613</v>
      </c>
      <c r="U5" s="299" t="s">
        <v>1613</v>
      </c>
      <c r="V5" s="321" t="s">
        <v>1649</v>
      </c>
      <c r="W5" s="321" t="s">
        <v>1649</v>
      </c>
      <c r="X5" s="321" t="s">
        <v>1649</v>
      </c>
      <c r="Y5" s="321" t="s">
        <v>1649</v>
      </c>
      <c r="Z5" s="321" t="s">
        <v>1649</v>
      </c>
      <c r="AA5" s="321" t="s">
        <v>1649</v>
      </c>
      <c r="AB5" s="321" t="s">
        <v>1649</v>
      </c>
      <c r="AC5" s="321" t="s">
        <v>1649</v>
      </c>
      <c r="AD5" s="321" t="s">
        <v>1649</v>
      </c>
      <c r="AE5" s="321" t="s">
        <v>1649</v>
      </c>
      <c r="AF5" s="321" t="s">
        <v>1649</v>
      </c>
      <c r="AG5" s="321" t="s">
        <v>1649</v>
      </c>
      <c r="AH5" s="300" t="s">
        <v>1613</v>
      </c>
      <c r="AI5" s="321" t="s">
        <v>1649</v>
      </c>
      <c r="AJ5" s="321" t="s">
        <v>1649</v>
      </c>
      <c r="AK5" s="321" t="s">
        <v>1649</v>
      </c>
      <c r="AL5" s="321" t="s">
        <v>1649</v>
      </c>
      <c r="AM5" s="321" t="s">
        <v>1649</v>
      </c>
      <c r="AN5" s="321" t="s">
        <v>1649</v>
      </c>
      <c r="AO5" s="321" t="s">
        <v>1649</v>
      </c>
      <c r="AP5" s="321" t="s">
        <v>1649</v>
      </c>
      <c r="AQ5" s="321" t="s">
        <v>1649</v>
      </c>
      <c r="AR5" s="321" t="s">
        <v>1649</v>
      </c>
      <c r="AS5" s="321" t="s">
        <v>1649</v>
      </c>
      <c r="AT5" s="321" t="s">
        <v>1649</v>
      </c>
      <c r="AU5" s="301" t="s">
        <v>1613</v>
      </c>
    </row>
    <row r="6" spans="1:47" ht="13.5" thickBot="1" x14ac:dyDescent="0.25">
      <c r="A6" s="48" t="s">
        <v>80</v>
      </c>
      <c r="B6" s="291" t="s">
        <v>79</v>
      </c>
      <c r="C6" s="298" t="s">
        <v>34</v>
      </c>
      <c r="D6" s="299" t="s">
        <v>1613</v>
      </c>
      <c r="E6" s="299" t="s">
        <v>1613</v>
      </c>
      <c r="F6" s="299" t="s">
        <v>1613</v>
      </c>
      <c r="G6" s="299" t="s">
        <v>1613</v>
      </c>
      <c r="H6" s="299" t="s">
        <v>1613</v>
      </c>
      <c r="I6" s="299" t="s">
        <v>1613</v>
      </c>
      <c r="J6" s="302">
        <v>12</v>
      </c>
      <c r="K6" s="303">
        <v>5500</v>
      </c>
      <c r="L6" s="303">
        <v>9500</v>
      </c>
      <c r="M6" s="302">
        <v>8</v>
      </c>
      <c r="N6" s="303">
        <v>4160</v>
      </c>
      <c r="O6" s="303">
        <v>7500</v>
      </c>
      <c r="P6" s="304"/>
      <c r="Q6" s="305"/>
      <c r="R6" s="305"/>
      <c r="S6" s="304"/>
      <c r="T6" s="305"/>
      <c r="U6" s="305"/>
      <c r="V6" s="321" t="s">
        <v>1649</v>
      </c>
      <c r="W6" s="321" t="s">
        <v>1649</v>
      </c>
      <c r="X6" s="321" t="s">
        <v>1649</v>
      </c>
      <c r="Y6" s="321" t="s">
        <v>1649</v>
      </c>
      <c r="Z6" s="321" t="s">
        <v>1649</v>
      </c>
      <c r="AA6" s="321" t="s">
        <v>1649</v>
      </c>
      <c r="AB6" s="321" t="s">
        <v>1649</v>
      </c>
      <c r="AC6" s="321" t="s">
        <v>1649</v>
      </c>
      <c r="AD6" s="321" t="s">
        <v>1649</v>
      </c>
      <c r="AE6" s="321" t="s">
        <v>1649</v>
      </c>
      <c r="AF6" s="321" t="s">
        <v>1649</v>
      </c>
      <c r="AG6" s="321" t="s">
        <v>1649</v>
      </c>
      <c r="AH6" s="300" t="s">
        <v>1613</v>
      </c>
      <c r="AI6" s="321" t="s">
        <v>1649</v>
      </c>
      <c r="AJ6" s="321" t="s">
        <v>1649</v>
      </c>
      <c r="AK6" s="321" t="s">
        <v>1649</v>
      </c>
      <c r="AL6" s="321" t="s">
        <v>1649</v>
      </c>
      <c r="AM6" s="321" t="s">
        <v>1649</v>
      </c>
      <c r="AN6" s="321" t="s">
        <v>1649</v>
      </c>
      <c r="AO6" s="321" t="s">
        <v>1649</v>
      </c>
      <c r="AP6" s="321" t="s">
        <v>1648</v>
      </c>
      <c r="AQ6" s="321" t="s">
        <v>1649</v>
      </c>
      <c r="AR6" s="321" t="s">
        <v>1649</v>
      </c>
      <c r="AS6" s="321" t="s">
        <v>1649</v>
      </c>
      <c r="AT6" s="321" t="s">
        <v>1649</v>
      </c>
      <c r="AU6" s="301" t="s">
        <v>1613</v>
      </c>
    </row>
    <row r="7" spans="1:47" ht="13.5" thickBot="1" x14ac:dyDescent="0.25">
      <c r="A7" s="48" t="s">
        <v>82</v>
      </c>
      <c r="B7" s="291" t="s">
        <v>81</v>
      </c>
      <c r="C7" s="298" t="s">
        <v>34</v>
      </c>
      <c r="D7" s="304"/>
      <c r="E7" s="305"/>
      <c r="F7" s="305"/>
      <c r="G7" s="304"/>
      <c r="H7" s="305"/>
      <c r="I7" s="305"/>
      <c r="J7" s="302">
        <v>25</v>
      </c>
      <c r="K7" s="303">
        <v>10000</v>
      </c>
      <c r="L7" s="303">
        <v>20000</v>
      </c>
      <c r="M7" s="302">
        <v>12</v>
      </c>
      <c r="N7" s="303">
        <v>7000</v>
      </c>
      <c r="O7" s="303">
        <v>10000</v>
      </c>
      <c r="P7" s="304"/>
      <c r="Q7" s="305"/>
      <c r="R7" s="305"/>
      <c r="S7" s="302">
        <v>8</v>
      </c>
      <c r="T7" s="303">
        <v>4000</v>
      </c>
      <c r="U7" s="303">
        <v>7000</v>
      </c>
      <c r="V7" s="321" t="s">
        <v>1649</v>
      </c>
      <c r="W7" s="321" t="s">
        <v>1649</v>
      </c>
      <c r="X7" s="321" t="s">
        <v>1649</v>
      </c>
      <c r="Y7" s="321" t="s">
        <v>1649</v>
      </c>
      <c r="Z7" s="321" t="s">
        <v>1649</v>
      </c>
      <c r="AA7" s="321" t="s">
        <v>1648</v>
      </c>
      <c r="AB7" s="321" t="s">
        <v>1648</v>
      </c>
      <c r="AC7" s="321" t="s">
        <v>1648</v>
      </c>
      <c r="AD7" s="321" t="s">
        <v>1649</v>
      </c>
      <c r="AE7" s="321" t="s">
        <v>1649</v>
      </c>
      <c r="AF7" s="321" t="s">
        <v>1648</v>
      </c>
      <c r="AG7" s="321" t="s">
        <v>1649</v>
      </c>
      <c r="AH7" s="300"/>
      <c r="AI7" s="321" t="s">
        <v>1649</v>
      </c>
      <c r="AJ7" s="321" t="s">
        <v>1649</v>
      </c>
      <c r="AK7" s="321" t="s">
        <v>1649</v>
      </c>
      <c r="AL7" s="321" t="s">
        <v>1649</v>
      </c>
      <c r="AM7" s="321" t="s">
        <v>1648</v>
      </c>
      <c r="AN7" s="321" t="s">
        <v>1649</v>
      </c>
      <c r="AO7" s="321" t="s">
        <v>1648</v>
      </c>
      <c r="AP7" s="321" t="s">
        <v>1648</v>
      </c>
      <c r="AQ7" s="321" t="s">
        <v>1649</v>
      </c>
      <c r="AR7" s="321" t="s">
        <v>1649</v>
      </c>
      <c r="AS7" s="321" t="s">
        <v>1648</v>
      </c>
      <c r="AT7" s="321" t="s">
        <v>1649</v>
      </c>
      <c r="AU7" s="301"/>
    </row>
    <row r="8" spans="1:47" ht="13.5" thickBot="1" x14ac:dyDescent="0.25">
      <c r="A8" s="48" t="s">
        <v>86</v>
      </c>
      <c r="B8" s="291" t="s">
        <v>85</v>
      </c>
      <c r="C8" s="298" t="s">
        <v>34</v>
      </c>
      <c r="D8" s="299" t="s">
        <v>1613</v>
      </c>
      <c r="E8" s="299" t="s">
        <v>1613</v>
      </c>
      <c r="F8" s="299" t="s">
        <v>1613</v>
      </c>
      <c r="G8" s="299" t="s">
        <v>1613</v>
      </c>
      <c r="H8" s="299" t="s">
        <v>1613</v>
      </c>
      <c r="I8" s="299" t="s">
        <v>1613</v>
      </c>
      <c r="J8" s="299" t="s">
        <v>1613</v>
      </c>
      <c r="K8" s="299" t="s">
        <v>1613</v>
      </c>
      <c r="L8" s="299" t="s">
        <v>1613</v>
      </c>
      <c r="M8" s="299" t="s">
        <v>1613</v>
      </c>
      <c r="N8" s="299" t="s">
        <v>1613</v>
      </c>
      <c r="O8" s="299" t="s">
        <v>1613</v>
      </c>
      <c r="P8" s="299" t="s">
        <v>1613</v>
      </c>
      <c r="Q8" s="299" t="s">
        <v>1613</v>
      </c>
      <c r="R8" s="299" t="s">
        <v>1613</v>
      </c>
      <c r="S8" s="299" t="s">
        <v>1613</v>
      </c>
      <c r="T8" s="299" t="s">
        <v>1613</v>
      </c>
      <c r="U8" s="299" t="s">
        <v>1613</v>
      </c>
      <c r="V8" s="321" t="s">
        <v>1649</v>
      </c>
      <c r="W8" s="321" t="s">
        <v>1649</v>
      </c>
      <c r="X8" s="321" t="s">
        <v>1649</v>
      </c>
      <c r="Y8" s="321" t="s">
        <v>1649</v>
      </c>
      <c r="Z8" s="321" t="s">
        <v>1649</v>
      </c>
      <c r="AA8" s="321" t="s">
        <v>1649</v>
      </c>
      <c r="AB8" s="321" t="s">
        <v>1649</v>
      </c>
      <c r="AC8" s="321" t="s">
        <v>1649</v>
      </c>
      <c r="AD8" s="321" t="s">
        <v>1649</v>
      </c>
      <c r="AE8" s="321" t="s">
        <v>1649</v>
      </c>
      <c r="AF8" s="321" t="s">
        <v>1649</v>
      </c>
      <c r="AG8" s="321" t="s">
        <v>1649</v>
      </c>
      <c r="AH8" s="300" t="s">
        <v>1613</v>
      </c>
      <c r="AI8" s="321" t="s">
        <v>1649</v>
      </c>
      <c r="AJ8" s="321" t="s">
        <v>1649</v>
      </c>
      <c r="AK8" s="321" t="s">
        <v>1649</v>
      </c>
      <c r="AL8" s="321" t="s">
        <v>1649</v>
      </c>
      <c r="AM8" s="321" t="s">
        <v>1649</v>
      </c>
      <c r="AN8" s="321" t="s">
        <v>1649</v>
      </c>
      <c r="AO8" s="321" t="s">
        <v>1649</v>
      </c>
      <c r="AP8" s="321" t="s">
        <v>1649</v>
      </c>
      <c r="AQ8" s="321" t="s">
        <v>1649</v>
      </c>
      <c r="AR8" s="321" t="s">
        <v>1649</v>
      </c>
      <c r="AS8" s="321" t="s">
        <v>1649</v>
      </c>
      <c r="AT8" s="321" t="s">
        <v>1649</v>
      </c>
      <c r="AU8" s="301" t="s">
        <v>1613</v>
      </c>
    </row>
    <row r="9" spans="1:47" ht="13.5" thickBot="1" x14ac:dyDescent="0.25">
      <c r="A9" s="48" t="s">
        <v>90</v>
      </c>
      <c r="B9" s="291" t="s">
        <v>89</v>
      </c>
      <c r="C9" s="298" t="s">
        <v>34</v>
      </c>
      <c r="D9" s="299" t="s">
        <v>1613</v>
      </c>
      <c r="E9" s="299" t="s">
        <v>1613</v>
      </c>
      <c r="F9" s="299" t="s">
        <v>1613</v>
      </c>
      <c r="G9" s="299" t="s">
        <v>1613</v>
      </c>
      <c r="H9" s="299" t="s">
        <v>1613</v>
      </c>
      <c r="I9" s="299" t="s">
        <v>1613</v>
      </c>
      <c r="J9" s="299" t="s">
        <v>1613</v>
      </c>
      <c r="K9" s="299" t="s">
        <v>1613</v>
      </c>
      <c r="L9" s="299" t="s">
        <v>1613</v>
      </c>
      <c r="M9" s="302">
        <v>40</v>
      </c>
      <c r="N9" s="303">
        <v>30000</v>
      </c>
      <c r="O9" s="303">
        <v>40000</v>
      </c>
      <c r="P9" s="299" t="s">
        <v>1613</v>
      </c>
      <c r="Q9" s="299" t="s">
        <v>1613</v>
      </c>
      <c r="R9" s="299" t="s">
        <v>1613</v>
      </c>
      <c r="S9" s="302">
        <v>12</v>
      </c>
      <c r="T9" s="303">
        <v>8000</v>
      </c>
      <c r="U9" s="303">
        <v>12000</v>
      </c>
      <c r="V9" s="321" t="s">
        <v>1648</v>
      </c>
      <c r="W9" s="321" t="s">
        <v>1649</v>
      </c>
      <c r="X9" s="321" t="s">
        <v>1648</v>
      </c>
      <c r="Y9" s="321" t="s">
        <v>1649</v>
      </c>
      <c r="Z9" s="321" t="s">
        <v>1649</v>
      </c>
      <c r="AA9" s="321" t="s">
        <v>1648</v>
      </c>
      <c r="AB9" s="321" t="s">
        <v>1648</v>
      </c>
      <c r="AC9" s="321" t="s">
        <v>1648</v>
      </c>
      <c r="AD9" s="321" t="s">
        <v>1648</v>
      </c>
      <c r="AE9" s="321" t="s">
        <v>1648</v>
      </c>
      <c r="AF9" s="321" t="s">
        <v>1648</v>
      </c>
      <c r="AG9" s="321" t="s">
        <v>1649</v>
      </c>
      <c r="AH9" s="300" t="s">
        <v>1613</v>
      </c>
      <c r="AI9" s="321" t="s">
        <v>1649</v>
      </c>
      <c r="AJ9" s="321" t="s">
        <v>1649</v>
      </c>
      <c r="AK9" s="321" t="s">
        <v>1649</v>
      </c>
      <c r="AL9" s="321" t="s">
        <v>1649</v>
      </c>
      <c r="AM9" s="321" t="s">
        <v>1649</v>
      </c>
      <c r="AN9" s="321" t="s">
        <v>1649</v>
      </c>
      <c r="AO9" s="321" t="s">
        <v>1649</v>
      </c>
      <c r="AP9" s="321" t="s">
        <v>1649</v>
      </c>
      <c r="AQ9" s="321" t="s">
        <v>1649</v>
      </c>
      <c r="AR9" s="321" t="s">
        <v>1649</v>
      </c>
      <c r="AS9" s="321" t="s">
        <v>1649</v>
      </c>
      <c r="AT9" s="321" t="s">
        <v>1649</v>
      </c>
      <c r="AU9" s="301" t="s">
        <v>1613</v>
      </c>
    </row>
    <row r="10" spans="1:47" ht="13.5" thickBot="1" x14ac:dyDescent="0.25">
      <c r="A10" s="48" t="s">
        <v>92</v>
      </c>
      <c r="B10" s="291" t="s">
        <v>91</v>
      </c>
      <c r="C10" s="298" t="s">
        <v>34</v>
      </c>
      <c r="D10" s="302">
        <v>15</v>
      </c>
      <c r="E10" s="303">
        <v>9320</v>
      </c>
      <c r="F10" s="303">
        <v>10100</v>
      </c>
      <c r="G10" s="299" t="s">
        <v>1613</v>
      </c>
      <c r="H10" s="299" t="s">
        <v>1613</v>
      </c>
      <c r="I10" s="299" t="s">
        <v>1613</v>
      </c>
      <c r="J10" s="302">
        <v>2</v>
      </c>
      <c r="K10" s="303">
        <v>1400</v>
      </c>
      <c r="L10" s="303">
        <v>1700</v>
      </c>
      <c r="M10" s="302">
        <v>11</v>
      </c>
      <c r="N10" s="303">
        <v>7650</v>
      </c>
      <c r="O10" s="303">
        <v>6300</v>
      </c>
      <c r="P10" s="299" t="s">
        <v>1613</v>
      </c>
      <c r="Q10" s="299" t="s">
        <v>1613</v>
      </c>
      <c r="R10" s="299" t="s">
        <v>1613</v>
      </c>
      <c r="S10" s="302">
        <v>6</v>
      </c>
      <c r="T10" s="303">
        <v>2100</v>
      </c>
      <c r="U10" s="303">
        <v>3500</v>
      </c>
      <c r="V10" s="321" t="s">
        <v>1649</v>
      </c>
      <c r="W10" s="321" t="s">
        <v>1649</v>
      </c>
      <c r="X10" s="321" t="s">
        <v>1649</v>
      </c>
      <c r="Y10" s="321" t="s">
        <v>1649</v>
      </c>
      <c r="Z10" s="321" t="s">
        <v>1649</v>
      </c>
      <c r="AA10" s="321" t="s">
        <v>1649</v>
      </c>
      <c r="AB10" s="321" t="s">
        <v>1649</v>
      </c>
      <c r="AC10" s="321" t="s">
        <v>1649</v>
      </c>
      <c r="AD10" s="321" t="s">
        <v>1649</v>
      </c>
      <c r="AE10" s="321" t="s">
        <v>1649</v>
      </c>
      <c r="AF10" s="321" t="s">
        <v>1649</v>
      </c>
      <c r="AG10" s="321" t="s">
        <v>1649</v>
      </c>
      <c r="AH10" s="300" t="s">
        <v>1613</v>
      </c>
      <c r="AI10" s="321" t="s">
        <v>1649</v>
      </c>
      <c r="AJ10" s="321" t="s">
        <v>1649</v>
      </c>
      <c r="AK10" s="321" t="s">
        <v>1649</v>
      </c>
      <c r="AL10" s="321" t="s">
        <v>1649</v>
      </c>
      <c r="AM10" s="321" t="s">
        <v>1649</v>
      </c>
      <c r="AN10" s="321" t="s">
        <v>1649</v>
      </c>
      <c r="AO10" s="321" t="s">
        <v>1649</v>
      </c>
      <c r="AP10" s="321" t="s">
        <v>1649</v>
      </c>
      <c r="AQ10" s="321" t="s">
        <v>1649</v>
      </c>
      <c r="AR10" s="321" t="s">
        <v>1649</v>
      </c>
      <c r="AS10" s="321" t="s">
        <v>1649</v>
      </c>
      <c r="AT10" s="321" t="s">
        <v>1649</v>
      </c>
      <c r="AU10" s="301" t="s">
        <v>1613</v>
      </c>
    </row>
    <row r="11" spans="1:47" ht="13.5" thickBot="1" x14ac:dyDescent="0.25">
      <c r="A11" s="48" t="s">
        <v>100</v>
      </c>
      <c r="B11" s="291" t="s">
        <v>99</v>
      </c>
      <c r="C11" s="298" t="s">
        <v>34</v>
      </c>
      <c r="D11" s="302">
        <v>13</v>
      </c>
      <c r="E11" s="303">
        <v>13395</v>
      </c>
      <c r="F11" s="303">
        <v>13395</v>
      </c>
      <c r="G11" s="299" t="s">
        <v>1613</v>
      </c>
      <c r="H11" s="299" t="s">
        <v>1613</v>
      </c>
      <c r="I11" s="299" t="s">
        <v>1613</v>
      </c>
      <c r="J11" s="299" t="s">
        <v>1613</v>
      </c>
      <c r="K11" s="299" t="s">
        <v>1613</v>
      </c>
      <c r="L11" s="299" t="s">
        <v>1613</v>
      </c>
      <c r="M11" s="302">
        <v>11</v>
      </c>
      <c r="N11" s="303">
        <v>9636</v>
      </c>
      <c r="O11" s="303">
        <v>9636</v>
      </c>
      <c r="P11" s="299" t="s">
        <v>1613</v>
      </c>
      <c r="Q11" s="299" t="s">
        <v>1613</v>
      </c>
      <c r="R11" s="299" t="s">
        <v>1613</v>
      </c>
      <c r="S11" s="299" t="s">
        <v>1613</v>
      </c>
      <c r="T11" s="299" t="s">
        <v>1613</v>
      </c>
      <c r="U11" s="299" t="s">
        <v>1613</v>
      </c>
      <c r="V11" s="321" t="s">
        <v>1649</v>
      </c>
      <c r="W11" s="321" t="s">
        <v>1649</v>
      </c>
      <c r="X11" s="321" t="s">
        <v>1649</v>
      </c>
      <c r="Y11" s="321" t="s">
        <v>1649</v>
      </c>
      <c r="Z11" s="321" t="s">
        <v>1649</v>
      </c>
      <c r="AA11" s="321" t="s">
        <v>1648</v>
      </c>
      <c r="AB11" s="321" t="s">
        <v>1648</v>
      </c>
      <c r="AC11" s="321" t="s">
        <v>1648</v>
      </c>
      <c r="AD11" s="321" t="s">
        <v>1649</v>
      </c>
      <c r="AE11" s="321" t="s">
        <v>1649</v>
      </c>
      <c r="AF11" s="321" t="s">
        <v>1648</v>
      </c>
      <c r="AG11" s="321" t="s">
        <v>1649</v>
      </c>
      <c r="AH11" s="300" t="s">
        <v>1613</v>
      </c>
      <c r="AI11" s="321" t="s">
        <v>1649</v>
      </c>
      <c r="AJ11" s="321" t="s">
        <v>1649</v>
      </c>
      <c r="AK11" s="321" t="s">
        <v>1649</v>
      </c>
      <c r="AL11" s="321" t="s">
        <v>1649</v>
      </c>
      <c r="AM11" s="321" t="s">
        <v>1649</v>
      </c>
      <c r="AN11" s="321" t="s">
        <v>1649</v>
      </c>
      <c r="AO11" s="321" t="s">
        <v>1648</v>
      </c>
      <c r="AP11" s="321" t="s">
        <v>1648</v>
      </c>
      <c r="AQ11" s="321" t="s">
        <v>1649</v>
      </c>
      <c r="AR11" s="321" t="s">
        <v>1649</v>
      </c>
      <c r="AS11" s="321" t="s">
        <v>1648</v>
      </c>
      <c r="AT11" s="321" t="s">
        <v>1649</v>
      </c>
      <c r="AU11" s="301" t="s">
        <v>1613</v>
      </c>
    </row>
    <row r="12" spans="1:47" ht="13.5" thickBot="1" x14ac:dyDescent="0.25">
      <c r="A12" s="48" t="s">
        <v>132</v>
      </c>
      <c r="B12" s="291" t="s">
        <v>131</v>
      </c>
      <c r="C12" s="298" t="s">
        <v>34</v>
      </c>
      <c r="D12" s="304"/>
      <c r="E12" s="305"/>
      <c r="F12" s="305"/>
      <c r="G12" s="304"/>
      <c r="H12" s="305"/>
      <c r="I12" s="305"/>
      <c r="J12" s="304"/>
      <c r="K12" s="305"/>
      <c r="L12" s="305"/>
      <c r="M12" s="304"/>
      <c r="N12" s="305"/>
      <c r="O12" s="305"/>
      <c r="P12" s="304"/>
      <c r="Q12" s="305"/>
      <c r="R12" s="305"/>
      <c r="S12" s="302">
        <v>17</v>
      </c>
      <c r="T12" s="303">
        <v>9724</v>
      </c>
      <c r="U12" s="303">
        <v>13000</v>
      </c>
      <c r="V12" s="321" t="s">
        <v>1649</v>
      </c>
      <c r="W12" s="321" t="s">
        <v>1649</v>
      </c>
      <c r="X12" s="321" t="s">
        <v>1649</v>
      </c>
      <c r="Y12" s="321" t="s">
        <v>1649</v>
      </c>
      <c r="Z12" s="321" t="s">
        <v>1649</v>
      </c>
      <c r="AA12" s="321" t="s">
        <v>1649</v>
      </c>
      <c r="AB12" s="321" t="s">
        <v>1649</v>
      </c>
      <c r="AC12" s="321" t="s">
        <v>1649</v>
      </c>
      <c r="AD12" s="321" t="s">
        <v>1649</v>
      </c>
      <c r="AE12" s="321" t="s">
        <v>1649</v>
      </c>
      <c r="AF12" s="321" t="s">
        <v>1649</v>
      </c>
      <c r="AG12" s="321" t="s">
        <v>1649</v>
      </c>
      <c r="AH12" s="300"/>
      <c r="AI12" s="321" t="s">
        <v>1649</v>
      </c>
      <c r="AJ12" s="321" t="s">
        <v>1649</v>
      </c>
      <c r="AK12" s="321" t="s">
        <v>1649</v>
      </c>
      <c r="AL12" s="321" t="s">
        <v>1649</v>
      </c>
      <c r="AM12" s="321" t="s">
        <v>1649</v>
      </c>
      <c r="AN12" s="321" t="s">
        <v>1649</v>
      </c>
      <c r="AO12" s="321" t="s">
        <v>1649</v>
      </c>
      <c r="AP12" s="321" t="s">
        <v>1649</v>
      </c>
      <c r="AQ12" s="321" t="s">
        <v>1649</v>
      </c>
      <c r="AR12" s="321" t="s">
        <v>1649</v>
      </c>
      <c r="AS12" s="321" t="s">
        <v>1649</v>
      </c>
      <c r="AT12" s="321" t="s">
        <v>1649</v>
      </c>
      <c r="AU12" s="301"/>
    </row>
    <row r="13" spans="1:47" ht="13.5" thickBot="1" x14ac:dyDescent="0.25">
      <c r="A13" s="48" t="s">
        <v>146</v>
      </c>
      <c r="B13" s="291" t="s">
        <v>145</v>
      </c>
      <c r="C13" s="298" t="s">
        <v>34</v>
      </c>
      <c r="D13" s="299" t="s">
        <v>1613</v>
      </c>
      <c r="E13" s="299" t="s">
        <v>1613</v>
      </c>
      <c r="F13" s="299" t="s">
        <v>1613</v>
      </c>
      <c r="G13" s="299" t="s">
        <v>1613</v>
      </c>
      <c r="H13" s="299" t="s">
        <v>1613</v>
      </c>
      <c r="I13" s="299" t="s">
        <v>1613</v>
      </c>
      <c r="J13" s="299" t="s">
        <v>1613</v>
      </c>
      <c r="K13" s="299" t="s">
        <v>1613</v>
      </c>
      <c r="L13" s="299" t="s">
        <v>1613</v>
      </c>
      <c r="M13" s="299" t="s">
        <v>1613</v>
      </c>
      <c r="N13" s="299" t="s">
        <v>1613</v>
      </c>
      <c r="O13" s="299" t="s">
        <v>1613</v>
      </c>
      <c r="P13" s="299" t="s">
        <v>1613</v>
      </c>
      <c r="Q13" s="299" t="s">
        <v>1613</v>
      </c>
      <c r="R13" s="299" t="s">
        <v>1613</v>
      </c>
      <c r="S13" s="302">
        <v>4</v>
      </c>
      <c r="T13" s="303">
        <v>1326</v>
      </c>
      <c r="U13" s="303">
        <v>1950</v>
      </c>
      <c r="V13" s="321" t="s">
        <v>1649</v>
      </c>
      <c r="W13" s="321" t="s">
        <v>1649</v>
      </c>
      <c r="X13" s="321" t="s">
        <v>1649</v>
      </c>
      <c r="Y13" s="321" t="s">
        <v>1649</v>
      </c>
      <c r="Z13" s="321" t="s">
        <v>1649</v>
      </c>
      <c r="AA13" s="321" t="s">
        <v>1649</v>
      </c>
      <c r="AB13" s="321" t="s">
        <v>1649</v>
      </c>
      <c r="AC13" s="321" t="s">
        <v>1649</v>
      </c>
      <c r="AD13" s="321" t="s">
        <v>1649</v>
      </c>
      <c r="AE13" s="321" t="s">
        <v>1649</v>
      </c>
      <c r="AF13" s="321" t="s">
        <v>1649</v>
      </c>
      <c r="AG13" s="321" t="s">
        <v>1649</v>
      </c>
      <c r="AH13" s="300" t="s">
        <v>1613</v>
      </c>
      <c r="AI13" s="321" t="s">
        <v>1649</v>
      </c>
      <c r="AJ13" s="321" t="s">
        <v>1649</v>
      </c>
      <c r="AK13" s="321" t="s">
        <v>1649</v>
      </c>
      <c r="AL13" s="321" t="s">
        <v>1649</v>
      </c>
      <c r="AM13" s="321" t="s">
        <v>1649</v>
      </c>
      <c r="AN13" s="321" t="s">
        <v>1649</v>
      </c>
      <c r="AO13" s="321" t="s">
        <v>1649</v>
      </c>
      <c r="AP13" s="321" t="s">
        <v>1649</v>
      </c>
      <c r="AQ13" s="321" t="s">
        <v>1649</v>
      </c>
      <c r="AR13" s="321" t="s">
        <v>1649</v>
      </c>
      <c r="AS13" s="321" t="s">
        <v>1649</v>
      </c>
      <c r="AT13" s="321" t="s">
        <v>1649</v>
      </c>
      <c r="AU13" s="301" t="s">
        <v>1613</v>
      </c>
    </row>
    <row r="14" spans="1:47" ht="13.5" thickBot="1" x14ac:dyDescent="0.25">
      <c r="A14" s="48" t="s">
        <v>156</v>
      </c>
      <c r="B14" s="291" t="s">
        <v>155</v>
      </c>
      <c r="C14" s="298" t="s">
        <v>34</v>
      </c>
      <c r="D14" s="302">
        <v>37</v>
      </c>
      <c r="E14" s="306" t="s">
        <v>1660</v>
      </c>
      <c r="F14" s="306" t="s">
        <v>1660</v>
      </c>
      <c r="G14" s="304"/>
      <c r="H14" s="305"/>
      <c r="I14" s="305"/>
      <c r="J14" s="304"/>
      <c r="K14" s="305"/>
      <c r="L14" s="305"/>
      <c r="M14" s="304"/>
      <c r="N14" s="305"/>
      <c r="O14" s="305"/>
      <c r="P14" s="304"/>
      <c r="Q14" s="305"/>
      <c r="R14" s="305"/>
      <c r="S14" s="302">
        <v>37</v>
      </c>
      <c r="T14" s="306" t="s">
        <v>1660</v>
      </c>
      <c r="U14" s="306" t="s">
        <v>1660</v>
      </c>
      <c r="V14" s="321" t="s">
        <v>1649</v>
      </c>
      <c r="W14" s="321" t="s">
        <v>1649</v>
      </c>
      <c r="X14" s="321" t="s">
        <v>1649</v>
      </c>
      <c r="Y14" s="321" t="s">
        <v>1649</v>
      </c>
      <c r="Z14" s="321" t="s">
        <v>1649</v>
      </c>
      <c r="AA14" s="321" t="s">
        <v>1648</v>
      </c>
      <c r="AB14" s="321" t="s">
        <v>1648</v>
      </c>
      <c r="AC14" s="321" t="s">
        <v>1648</v>
      </c>
      <c r="AD14" s="321" t="s">
        <v>1649</v>
      </c>
      <c r="AE14" s="321" t="s">
        <v>1649</v>
      </c>
      <c r="AF14" s="321" t="s">
        <v>1649</v>
      </c>
      <c r="AG14" s="321" t="s">
        <v>1649</v>
      </c>
      <c r="AH14" s="300"/>
      <c r="AI14" s="321" t="s">
        <v>1649</v>
      </c>
      <c r="AJ14" s="321" t="s">
        <v>1649</v>
      </c>
      <c r="AK14" s="321" t="s">
        <v>1649</v>
      </c>
      <c r="AL14" s="321" t="s">
        <v>1649</v>
      </c>
      <c r="AM14" s="321" t="s">
        <v>1649</v>
      </c>
      <c r="AN14" s="321" t="s">
        <v>1649</v>
      </c>
      <c r="AO14" s="321" t="s">
        <v>1649</v>
      </c>
      <c r="AP14" s="321" t="s">
        <v>1649</v>
      </c>
      <c r="AQ14" s="321" t="s">
        <v>1649</v>
      </c>
      <c r="AR14" s="321" t="s">
        <v>1649</v>
      </c>
      <c r="AS14" s="321" t="s">
        <v>1649</v>
      </c>
      <c r="AT14" s="321" t="s">
        <v>1649</v>
      </c>
      <c r="AU14" s="301"/>
    </row>
    <row r="15" spans="1:47" ht="13.5" thickBot="1" x14ac:dyDescent="0.25">
      <c r="A15" s="48" t="s">
        <v>164</v>
      </c>
      <c r="B15" s="291" t="s">
        <v>163</v>
      </c>
      <c r="C15" s="298" t="s">
        <v>34</v>
      </c>
      <c r="D15" s="299" t="s">
        <v>1613</v>
      </c>
      <c r="E15" s="299" t="s">
        <v>1613</v>
      </c>
      <c r="F15" s="299" t="s">
        <v>1613</v>
      </c>
      <c r="G15" s="299" t="s">
        <v>1613</v>
      </c>
      <c r="H15" s="299" t="s">
        <v>1613</v>
      </c>
      <c r="I15" s="299" t="s">
        <v>1613</v>
      </c>
      <c r="J15" s="299" t="s">
        <v>1613</v>
      </c>
      <c r="K15" s="299" t="s">
        <v>1613</v>
      </c>
      <c r="L15" s="299" t="s">
        <v>1613</v>
      </c>
      <c r="M15" s="299" t="s">
        <v>1613</v>
      </c>
      <c r="N15" s="299" t="s">
        <v>1613</v>
      </c>
      <c r="O15" s="299" t="s">
        <v>1613</v>
      </c>
      <c r="P15" s="299" t="s">
        <v>1613</v>
      </c>
      <c r="Q15" s="299" t="s">
        <v>1613</v>
      </c>
      <c r="R15" s="299" t="s">
        <v>1613</v>
      </c>
      <c r="S15" s="299" t="s">
        <v>1613</v>
      </c>
      <c r="T15" s="299" t="s">
        <v>1613</v>
      </c>
      <c r="U15" s="299" t="s">
        <v>1613</v>
      </c>
      <c r="V15" s="321" t="s">
        <v>1649</v>
      </c>
      <c r="W15" s="321" t="s">
        <v>1649</v>
      </c>
      <c r="X15" s="321" t="s">
        <v>1649</v>
      </c>
      <c r="Y15" s="321" t="s">
        <v>1649</v>
      </c>
      <c r="Z15" s="321" t="s">
        <v>1649</v>
      </c>
      <c r="AA15" s="321" t="s">
        <v>1649</v>
      </c>
      <c r="AB15" s="321" t="s">
        <v>1649</v>
      </c>
      <c r="AC15" s="321" t="s">
        <v>1649</v>
      </c>
      <c r="AD15" s="321" t="s">
        <v>1649</v>
      </c>
      <c r="AE15" s="321" t="s">
        <v>1649</v>
      </c>
      <c r="AF15" s="321" t="s">
        <v>1649</v>
      </c>
      <c r="AG15" s="321" t="s">
        <v>1649</v>
      </c>
      <c r="AH15" s="300" t="s">
        <v>1613</v>
      </c>
      <c r="AI15" s="321" t="s">
        <v>1649</v>
      </c>
      <c r="AJ15" s="321" t="s">
        <v>1649</v>
      </c>
      <c r="AK15" s="321" t="s">
        <v>1649</v>
      </c>
      <c r="AL15" s="321" t="s">
        <v>1649</v>
      </c>
      <c r="AM15" s="321" t="s">
        <v>1649</v>
      </c>
      <c r="AN15" s="321" t="s">
        <v>1649</v>
      </c>
      <c r="AO15" s="321" t="s">
        <v>1649</v>
      </c>
      <c r="AP15" s="321" t="s">
        <v>1649</v>
      </c>
      <c r="AQ15" s="321" t="s">
        <v>1649</v>
      </c>
      <c r="AR15" s="321" t="s">
        <v>1649</v>
      </c>
      <c r="AS15" s="321" t="s">
        <v>1649</v>
      </c>
      <c r="AT15" s="321" t="s">
        <v>1649</v>
      </c>
      <c r="AU15" s="301" t="s">
        <v>1613</v>
      </c>
    </row>
    <row r="16" spans="1:47" ht="13.5" thickBot="1" x14ac:dyDescent="0.25">
      <c r="A16" s="48" t="s">
        <v>176</v>
      </c>
      <c r="B16" s="291" t="s">
        <v>175</v>
      </c>
      <c r="C16" s="298" t="s">
        <v>34</v>
      </c>
      <c r="D16" s="304"/>
      <c r="E16" s="305"/>
      <c r="F16" s="305"/>
      <c r="G16" s="304"/>
      <c r="H16" s="305"/>
      <c r="I16" s="305"/>
      <c r="J16" s="304"/>
      <c r="K16" s="305"/>
      <c r="L16" s="305"/>
      <c r="M16" s="304"/>
      <c r="N16" s="305"/>
      <c r="O16" s="305"/>
      <c r="P16" s="304"/>
      <c r="Q16" s="305"/>
      <c r="R16" s="305"/>
      <c r="S16" s="302">
        <v>20</v>
      </c>
      <c r="T16" s="303">
        <v>10625</v>
      </c>
      <c r="U16" s="303">
        <v>13802</v>
      </c>
      <c r="V16" s="321" t="s">
        <v>1649</v>
      </c>
      <c r="W16" s="321" t="s">
        <v>1649</v>
      </c>
      <c r="X16" s="321" t="s">
        <v>1649</v>
      </c>
      <c r="Y16" s="321" t="s">
        <v>1649</v>
      </c>
      <c r="Z16" s="321" t="s">
        <v>1649</v>
      </c>
      <c r="AA16" s="321" t="s">
        <v>1649</v>
      </c>
      <c r="AB16" s="321" t="s">
        <v>1649</v>
      </c>
      <c r="AC16" s="321" t="s">
        <v>1649</v>
      </c>
      <c r="AD16" s="321" t="s">
        <v>1649</v>
      </c>
      <c r="AE16" s="321" t="s">
        <v>1649</v>
      </c>
      <c r="AF16" s="321" t="s">
        <v>1649</v>
      </c>
      <c r="AG16" s="321" t="s">
        <v>1649</v>
      </c>
      <c r="AH16" s="300" t="s">
        <v>1613</v>
      </c>
      <c r="AI16" s="321" t="s">
        <v>1649</v>
      </c>
      <c r="AJ16" s="321" t="s">
        <v>1649</v>
      </c>
      <c r="AK16" s="321" t="s">
        <v>1649</v>
      </c>
      <c r="AL16" s="321" t="s">
        <v>1649</v>
      </c>
      <c r="AM16" s="321" t="s">
        <v>1649</v>
      </c>
      <c r="AN16" s="321" t="s">
        <v>1649</v>
      </c>
      <c r="AO16" s="321" t="s">
        <v>1648</v>
      </c>
      <c r="AP16" s="321" t="s">
        <v>1649</v>
      </c>
      <c r="AQ16" s="321" t="s">
        <v>1649</v>
      </c>
      <c r="AR16" s="321" t="s">
        <v>1649</v>
      </c>
      <c r="AS16" s="321" t="s">
        <v>1648</v>
      </c>
      <c r="AT16" s="321" t="s">
        <v>1649</v>
      </c>
      <c r="AU16" s="301" t="s">
        <v>1613</v>
      </c>
    </row>
    <row r="17" spans="1:47" ht="13.5" thickBot="1" x14ac:dyDescent="0.25">
      <c r="A17" s="48" t="s">
        <v>184</v>
      </c>
      <c r="B17" s="291" t="s">
        <v>183</v>
      </c>
      <c r="C17" s="298" t="s">
        <v>34</v>
      </c>
      <c r="D17" s="302">
        <v>28</v>
      </c>
      <c r="E17" s="303">
        <v>12000</v>
      </c>
      <c r="F17" s="303">
        <v>15000</v>
      </c>
      <c r="G17" s="299" t="s">
        <v>1613</v>
      </c>
      <c r="H17" s="299" t="s">
        <v>1613</v>
      </c>
      <c r="I17" s="299" t="s">
        <v>1613</v>
      </c>
      <c r="J17" s="299" t="s">
        <v>1613</v>
      </c>
      <c r="K17" s="299" t="s">
        <v>1613</v>
      </c>
      <c r="L17" s="299" t="s">
        <v>1613</v>
      </c>
      <c r="M17" s="299" t="s">
        <v>1613</v>
      </c>
      <c r="N17" s="299" t="s">
        <v>1613</v>
      </c>
      <c r="O17" s="299" t="s">
        <v>1613</v>
      </c>
      <c r="P17" s="299" t="s">
        <v>1613</v>
      </c>
      <c r="Q17" s="299" t="s">
        <v>1613</v>
      </c>
      <c r="R17" s="299" t="s">
        <v>1613</v>
      </c>
      <c r="S17" s="302">
        <v>15</v>
      </c>
      <c r="T17" s="303">
        <v>5200</v>
      </c>
      <c r="U17" s="303">
        <v>15000</v>
      </c>
      <c r="V17" s="321" t="s">
        <v>1649</v>
      </c>
      <c r="W17" s="321" t="s">
        <v>1649</v>
      </c>
      <c r="X17" s="321" t="s">
        <v>1649</v>
      </c>
      <c r="Y17" s="321" t="s">
        <v>1649</v>
      </c>
      <c r="Z17" s="321" t="s">
        <v>1649</v>
      </c>
      <c r="AA17" s="321" t="s">
        <v>1649</v>
      </c>
      <c r="AB17" s="321" t="s">
        <v>1649</v>
      </c>
      <c r="AC17" s="321" t="s">
        <v>1649</v>
      </c>
      <c r="AD17" s="321" t="s">
        <v>1649</v>
      </c>
      <c r="AE17" s="321" t="s">
        <v>1649</v>
      </c>
      <c r="AF17" s="321" t="s">
        <v>1649</v>
      </c>
      <c r="AG17" s="321" t="s">
        <v>1649</v>
      </c>
      <c r="AH17" s="300" t="s">
        <v>1613</v>
      </c>
      <c r="AI17" s="321" t="s">
        <v>1649</v>
      </c>
      <c r="AJ17" s="321" t="s">
        <v>1649</v>
      </c>
      <c r="AK17" s="321" t="s">
        <v>1649</v>
      </c>
      <c r="AL17" s="321" t="s">
        <v>1649</v>
      </c>
      <c r="AM17" s="321" t="s">
        <v>1649</v>
      </c>
      <c r="AN17" s="321" t="s">
        <v>1649</v>
      </c>
      <c r="AO17" s="321" t="s">
        <v>1649</v>
      </c>
      <c r="AP17" s="321" t="s">
        <v>1648</v>
      </c>
      <c r="AQ17" s="321" t="s">
        <v>1649</v>
      </c>
      <c r="AR17" s="321" t="s">
        <v>1649</v>
      </c>
      <c r="AS17" s="321" t="s">
        <v>1649</v>
      </c>
      <c r="AT17" s="321" t="s">
        <v>1649</v>
      </c>
      <c r="AU17" s="301" t="s">
        <v>1613</v>
      </c>
    </row>
    <row r="18" spans="1:47" ht="13.5" thickBot="1" x14ac:dyDescent="0.25">
      <c r="A18" s="48" t="s">
        <v>186</v>
      </c>
      <c r="B18" s="291" t="s">
        <v>185</v>
      </c>
      <c r="C18" s="298" t="s">
        <v>34</v>
      </c>
      <c r="D18" s="299" t="s">
        <v>1613</v>
      </c>
      <c r="E18" s="299" t="s">
        <v>1613</v>
      </c>
      <c r="F18" s="299" t="s">
        <v>1613</v>
      </c>
      <c r="G18" s="299" t="s">
        <v>1613</v>
      </c>
      <c r="H18" s="299" t="s">
        <v>1613</v>
      </c>
      <c r="I18" s="299" t="s">
        <v>1613</v>
      </c>
      <c r="J18" s="302">
        <v>12</v>
      </c>
      <c r="K18" s="303">
        <v>7000</v>
      </c>
      <c r="L18" s="303">
        <v>16000</v>
      </c>
      <c r="M18" s="299" t="s">
        <v>1613</v>
      </c>
      <c r="N18" s="299" t="s">
        <v>1613</v>
      </c>
      <c r="O18" s="299" t="s">
        <v>1613</v>
      </c>
      <c r="P18" s="299" t="s">
        <v>1613</v>
      </c>
      <c r="Q18" s="299" t="s">
        <v>1613</v>
      </c>
      <c r="R18" s="299" t="s">
        <v>1613</v>
      </c>
      <c r="S18" s="302">
        <v>14</v>
      </c>
      <c r="T18" s="303">
        <v>7000</v>
      </c>
      <c r="U18" s="303">
        <v>15500</v>
      </c>
      <c r="V18" s="321" t="s">
        <v>1649</v>
      </c>
      <c r="W18" s="321" t="s">
        <v>1649</v>
      </c>
      <c r="X18" s="321" t="s">
        <v>1649</v>
      </c>
      <c r="Y18" s="321" t="s">
        <v>1649</v>
      </c>
      <c r="Z18" s="321" t="s">
        <v>1649</v>
      </c>
      <c r="AA18" s="321" t="s">
        <v>1649</v>
      </c>
      <c r="AB18" s="321" t="s">
        <v>1649</v>
      </c>
      <c r="AC18" s="321" t="s">
        <v>1649</v>
      </c>
      <c r="AD18" s="321" t="s">
        <v>1649</v>
      </c>
      <c r="AE18" s="321" t="s">
        <v>1649</v>
      </c>
      <c r="AF18" s="321" t="s">
        <v>1649</v>
      </c>
      <c r="AG18" s="321" t="s">
        <v>1649</v>
      </c>
      <c r="AH18" s="300" t="s">
        <v>1613</v>
      </c>
      <c r="AI18" s="321" t="s">
        <v>1649</v>
      </c>
      <c r="AJ18" s="321" t="s">
        <v>1649</v>
      </c>
      <c r="AK18" s="321" t="s">
        <v>1649</v>
      </c>
      <c r="AL18" s="321" t="s">
        <v>1649</v>
      </c>
      <c r="AM18" s="321" t="s">
        <v>1649</v>
      </c>
      <c r="AN18" s="321" t="s">
        <v>1649</v>
      </c>
      <c r="AO18" s="321" t="s">
        <v>1649</v>
      </c>
      <c r="AP18" s="321" t="s">
        <v>1649</v>
      </c>
      <c r="AQ18" s="321" t="s">
        <v>1649</v>
      </c>
      <c r="AR18" s="321" t="s">
        <v>1649</v>
      </c>
      <c r="AS18" s="321" t="s">
        <v>1649</v>
      </c>
      <c r="AT18" s="321" t="s">
        <v>1649</v>
      </c>
      <c r="AU18" s="301" t="s">
        <v>1613</v>
      </c>
    </row>
    <row r="19" spans="1:47" ht="13.5" thickBot="1" x14ac:dyDescent="0.25">
      <c r="A19" s="48" t="s">
        <v>202</v>
      </c>
      <c r="B19" s="291" t="s">
        <v>201</v>
      </c>
      <c r="C19" s="298" t="s">
        <v>34</v>
      </c>
      <c r="D19" s="299" t="s">
        <v>1613</v>
      </c>
      <c r="E19" s="299" t="s">
        <v>1613</v>
      </c>
      <c r="F19" s="299" t="s">
        <v>1613</v>
      </c>
      <c r="G19" s="302">
        <v>26</v>
      </c>
      <c r="H19" s="303">
        <v>17000</v>
      </c>
      <c r="I19" s="303">
        <v>18000</v>
      </c>
      <c r="J19" s="299" t="s">
        <v>1613</v>
      </c>
      <c r="K19" s="299" t="s">
        <v>1613</v>
      </c>
      <c r="L19" s="299" t="s">
        <v>1613</v>
      </c>
      <c r="M19" s="299" t="s">
        <v>1613</v>
      </c>
      <c r="N19" s="299" t="s">
        <v>1613</v>
      </c>
      <c r="O19" s="299" t="s">
        <v>1613</v>
      </c>
      <c r="P19" s="299" t="s">
        <v>1613</v>
      </c>
      <c r="Q19" s="299" t="s">
        <v>1613</v>
      </c>
      <c r="R19" s="299" t="s">
        <v>1613</v>
      </c>
      <c r="S19" s="302">
        <v>23</v>
      </c>
      <c r="T19" s="303">
        <v>13000</v>
      </c>
      <c r="U19" s="303">
        <v>15000</v>
      </c>
      <c r="V19" s="321" t="s">
        <v>1649</v>
      </c>
      <c r="W19" s="321" t="s">
        <v>1649</v>
      </c>
      <c r="X19" s="321" t="s">
        <v>1649</v>
      </c>
      <c r="Y19" s="321" t="s">
        <v>1649</v>
      </c>
      <c r="Z19" s="321" t="s">
        <v>1649</v>
      </c>
      <c r="AA19" s="321" t="s">
        <v>1649</v>
      </c>
      <c r="AB19" s="321" t="s">
        <v>1649</v>
      </c>
      <c r="AC19" s="321" t="s">
        <v>1649</v>
      </c>
      <c r="AD19" s="321" t="s">
        <v>1649</v>
      </c>
      <c r="AE19" s="321" t="s">
        <v>1649</v>
      </c>
      <c r="AF19" s="321" t="s">
        <v>1648</v>
      </c>
      <c r="AG19" s="321" t="s">
        <v>1649</v>
      </c>
      <c r="AH19" s="300" t="s">
        <v>1613</v>
      </c>
      <c r="AI19" s="321" t="s">
        <v>1649</v>
      </c>
      <c r="AJ19" s="321" t="s">
        <v>1649</v>
      </c>
      <c r="AK19" s="321" t="s">
        <v>1649</v>
      </c>
      <c r="AL19" s="321" t="s">
        <v>1649</v>
      </c>
      <c r="AM19" s="321" t="s">
        <v>1649</v>
      </c>
      <c r="AN19" s="321" t="s">
        <v>1649</v>
      </c>
      <c r="AO19" s="321" t="s">
        <v>1649</v>
      </c>
      <c r="AP19" s="321" t="s">
        <v>1649</v>
      </c>
      <c r="AQ19" s="321" t="s">
        <v>1649</v>
      </c>
      <c r="AR19" s="321" t="s">
        <v>1649</v>
      </c>
      <c r="AS19" s="321" t="s">
        <v>1648</v>
      </c>
      <c r="AT19" s="321" t="s">
        <v>1649</v>
      </c>
      <c r="AU19" s="301" t="s">
        <v>1613</v>
      </c>
    </row>
    <row r="20" spans="1:47" ht="13.5" thickBot="1" x14ac:dyDescent="0.25">
      <c r="A20" s="48" t="s">
        <v>204</v>
      </c>
      <c r="B20" s="291" t="s">
        <v>203</v>
      </c>
      <c r="C20" s="298" t="s">
        <v>34</v>
      </c>
      <c r="D20" s="304"/>
      <c r="E20" s="305"/>
      <c r="F20" s="305"/>
      <c r="G20" s="304"/>
      <c r="H20" s="305"/>
      <c r="I20" s="305"/>
      <c r="J20" s="304"/>
      <c r="K20" s="305"/>
      <c r="L20" s="305"/>
      <c r="M20" s="304"/>
      <c r="N20" s="305"/>
      <c r="O20" s="305"/>
      <c r="P20" s="304"/>
      <c r="Q20" s="305"/>
      <c r="R20" s="305"/>
      <c r="S20" s="302">
        <v>26</v>
      </c>
      <c r="T20" s="303">
        <v>13520</v>
      </c>
      <c r="U20" s="303">
        <v>15000</v>
      </c>
      <c r="V20" s="321" t="s">
        <v>1649</v>
      </c>
      <c r="W20" s="321" t="s">
        <v>1649</v>
      </c>
      <c r="X20" s="321" t="s">
        <v>1649</v>
      </c>
      <c r="Y20" s="321" t="s">
        <v>1649</v>
      </c>
      <c r="Z20" s="321" t="s">
        <v>1649</v>
      </c>
      <c r="AA20" s="321" t="s">
        <v>1649</v>
      </c>
      <c r="AB20" s="321" t="s">
        <v>1648</v>
      </c>
      <c r="AC20" s="321" t="s">
        <v>1648</v>
      </c>
      <c r="AD20" s="321" t="s">
        <v>1649</v>
      </c>
      <c r="AE20" s="321" t="s">
        <v>1649</v>
      </c>
      <c r="AF20" s="321" t="s">
        <v>1649</v>
      </c>
      <c r="AG20" s="321" t="s">
        <v>1649</v>
      </c>
      <c r="AH20" s="165" t="s">
        <v>3551</v>
      </c>
      <c r="AI20" s="321" t="s">
        <v>1649</v>
      </c>
      <c r="AJ20" s="321" t="s">
        <v>1649</v>
      </c>
      <c r="AK20" s="321" t="s">
        <v>1649</v>
      </c>
      <c r="AL20" s="321" t="s">
        <v>1649</v>
      </c>
      <c r="AM20" s="321" t="s">
        <v>1649</v>
      </c>
      <c r="AN20" s="321" t="s">
        <v>1649</v>
      </c>
      <c r="AO20" s="321" t="s">
        <v>1648</v>
      </c>
      <c r="AP20" s="321" t="s">
        <v>1648</v>
      </c>
      <c r="AQ20" s="321" t="s">
        <v>1649</v>
      </c>
      <c r="AR20" s="321" t="s">
        <v>1649</v>
      </c>
      <c r="AS20" s="321" t="s">
        <v>1649</v>
      </c>
      <c r="AT20" s="321" t="s">
        <v>1649</v>
      </c>
      <c r="AU20" s="301" t="s">
        <v>1613</v>
      </c>
    </row>
    <row r="21" spans="1:47" ht="13.5" thickBot="1" x14ac:dyDescent="0.25">
      <c r="A21" s="48" t="s">
        <v>206</v>
      </c>
      <c r="B21" s="291" t="s">
        <v>205</v>
      </c>
      <c r="C21" s="298" t="s">
        <v>34</v>
      </c>
      <c r="D21" s="302">
        <v>39</v>
      </c>
      <c r="E21" s="303">
        <v>29913</v>
      </c>
      <c r="F21" s="303">
        <v>30680</v>
      </c>
      <c r="G21" s="302">
        <v>12</v>
      </c>
      <c r="H21" s="303">
        <v>6864</v>
      </c>
      <c r="I21" s="303">
        <v>9360</v>
      </c>
      <c r="J21" s="304"/>
      <c r="K21" s="305"/>
      <c r="L21" s="305"/>
      <c r="M21" s="304"/>
      <c r="N21" s="305"/>
      <c r="O21" s="305"/>
      <c r="P21" s="304"/>
      <c r="Q21" s="305"/>
      <c r="R21" s="305"/>
      <c r="S21" s="302">
        <v>49</v>
      </c>
      <c r="T21" s="303">
        <v>28665</v>
      </c>
      <c r="U21" s="303">
        <v>21021</v>
      </c>
      <c r="V21" s="321" t="s">
        <v>1649</v>
      </c>
      <c r="W21" s="321" t="s">
        <v>1649</v>
      </c>
      <c r="X21" s="321" t="s">
        <v>1649</v>
      </c>
      <c r="Y21" s="321" t="s">
        <v>1649</v>
      </c>
      <c r="Z21" s="321" t="s">
        <v>1649</v>
      </c>
      <c r="AA21" s="321" t="s">
        <v>1649</v>
      </c>
      <c r="AB21" s="321" t="s">
        <v>1648</v>
      </c>
      <c r="AC21" s="321" t="s">
        <v>1648</v>
      </c>
      <c r="AD21" s="321" t="s">
        <v>1649</v>
      </c>
      <c r="AE21" s="321" t="s">
        <v>1649</v>
      </c>
      <c r="AF21" s="321" t="s">
        <v>1649</v>
      </c>
      <c r="AG21" s="321" t="s">
        <v>1648</v>
      </c>
      <c r="AH21" s="300" t="s">
        <v>1613</v>
      </c>
      <c r="AI21" s="321" t="s">
        <v>1649</v>
      </c>
      <c r="AJ21" s="321" t="s">
        <v>1649</v>
      </c>
      <c r="AK21" s="321" t="s">
        <v>1649</v>
      </c>
      <c r="AL21" s="321" t="s">
        <v>1649</v>
      </c>
      <c r="AM21" s="321" t="s">
        <v>1649</v>
      </c>
      <c r="AN21" s="321" t="s">
        <v>1649</v>
      </c>
      <c r="AO21" s="321" t="s">
        <v>1648</v>
      </c>
      <c r="AP21" s="321" t="s">
        <v>1648</v>
      </c>
      <c r="AQ21" s="321" t="s">
        <v>1649</v>
      </c>
      <c r="AR21" s="321" t="s">
        <v>1649</v>
      </c>
      <c r="AS21" s="321" t="s">
        <v>1649</v>
      </c>
      <c r="AT21" s="321" t="s">
        <v>1648</v>
      </c>
      <c r="AU21" s="301" t="s">
        <v>1613</v>
      </c>
    </row>
    <row r="22" spans="1:47" ht="13.5" thickBot="1" x14ac:dyDescent="0.25">
      <c r="A22" s="48" t="s">
        <v>208</v>
      </c>
      <c r="B22" s="291" t="s">
        <v>207</v>
      </c>
      <c r="C22" s="298" t="s">
        <v>34</v>
      </c>
      <c r="D22" s="304"/>
      <c r="E22" s="305"/>
      <c r="F22" s="305"/>
      <c r="G22" s="304"/>
      <c r="H22" s="305"/>
      <c r="I22" s="305"/>
      <c r="J22" s="304"/>
      <c r="K22" s="305"/>
      <c r="L22" s="305"/>
      <c r="M22" s="304"/>
      <c r="N22" s="305"/>
      <c r="O22" s="305"/>
      <c r="P22" s="304"/>
      <c r="Q22" s="305"/>
      <c r="R22" s="299"/>
      <c r="S22" s="304"/>
      <c r="T22" s="303">
        <v>7800</v>
      </c>
      <c r="U22" s="303">
        <v>11960</v>
      </c>
      <c r="V22" s="321" t="s">
        <v>1649</v>
      </c>
      <c r="W22" s="321" t="s">
        <v>1649</v>
      </c>
      <c r="X22" s="321" t="s">
        <v>1649</v>
      </c>
      <c r="Y22" s="321" t="s">
        <v>1649</v>
      </c>
      <c r="Z22" s="321" t="s">
        <v>1649</v>
      </c>
      <c r="AA22" s="321" t="s">
        <v>1649</v>
      </c>
      <c r="AB22" s="321" t="s">
        <v>1649</v>
      </c>
      <c r="AC22" s="321" t="s">
        <v>1649</v>
      </c>
      <c r="AD22" s="321" t="s">
        <v>1649</v>
      </c>
      <c r="AE22" s="321" t="s">
        <v>1649</v>
      </c>
      <c r="AF22" s="321" t="s">
        <v>1649</v>
      </c>
      <c r="AG22" s="321" t="s">
        <v>1649</v>
      </c>
      <c r="AH22" s="300"/>
      <c r="AI22" s="321" t="s">
        <v>1649</v>
      </c>
      <c r="AJ22" s="321" t="s">
        <v>1649</v>
      </c>
      <c r="AK22" s="321" t="s">
        <v>1649</v>
      </c>
      <c r="AL22" s="321" t="s">
        <v>1649</v>
      </c>
      <c r="AM22" s="321" t="s">
        <v>1649</v>
      </c>
      <c r="AN22" s="321" t="s">
        <v>1649</v>
      </c>
      <c r="AO22" s="321" t="s">
        <v>1649</v>
      </c>
      <c r="AP22" s="321" t="s">
        <v>1649</v>
      </c>
      <c r="AQ22" s="321" t="s">
        <v>1649</v>
      </c>
      <c r="AR22" s="321" t="s">
        <v>1649</v>
      </c>
      <c r="AS22" s="321" t="s">
        <v>1649</v>
      </c>
      <c r="AT22" s="321" t="s">
        <v>1649</v>
      </c>
      <c r="AU22" s="301"/>
    </row>
    <row r="23" spans="1:47" ht="13.5" thickBot="1" x14ac:dyDescent="0.25">
      <c r="A23" s="48" t="s">
        <v>210</v>
      </c>
      <c r="B23" s="291" t="s">
        <v>209</v>
      </c>
      <c r="C23" s="298" t="s">
        <v>34</v>
      </c>
      <c r="D23" s="299" t="s">
        <v>1613</v>
      </c>
      <c r="E23" s="299" t="s">
        <v>1613</v>
      </c>
      <c r="F23" s="299" t="s">
        <v>1613</v>
      </c>
      <c r="G23" s="299" t="s">
        <v>1613</v>
      </c>
      <c r="H23" s="299" t="s">
        <v>1613</v>
      </c>
      <c r="I23" s="299" t="s">
        <v>1613</v>
      </c>
      <c r="J23" s="302">
        <v>12</v>
      </c>
      <c r="K23" s="303">
        <v>7000</v>
      </c>
      <c r="L23" s="303">
        <v>8000</v>
      </c>
      <c r="M23" s="302">
        <v>11</v>
      </c>
      <c r="N23" s="303">
        <v>6200</v>
      </c>
      <c r="O23" s="303">
        <v>6800</v>
      </c>
      <c r="P23" s="299" t="s">
        <v>1613</v>
      </c>
      <c r="Q23" s="299" t="s">
        <v>1613</v>
      </c>
      <c r="R23" s="299" t="s">
        <v>1613</v>
      </c>
      <c r="S23" s="299" t="s">
        <v>1613</v>
      </c>
      <c r="T23" s="299" t="s">
        <v>1613</v>
      </c>
      <c r="U23" s="299" t="s">
        <v>1613</v>
      </c>
      <c r="V23" s="321" t="s">
        <v>1649</v>
      </c>
      <c r="W23" s="321" t="s">
        <v>1649</v>
      </c>
      <c r="X23" s="321" t="s">
        <v>1649</v>
      </c>
      <c r="Y23" s="321" t="s">
        <v>1649</v>
      </c>
      <c r="Z23" s="321" t="s">
        <v>1649</v>
      </c>
      <c r="AA23" s="321" t="s">
        <v>1649</v>
      </c>
      <c r="AB23" s="321" t="s">
        <v>1649</v>
      </c>
      <c r="AC23" s="321" t="s">
        <v>1649</v>
      </c>
      <c r="AD23" s="321" t="s">
        <v>1649</v>
      </c>
      <c r="AE23" s="321" t="s">
        <v>1649</v>
      </c>
      <c r="AF23" s="321" t="s">
        <v>1649</v>
      </c>
      <c r="AG23" s="321" t="s">
        <v>1649</v>
      </c>
      <c r="AH23" s="300" t="s">
        <v>1613</v>
      </c>
      <c r="AI23" s="321" t="s">
        <v>1649</v>
      </c>
      <c r="AJ23" s="321" t="s">
        <v>1649</v>
      </c>
      <c r="AK23" s="321" t="s">
        <v>1649</v>
      </c>
      <c r="AL23" s="321" t="s">
        <v>1649</v>
      </c>
      <c r="AM23" s="321" t="s">
        <v>1649</v>
      </c>
      <c r="AN23" s="321" t="s">
        <v>1649</v>
      </c>
      <c r="AO23" s="321" t="s">
        <v>1649</v>
      </c>
      <c r="AP23" s="321" t="s">
        <v>1649</v>
      </c>
      <c r="AQ23" s="321" t="s">
        <v>1649</v>
      </c>
      <c r="AR23" s="321" t="s">
        <v>1649</v>
      </c>
      <c r="AS23" s="321" t="s">
        <v>1649</v>
      </c>
      <c r="AT23" s="321" t="s">
        <v>1649</v>
      </c>
      <c r="AU23" s="301" t="s">
        <v>1613</v>
      </c>
    </row>
    <row r="24" spans="1:47" ht="13.5" thickBot="1" x14ac:dyDescent="0.25">
      <c r="A24" s="48" t="s">
        <v>256</v>
      </c>
      <c r="B24" s="291" t="s">
        <v>255</v>
      </c>
      <c r="C24" s="298" t="s">
        <v>34</v>
      </c>
      <c r="D24" s="304"/>
      <c r="E24" s="305"/>
      <c r="F24" s="305"/>
      <c r="G24" s="304"/>
      <c r="H24" s="305"/>
      <c r="I24" s="305"/>
      <c r="J24" s="304"/>
      <c r="K24" s="305"/>
      <c r="L24" s="305"/>
      <c r="M24" s="304"/>
      <c r="N24" s="305"/>
      <c r="O24" s="305"/>
      <c r="P24" s="304"/>
      <c r="Q24" s="305"/>
      <c r="R24" s="305"/>
      <c r="S24" s="304"/>
      <c r="T24" s="305"/>
      <c r="U24" s="305"/>
      <c r="V24" s="321" t="s">
        <v>1649</v>
      </c>
      <c r="W24" s="321" t="s">
        <v>1649</v>
      </c>
      <c r="X24" s="321" t="s">
        <v>1649</v>
      </c>
      <c r="Y24" s="321" t="s">
        <v>1649</v>
      </c>
      <c r="Z24" s="321" t="s">
        <v>1649</v>
      </c>
      <c r="AA24" s="321" t="s">
        <v>1649</v>
      </c>
      <c r="AB24" s="321" t="s">
        <v>1648</v>
      </c>
      <c r="AC24" s="321" t="s">
        <v>1648</v>
      </c>
      <c r="AD24" s="321" t="s">
        <v>1649</v>
      </c>
      <c r="AE24" s="321" t="s">
        <v>1649</v>
      </c>
      <c r="AF24" s="321" t="s">
        <v>1649</v>
      </c>
      <c r="AG24" s="321" t="s">
        <v>1649</v>
      </c>
      <c r="AH24" s="300" t="s">
        <v>1613</v>
      </c>
      <c r="AI24" s="321" t="s">
        <v>1649</v>
      </c>
      <c r="AJ24" s="321" t="s">
        <v>1649</v>
      </c>
      <c r="AK24" s="321" t="s">
        <v>1649</v>
      </c>
      <c r="AL24" s="321" t="s">
        <v>1649</v>
      </c>
      <c r="AM24" s="321" t="s">
        <v>1649</v>
      </c>
      <c r="AN24" s="321" t="s">
        <v>1649</v>
      </c>
      <c r="AO24" s="321" t="s">
        <v>1649</v>
      </c>
      <c r="AP24" s="321" t="s">
        <v>1649</v>
      </c>
      <c r="AQ24" s="321" t="s">
        <v>1649</v>
      </c>
      <c r="AR24" s="321" t="s">
        <v>1649</v>
      </c>
      <c r="AS24" s="321" t="s">
        <v>1649</v>
      </c>
      <c r="AT24" s="321" t="s">
        <v>1649</v>
      </c>
      <c r="AU24" s="301" t="s">
        <v>1613</v>
      </c>
    </row>
    <row r="25" spans="1:47" ht="13.5" thickBot="1" x14ac:dyDescent="0.25">
      <c r="A25" s="48" t="s">
        <v>258</v>
      </c>
      <c r="B25" s="291" t="s">
        <v>257</v>
      </c>
      <c r="C25" s="298" t="s">
        <v>34</v>
      </c>
      <c r="D25" s="299" t="s">
        <v>1613</v>
      </c>
      <c r="E25" s="299" t="s">
        <v>1613</v>
      </c>
      <c r="F25" s="299" t="s">
        <v>1613</v>
      </c>
      <c r="G25" s="299" t="s">
        <v>1613</v>
      </c>
      <c r="H25" s="299" t="s">
        <v>1613</v>
      </c>
      <c r="I25" s="299" t="s">
        <v>1613</v>
      </c>
      <c r="J25" s="302">
        <v>1</v>
      </c>
      <c r="K25" s="303">
        <v>346</v>
      </c>
      <c r="L25" s="303">
        <v>624</v>
      </c>
      <c r="M25" s="302">
        <v>10</v>
      </c>
      <c r="N25" s="303">
        <v>5018</v>
      </c>
      <c r="O25" s="303">
        <v>7200</v>
      </c>
      <c r="P25" s="302">
        <v>15</v>
      </c>
      <c r="Q25" s="303">
        <v>7527</v>
      </c>
      <c r="R25" s="303">
        <v>9500</v>
      </c>
      <c r="S25" s="302">
        <v>22</v>
      </c>
      <c r="T25" s="303">
        <v>11326</v>
      </c>
      <c r="U25" s="303">
        <v>16900</v>
      </c>
      <c r="V25" s="321" t="s">
        <v>1649</v>
      </c>
      <c r="W25" s="321" t="s">
        <v>1649</v>
      </c>
      <c r="X25" s="321" t="s">
        <v>1649</v>
      </c>
      <c r="Y25" s="321" t="s">
        <v>1649</v>
      </c>
      <c r="Z25" s="321" t="s">
        <v>1649</v>
      </c>
      <c r="AA25" s="321" t="s">
        <v>1649</v>
      </c>
      <c r="AB25" s="321" t="s">
        <v>1649</v>
      </c>
      <c r="AC25" s="321" t="s">
        <v>1649</v>
      </c>
      <c r="AD25" s="321" t="s">
        <v>1649</v>
      </c>
      <c r="AE25" s="321" t="s">
        <v>1649</v>
      </c>
      <c r="AF25" s="321" t="s">
        <v>1649</v>
      </c>
      <c r="AG25" s="321" t="s">
        <v>1649</v>
      </c>
      <c r="AH25" s="300" t="s">
        <v>1613</v>
      </c>
      <c r="AI25" s="321" t="s">
        <v>1649</v>
      </c>
      <c r="AJ25" s="321" t="s">
        <v>1649</v>
      </c>
      <c r="AK25" s="321" t="s">
        <v>1649</v>
      </c>
      <c r="AL25" s="321" t="s">
        <v>1649</v>
      </c>
      <c r="AM25" s="321" t="s">
        <v>1649</v>
      </c>
      <c r="AN25" s="321" t="s">
        <v>1649</v>
      </c>
      <c r="AO25" s="321" t="s">
        <v>1649</v>
      </c>
      <c r="AP25" s="321" t="s">
        <v>1648</v>
      </c>
      <c r="AQ25" s="321" t="s">
        <v>1649</v>
      </c>
      <c r="AR25" s="321" t="s">
        <v>1648</v>
      </c>
      <c r="AS25" s="321" t="s">
        <v>1649</v>
      </c>
      <c r="AT25" s="321" t="s">
        <v>1649</v>
      </c>
      <c r="AU25" s="301" t="s">
        <v>1613</v>
      </c>
    </row>
    <row r="26" spans="1:47" ht="13.5" thickBot="1" x14ac:dyDescent="0.25">
      <c r="A26" s="48" t="s">
        <v>264</v>
      </c>
      <c r="B26" s="291" t="s">
        <v>263</v>
      </c>
      <c r="C26" s="298" t="s">
        <v>34</v>
      </c>
      <c r="D26" s="302">
        <v>30</v>
      </c>
      <c r="E26" s="303">
        <v>30810</v>
      </c>
      <c r="F26" s="303">
        <v>30810</v>
      </c>
      <c r="G26" s="304"/>
      <c r="H26" s="305"/>
      <c r="I26" s="305"/>
      <c r="J26" s="302">
        <v>23</v>
      </c>
      <c r="K26" s="303">
        <v>14651</v>
      </c>
      <c r="L26" s="303">
        <v>14651</v>
      </c>
      <c r="M26" s="304"/>
      <c r="N26" s="305"/>
      <c r="O26" s="305"/>
      <c r="P26" s="304"/>
      <c r="Q26" s="305"/>
      <c r="R26" s="305"/>
      <c r="S26" s="302">
        <v>18</v>
      </c>
      <c r="T26" s="303">
        <v>9032</v>
      </c>
      <c r="U26" s="303">
        <v>9032</v>
      </c>
      <c r="V26" s="321" t="s">
        <v>1648</v>
      </c>
      <c r="W26" s="321" t="s">
        <v>1649</v>
      </c>
      <c r="X26" s="321" t="s">
        <v>1649</v>
      </c>
      <c r="Y26" s="321" t="s">
        <v>1649</v>
      </c>
      <c r="Z26" s="321" t="s">
        <v>1649</v>
      </c>
      <c r="AA26" s="321" t="s">
        <v>1648</v>
      </c>
      <c r="AB26" s="321" t="s">
        <v>1648</v>
      </c>
      <c r="AC26" s="321" t="s">
        <v>1648</v>
      </c>
      <c r="AD26" s="321" t="s">
        <v>1649</v>
      </c>
      <c r="AE26" s="321" t="s">
        <v>1649</v>
      </c>
      <c r="AF26" s="321" t="s">
        <v>1648</v>
      </c>
      <c r="AG26" s="321" t="s">
        <v>1649</v>
      </c>
      <c r="AH26" s="300" t="s">
        <v>1613</v>
      </c>
      <c r="AI26" s="321" t="s">
        <v>1648</v>
      </c>
      <c r="AJ26" s="321" t="s">
        <v>1649</v>
      </c>
      <c r="AK26" s="321" t="s">
        <v>1649</v>
      </c>
      <c r="AL26" s="321" t="s">
        <v>1649</v>
      </c>
      <c r="AM26" s="321" t="s">
        <v>1649</v>
      </c>
      <c r="AN26" s="321" t="s">
        <v>1649</v>
      </c>
      <c r="AO26" s="321" t="s">
        <v>1649</v>
      </c>
      <c r="AP26" s="321" t="s">
        <v>1648</v>
      </c>
      <c r="AQ26" s="321" t="s">
        <v>1649</v>
      </c>
      <c r="AR26" s="321" t="s">
        <v>1649</v>
      </c>
      <c r="AS26" s="321" t="s">
        <v>1649</v>
      </c>
      <c r="AT26" s="321" t="s">
        <v>1649</v>
      </c>
      <c r="AU26" s="301" t="s">
        <v>1613</v>
      </c>
    </row>
    <row r="27" spans="1:47" ht="13.5" thickBot="1" x14ac:dyDescent="0.25">
      <c r="A27" s="48" t="s">
        <v>272</v>
      </c>
      <c r="B27" s="291" t="s">
        <v>271</v>
      </c>
      <c r="C27" s="298" t="s">
        <v>34</v>
      </c>
      <c r="D27" s="299" t="s">
        <v>1613</v>
      </c>
      <c r="E27" s="299" t="s">
        <v>1613</v>
      </c>
      <c r="F27" s="299" t="s">
        <v>1613</v>
      </c>
      <c r="G27" s="299" t="s">
        <v>1613</v>
      </c>
      <c r="H27" s="299" t="s">
        <v>1613</v>
      </c>
      <c r="I27" s="299" t="s">
        <v>1613</v>
      </c>
      <c r="J27" s="302">
        <v>9</v>
      </c>
      <c r="K27" s="303">
        <v>2000</v>
      </c>
      <c r="L27" s="303">
        <v>3389</v>
      </c>
      <c r="M27" s="299" t="s">
        <v>1613</v>
      </c>
      <c r="N27" s="299" t="s">
        <v>1613</v>
      </c>
      <c r="O27" s="299" t="s">
        <v>1613</v>
      </c>
      <c r="P27" s="299" t="s">
        <v>1613</v>
      </c>
      <c r="Q27" s="299" t="s">
        <v>1613</v>
      </c>
      <c r="R27" s="299" t="s">
        <v>1613</v>
      </c>
      <c r="S27" s="302">
        <v>9</v>
      </c>
      <c r="T27" s="303">
        <v>2000</v>
      </c>
      <c r="U27" s="303">
        <v>9600</v>
      </c>
      <c r="V27" s="321" t="s">
        <v>1649</v>
      </c>
      <c r="W27" s="321" t="s">
        <v>1649</v>
      </c>
      <c r="X27" s="321" t="s">
        <v>1649</v>
      </c>
      <c r="Y27" s="321" t="s">
        <v>1649</v>
      </c>
      <c r="Z27" s="321" t="s">
        <v>1649</v>
      </c>
      <c r="AA27" s="321" t="s">
        <v>1649</v>
      </c>
      <c r="AB27" s="321" t="s">
        <v>1649</v>
      </c>
      <c r="AC27" s="321" t="s">
        <v>1649</v>
      </c>
      <c r="AD27" s="321" t="s">
        <v>1648</v>
      </c>
      <c r="AE27" s="321" t="s">
        <v>1649</v>
      </c>
      <c r="AF27" s="321" t="s">
        <v>1649</v>
      </c>
      <c r="AG27" s="321" t="s">
        <v>1649</v>
      </c>
      <c r="AH27" s="300" t="s">
        <v>1613</v>
      </c>
      <c r="AI27" s="321" t="s">
        <v>1649</v>
      </c>
      <c r="AJ27" s="321" t="s">
        <v>1649</v>
      </c>
      <c r="AK27" s="321" t="s">
        <v>1649</v>
      </c>
      <c r="AL27" s="321" t="s">
        <v>1649</v>
      </c>
      <c r="AM27" s="321" t="s">
        <v>1649</v>
      </c>
      <c r="AN27" s="321" t="s">
        <v>1649</v>
      </c>
      <c r="AO27" s="321" t="s">
        <v>1649</v>
      </c>
      <c r="AP27" s="321" t="s">
        <v>1649</v>
      </c>
      <c r="AQ27" s="321" t="s">
        <v>1649</v>
      </c>
      <c r="AR27" s="321" t="s">
        <v>1649</v>
      </c>
      <c r="AS27" s="321" t="s">
        <v>1649</v>
      </c>
      <c r="AT27" s="321" t="s">
        <v>1649</v>
      </c>
      <c r="AU27" s="301" t="s">
        <v>1613</v>
      </c>
    </row>
    <row r="28" spans="1:47" ht="13.5" thickBot="1" x14ac:dyDescent="0.25">
      <c r="A28" s="48" t="s">
        <v>286</v>
      </c>
      <c r="B28" s="291" t="s">
        <v>285</v>
      </c>
      <c r="C28" s="298" t="s">
        <v>34</v>
      </c>
      <c r="D28" s="299" t="s">
        <v>1613</v>
      </c>
      <c r="E28" s="299" t="s">
        <v>1613</v>
      </c>
      <c r="F28" s="299" t="s">
        <v>1613</v>
      </c>
      <c r="G28" s="299" t="s">
        <v>1613</v>
      </c>
      <c r="H28" s="299" t="s">
        <v>1613</v>
      </c>
      <c r="I28" s="299" t="s">
        <v>1613</v>
      </c>
      <c r="J28" s="299" t="s">
        <v>1613</v>
      </c>
      <c r="K28" s="299" t="s">
        <v>1613</v>
      </c>
      <c r="L28" s="299" t="s">
        <v>1613</v>
      </c>
      <c r="M28" s="302">
        <v>25</v>
      </c>
      <c r="N28" s="303">
        <v>19899</v>
      </c>
      <c r="O28" s="303">
        <v>25440</v>
      </c>
      <c r="P28" s="299" t="s">
        <v>1613</v>
      </c>
      <c r="Q28" s="299" t="s">
        <v>1613</v>
      </c>
      <c r="R28" s="299" t="s">
        <v>1613</v>
      </c>
      <c r="S28" s="302">
        <v>6</v>
      </c>
      <c r="T28" s="299" t="s">
        <v>1613</v>
      </c>
      <c r="U28" s="303">
        <v>3030</v>
      </c>
      <c r="V28" s="321" t="s">
        <v>1649</v>
      </c>
      <c r="W28" s="321" t="s">
        <v>1649</v>
      </c>
      <c r="X28" s="321" t="s">
        <v>1649</v>
      </c>
      <c r="Y28" s="321" t="s">
        <v>1649</v>
      </c>
      <c r="Z28" s="321" t="s">
        <v>1649</v>
      </c>
      <c r="AA28" s="321" t="s">
        <v>1649</v>
      </c>
      <c r="AB28" s="321" t="s">
        <v>1649</v>
      </c>
      <c r="AC28" s="321" t="s">
        <v>1649</v>
      </c>
      <c r="AD28" s="321" t="s">
        <v>1649</v>
      </c>
      <c r="AE28" s="321" t="s">
        <v>1649</v>
      </c>
      <c r="AF28" s="321" t="s">
        <v>1649</v>
      </c>
      <c r="AG28" s="321" t="s">
        <v>1649</v>
      </c>
      <c r="AH28" s="300" t="s">
        <v>1613</v>
      </c>
      <c r="AI28" s="321" t="s">
        <v>1649</v>
      </c>
      <c r="AJ28" s="321" t="s">
        <v>1649</v>
      </c>
      <c r="AK28" s="321" t="s">
        <v>1649</v>
      </c>
      <c r="AL28" s="321" t="s">
        <v>1649</v>
      </c>
      <c r="AM28" s="321" t="s">
        <v>1649</v>
      </c>
      <c r="AN28" s="321" t="s">
        <v>1649</v>
      </c>
      <c r="AO28" s="321" t="s">
        <v>1649</v>
      </c>
      <c r="AP28" s="321" t="s">
        <v>1649</v>
      </c>
      <c r="AQ28" s="321" t="s">
        <v>1649</v>
      </c>
      <c r="AR28" s="321" t="s">
        <v>1649</v>
      </c>
      <c r="AS28" s="321" t="s">
        <v>1649</v>
      </c>
      <c r="AT28" s="321" t="s">
        <v>1649</v>
      </c>
      <c r="AU28" s="301" t="s">
        <v>1613</v>
      </c>
    </row>
    <row r="29" spans="1:47" ht="13.5" thickBot="1" x14ac:dyDescent="0.25">
      <c r="A29" s="48" t="s">
        <v>298</v>
      </c>
      <c r="B29" s="291" t="s">
        <v>297</v>
      </c>
      <c r="C29" s="298" t="s">
        <v>34</v>
      </c>
      <c r="D29" s="304"/>
      <c r="E29" s="305"/>
      <c r="F29" s="305"/>
      <c r="G29" s="304"/>
      <c r="H29" s="305"/>
      <c r="I29" s="305"/>
      <c r="J29" s="304"/>
      <c r="K29" s="305"/>
      <c r="L29" s="305"/>
      <c r="M29" s="304"/>
      <c r="N29" s="305"/>
      <c r="O29" s="305"/>
      <c r="P29" s="304"/>
      <c r="Q29" s="305"/>
      <c r="R29" s="305"/>
      <c r="S29" s="302">
        <v>10</v>
      </c>
      <c r="T29" s="303">
        <v>5700</v>
      </c>
      <c r="U29" s="303">
        <v>6000</v>
      </c>
      <c r="V29" s="321" t="s">
        <v>1649</v>
      </c>
      <c r="W29" s="321" t="s">
        <v>1649</v>
      </c>
      <c r="X29" s="321" t="s">
        <v>1649</v>
      </c>
      <c r="Y29" s="321" t="s">
        <v>1649</v>
      </c>
      <c r="Z29" s="321" t="s">
        <v>1649</v>
      </c>
      <c r="AA29" s="321" t="s">
        <v>1649</v>
      </c>
      <c r="AB29" s="321" t="s">
        <v>1649</v>
      </c>
      <c r="AC29" s="321" t="s">
        <v>1649</v>
      </c>
      <c r="AD29" s="321" t="s">
        <v>1649</v>
      </c>
      <c r="AE29" s="321" t="s">
        <v>1649</v>
      </c>
      <c r="AF29" s="321" t="s">
        <v>1649</v>
      </c>
      <c r="AG29" s="321" t="s">
        <v>1649</v>
      </c>
      <c r="AH29" s="300" t="s">
        <v>1613</v>
      </c>
      <c r="AI29" s="321" t="s">
        <v>1649</v>
      </c>
      <c r="AJ29" s="321" t="s">
        <v>1649</v>
      </c>
      <c r="AK29" s="321" t="s">
        <v>1649</v>
      </c>
      <c r="AL29" s="321" t="s">
        <v>1649</v>
      </c>
      <c r="AM29" s="321" t="s">
        <v>1649</v>
      </c>
      <c r="AN29" s="321" t="s">
        <v>1649</v>
      </c>
      <c r="AO29" s="321" t="s">
        <v>1649</v>
      </c>
      <c r="AP29" s="321" t="s">
        <v>1649</v>
      </c>
      <c r="AQ29" s="321" t="s">
        <v>1649</v>
      </c>
      <c r="AR29" s="321" t="s">
        <v>1649</v>
      </c>
      <c r="AS29" s="321" t="s">
        <v>1649</v>
      </c>
      <c r="AT29" s="321" t="s">
        <v>1649</v>
      </c>
      <c r="AU29" s="301" t="s">
        <v>1613</v>
      </c>
    </row>
    <row r="30" spans="1:47" ht="13.5" thickBot="1" x14ac:dyDescent="0.25">
      <c r="A30" s="48" t="s">
        <v>306</v>
      </c>
      <c r="B30" s="291" t="s">
        <v>305</v>
      </c>
      <c r="C30" s="298" t="s">
        <v>34</v>
      </c>
      <c r="D30" s="299" t="s">
        <v>1613</v>
      </c>
      <c r="E30" s="299" t="s">
        <v>1613</v>
      </c>
      <c r="F30" s="299" t="s">
        <v>1613</v>
      </c>
      <c r="G30" s="299" t="s">
        <v>1613</v>
      </c>
      <c r="H30" s="299" t="s">
        <v>1613</v>
      </c>
      <c r="I30" s="299" t="s">
        <v>1613</v>
      </c>
      <c r="J30" s="299" t="s">
        <v>1613</v>
      </c>
      <c r="K30" s="299" t="s">
        <v>1613</v>
      </c>
      <c r="L30" s="299" t="s">
        <v>1613</v>
      </c>
      <c r="M30" s="299" t="s">
        <v>1613</v>
      </c>
      <c r="N30" s="299" t="s">
        <v>1613</v>
      </c>
      <c r="O30" s="299" t="s">
        <v>1613</v>
      </c>
      <c r="P30" s="299" t="s">
        <v>1613</v>
      </c>
      <c r="Q30" s="299" t="s">
        <v>1613</v>
      </c>
      <c r="R30" s="299" t="s">
        <v>1613</v>
      </c>
      <c r="S30" s="302">
        <v>3</v>
      </c>
      <c r="T30" s="303">
        <v>50</v>
      </c>
      <c r="U30" s="303">
        <v>2500</v>
      </c>
      <c r="V30" s="321" t="s">
        <v>1649</v>
      </c>
      <c r="W30" s="321" t="s">
        <v>1649</v>
      </c>
      <c r="X30" s="321" t="s">
        <v>1649</v>
      </c>
      <c r="Y30" s="321" t="s">
        <v>1649</v>
      </c>
      <c r="Z30" s="321" t="s">
        <v>1649</v>
      </c>
      <c r="AA30" s="321" t="s">
        <v>1649</v>
      </c>
      <c r="AB30" s="321" t="s">
        <v>1649</v>
      </c>
      <c r="AC30" s="321" t="s">
        <v>1649</v>
      </c>
      <c r="AD30" s="321" t="s">
        <v>1649</v>
      </c>
      <c r="AE30" s="321" t="s">
        <v>1649</v>
      </c>
      <c r="AF30" s="321" t="s">
        <v>1649</v>
      </c>
      <c r="AG30" s="321" t="s">
        <v>1649</v>
      </c>
      <c r="AH30" s="300" t="s">
        <v>1613</v>
      </c>
      <c r="AI30" s="321" t="s">
        <v>1649</v>
      </c>
      <c r="AJ30" s="321" t="s">
        <v>1649</v>
      </c>
      <c r="AK30" s="321" t="s">
        <v>1649</v>
      </c>
      <c r="AL30" s="321" t="s">
        <v>1649</v>
      </c>
      <c r="AM30" s="321" t="s">
        <v>1649</v>
      </c>
      <c r="AN30" s="321" t="s">
        <v>1649</v>
      </c>
      <c r="AO30" s="321" t="s">
        <v>1649</v>
      </c>
      <c r="AP30" s="321" t="s">
        <v>1649</v>
      </c>
      <c r="AQ30" s="321" t="s">
        <v>1649</v>
      </c>
      <c r="AR30" s="321" t="s">
        <v>1649</v>
      </c>
      <c r="AS30" s="321" t="s">
        <v>1649</v>
      </c>
      <c r="AT30" s="321" t="s">
        <v>1649</v>
      </c>
      <c r="AU30" s="301" t="s">
        <v>1613</v>
      </c>
    </row>
    <row r="31" spans="1:47" ht="13.5" thickBot="1" x14ac:dyDescent="0.25">
      <c r="A31" s="48" t="s">
        <v>314</v>
      </c>
      <c r="B31" s="291" t="s">
        <v>313</v>
      </c>
      <c r="C31" s="298" t="s">
        <v>34</v>
      </c>
      <c r="D31" s="299" t="s">
        <v>1613</v>
      </c>
      <c r="E31" s="299" t="s">
        <v>1613</v>
      </c>
      <c r="F31" s="299" t="s">
        <v>1613</v>
      </c>
      <c r="G31" s="299" t="s">
        <v>1613</v>
      </c>
      <c r="H31" s="299" t="s">
        <v>1613</v>
      </c>
      <c r="I31" s="299" t="s">
        <v>1613</v>
      </c>
      <c r="J31" s="302">
        <v>40</v>
      </c>
      <c r="K31" s="303">
        <v>24960</v>
      </c>
      <c r="L31" s="303">
        <v>37960</v>
      </c>
      <c r="M31" s="299" t="s">
        <v>1613</v>
      </c>
      <c r="N31" s="299" t="s">
        <v>1613</v>
      </c>
      <c r="O31" s="299" t="s">
        <v>1613</v>
      </c>
      <c r="P31" s="299" t="s">
        <v>1613</v>
      </c>
      <c r="Q31" s="299" t="s">
        <v>1613</v>
      </c>
      <c r="R31" s="299" t="s">
        <v>1613</v>
      </c>
      <c r="S31" s="302">
        <v>2</v>
      </c>
      <c r="T31" s="303">
        <v>1200</v>
      </c>
      <c r="U31" s="303">
        <v>1920</v>
      </c>
      <c r="V31" s="321" t="s">
        <v>1648</v>
      </c>
      <c r="W31" s="321" t="s">
        <v>1649</v>
      </c>
      <c r="X31" s="321" t="s">
        <v>1649</v>
      </c>
      <c r="Y31" s="321" t="s">
        <v>1649</v>
      </c>
      <c r="Z31" s="321" t="s">
        <v>1649</v>
      </c>
      <c r="AA31" s="321" t="s">
        <v>1648</v>
      </c>
      <c r="AB31" s="321" t="s">
        <v>1648</v>
      </c>
      <c r="AC31" s="321" t="s">
        <v>1648</v>
      </c>
      <c r="AD31" s="321" t="s">
        <v>1648</v>
      </c>
      <c r="AE31" s="321" t="s">
        <v>1649</v>
      </c>
      <c r="AF31" s="321" t="s">
        <v>1648</v>
      </c>
      <c r="AG31" s="321" t="s">
        <v>1649</v>
      </c>
      <c r="AH31" s="300" t="s">
        <v>1613</v>
      </c>
      <c r="AI31" s="321" t="s">
        <v>1649</v>
      </c>
      <c r="AJ31" s="321" t="s">
        <v>1649</v>
      </c>
      <c r="AK31" s="321" t="s">
        <v>1649</v>
      </c>
      <c r="AL31" s="321" t="s">
        <v>1649</v>
      </c>
      <c r="AM31" s="321" t="s">
        <v>1649</v>
      </c>
      <c r="AN31" s="321" t="s">
        <v>1649</v>
      </c>
      <c r="AO31" s="321" t="s">
        <v>1649</v>
      </c>
      <c r="AP31" s="321" t="s">
        <v>1649</v>
      </c>
      <c r="AQ31" s="321" t="s">
        <v>1649</v>
      </c>
      <c r="AR31" s="321" t="s">
        <v>1649</v>
      </c>
      <c r="AS31" s="321" t="s">
        <v>1649</v>
      </c>
      <c r="AT31" s="321" t="s">
        <v>1649</v>
      </c>
      <c r="AU31" s="301" t="s">
        <v>1613</v>
      </c>
    </row>
    <row r="32" spans="1:47" ht="13.5" thickBot="1" x14ac:dyDescent="0.25">
      <c r="A32" s="48" t="s">
        <v>316</v>
      </c>
      <c r="B32" s="291" t="s">
        <v>315</v>
      </c>
      <c r="C32" s="298" t="s">
        <v>34</v>
      </c>
      <c r="D32" s="304"/>
      <c r="E32" s="305"/>
      <c r="F32" s="305"/>
      <c r="G32" s="304"/>
      <c r="H32" s="305"/>
      <c r="I32" s="305"/>
      <c r="J32" s="304"/>
      <c r="K32" s="305"/>
      <c r="L32" s="305"/>
      <c r="M32" s="304"/>
      <c r="N32" s="303">
        <v>5200</v>
      </c>
      <c r="O32" s="303">
        <v>6240</v>
      </c>
      <c r="P32" s="304"/>
      <c r="Q32" s="305"/>
      <c r="R32" s="305"/>
      <c r="S32" s="304"/>
      <c r="T32" s="305"/>
      <c r="U32" s="305"/>
      <c r="V32" s="321" t="s">
        <v>1649</v>
      </c>
      <c r="W32" s="321" t="s">
        <v>1649</v>
      </c>
      <c r="X32" s="321" t="s">
        <v>1649</v>
      </c>
      <c r="Y32" s="321" t="s">
        <v>1649</v>
      </c>
      <c r="Z32" s="321" t="s">
        <v>1649</v>
      </c>
      <c r="AA32" s="321" t="s">
        <v>1649</v>
      </c>
      <c r="AB32" s="321" t="s">
        <v>1649</v>
      </c>
      <c r="AC32" s="321" t="s">
        <v>1649</v>
      </c>
      <c r="AD32" s="321" t="s">
        <v>1649</v>
      </c>
      <c r="AE32" s="321" t="s">
        <v>1649</v>
      </c>
      <c r="AF32" s="321" t="s">
        <v>1649</v>
      </c>
      <c r="AG32" s="321" t="s">
        <v>1649</v>
      </c>
      <c r="AH32" s="300" t="s">
        <v>1613</v>
      </c>
      <c r="AI32" s="321" t="s">
        <v>1649</v>
      </c>
      <c r="AJ32" s="321" t="s">
        <v>1649</v>
      </c>
      <c r="AK32" s="321" t="s">
        <v>1649</v>
      </c>
      <c r="AL32" s="321" t="s">
        <v>1649</v>
      </c>
      <c r="AM32" s="321" t="s">
        <v>1649</v>
      </c>
      <c r="AN32" s="321" t="s">
        <v>1649</v>
      </c>
      <c r="AO32" s="321" t="s">
        <v>1649</v>
      </c>
      <c r="AP32" s="321" t="s">
        <v>1648</v>
      </c>
      <c r="AQ32" s="321" t="s">
        <v>1649</v>
      </c>
      <c r="AR32" s="321" t="s">
        <v>1649</v>
      </c>
      <c r="AS32" s="321" t="s">
        <v>1649</v>
      </c>
      <c r="AT32" s="321" t="s">
        <v>1649</v>
      </c>
      <c r="AU32" s="301"/>
    </row>
    <row r="33" spans="1:47" ht="13.5" thickBot="1" x14ac:dyDescent="0.25">
      <c r="A33" s="48" t="s">
        <v>364</v>
      </c>
      <c r="B33" s="291" t="s">
        <v>363</v>
      </c>
      <c r="C33" s="298" t="s">
        <v>34</v>
      </c>
      <c r="D33" s="302">
        <v>40</v>
      </c>
      <c r="E33" s="303">
        <v>19240</v>
      </c>
      <c r="F33" s="303">
        <v>29500</v>
      </c>
      <c r="G33" s="299" t="s">
        <v>1613</v>
      </c>
      <c r="H33" s="299" t="s">
        <v>1613</v>
      </c>
      <c r="I33" s="299" t="s">
        <v>1613</v>
      </c>
      <c r="J33" s="299" t="s">
        <v>1613</v>
      </c>
      <c r="K33" s="299" t="s">
        <v>1613</v>
      </c>
      <c r="L33" s="299" t="s">
        <v>1613</v>
      </c>
      <c r="M33" s="299" t="s">
        <v>1613</v>
      </c>
      <c r="N33" s="299" t="s">
        <v>1613</v>
      </c>
      <c r="O33" s="299" t="s">
        <v>1613</v>
      </c>
      <c r="P33" s="299" t="s">
        <v>1613</v>
      </c>
      <c r="Q33" s="299" t="s">
        <v>1613</v>
      </c>
      <c r="R33" s="299" t="s">
        <v>1613</v>
      </c>
      <c r="S33" s="302">
        <v>10</v>
      </c>
      <c r="T33" s="303">
        <v>4914</v>
      </c>
      <c r="U33" s="303">
        <v>8400</v>
      </c>
      <c r="V33" s="321" t="s">
        <v>1648</v>
      </c>
      <c r="W33" s="321" t="s">
        <v>1648</v>
      </c>
      <c r="X33" s="321" t="s">
        <v>1648</v>
      </c>
      <c r="Y33" s="321" t="s">
        <v>1648</v>
      </c>
      <c r="Z33" s="321" t="s">
        <v>1648</v>
      </c>
      <c r="AA33" s="321" t="s">
        <v>1648</v>
      </c>
      <c r="AB33" s="321" t="s">
        <v>1648</v>
      </c>
      <c r="AC33" s="321" t="s">
        <v>1648</v>
      </c>
      <c r="AD33" s="321" t="s">
        <v>1649</v>
      </c>
      <c r="AE33" s="321" t="s">
        <v>1648</v>
      </c>
      <c r="AF33" s="321" t="s">
        <v>1648</v>
      </c>
      <c r="AG33" s="321" t="s">
        <v>1648</v>
      </c>
      <c r="AH33" s="300" t="s">
        <v>1613</v>
      </c>
      <c r="AI33" s="321" t="s">
        <v>1649</v>
      </c>
      <c r="AJ33" s="321" t="s">
        <v>1649</v>
      </c>
      <c r="AK33" s="321" t="s">
        <v>1649</v>
      </c>
      <c r="AL33" s="321" t="s">
        <v>1649</v>
      </c>
      <c r="AM33" s="321" t="s">
        <v>1649</v>
      </c>
      <c r="AN33" s="321" t="s">
        <v>1649</v>
      </c>
      <c r="AO33" s="321" t="s">
        <v>1649</v>
      </c>
      <c r="AP33" s="321" t="s">
        <v>1649</v>
      </c>
      <c r="AQ33" s="321" t="s">
        <v>1649</v>
      </c>
      <c r="AR33" s="321" t="s">
        <v>1649</v>
      </c>
      <c r="AS33" s="321" t="s">
        <v>1649</v>
      </c>
      <c r="AT33" s="321" t="s">
        <v>1649</v>
      </c>
      <c r="AU33" s="301" t="s">
        <v>1613</v>
      </c>
    </row>
    <row r="34" spans="1:47" ht="13.5" thickBot="1" x14ac:dyDescent="0.25">
      <c r="A34" s="48" t="s">
        <v>380</v>
      </c>
      <c r="B34" s="291" t="s">
        <v>379</v>
      </c>
      <c r="C34" s="298" t="s">
        <v>34</v>
      </c>
      <c r="D34" s="299" t="s">
        <v>1613</v>
      </c>
      <c r="E34" s="299" t="s">
        <v>1613</v>
      </c>
      <c r="F34" s="299" t="s">
        <v>1613</v>
      </c>
      <c r="G34" s="299" t="s">
        <v>1613</v>
      </c>
      <c r="H34" s="299" t="s">
        <v>1613</v>
      </c>
      <c r="I34" s="299" t="s">
        <v>1613</v>
      </c>
      <c r="J34" s="299" t="s">
        <v>1613</v>
      </c>
      <c r="K34" s="299" t="s">
        <v>1613</v>
      </c>
      <c r="L34" s="299" t="s">
        <v>1613</v>
      </c>
      <c r="M34" s="299" t="s">
        <v>1613</v>
      </c>
      <c r="N34" s="299" t="s">
        <v>1613</v>
      </c>
      <c r="O34" s="299" t="s">
        <v>1613</v>
      </c>
      <c r="P34" s="299" t="s">
        <v>1613</v>
      </c>
      <c r="Q34" s="299" t="s">
        <v>1613</v>
      </c>
      <c r="R34" s="299" t="s">
        <v>1613</v>
      </c>
      <c r="S34" s="302">
        <v>17</v>
      </c>
      <c r="T34" s="303">
        <v>8840</v>
      </c>
      <c r="U34" s="303">
        <v>10608</v>
      </c>
      <c r="V34" s="321" t="s">
        <v>1649</v>
      </c>
      <c r="W34" s="321" t="s">
        <v>1649</v>
      </c>
      <c r="X34" s="321" t="s">
        <v>1649</v>
      </c>
      <c r="Y34" s="321" t="s">
        <v>1649</v>
      </c>
      <c r="Z34" s="321" t="s">
        <v>1649</v>
      </c>
      <c r="AA34" s="321" t="s">
        <v>1649</v>
      </c>
      <c r="AB34" s="321" t="s">
        <v>1648</v>
      </c>
      <c r="AC34" s="321" t="s">
        <v>1648</v>
      </c>
      <c r="AD34" s="321" t="s">
        <v>1649</v>
      </c>
      <c r="AE34" s="321" t="s">
        <v>1649</v>
      </c>
      <c r="AF34" s="321" t="s">
        <v>1649</v>
      </c>
      <c r="AG34" s="321" t="s">
        <v>1649</v>
      </c>
      <c r="AH34" s="300"/>
      <c r="AI34" s="321" t="s">
        <v>1649</v>
      </c>
      <c r="AJ34" s="321" t="s">
        <v>1649</v>
      </c>
      <c r="AK34" s="321" t="s">
        <v>1649</v>
      </c>
      <c r="AL34" s="321" t="s">
        <v>1649</v>
      </c>
      <c r="AM34" s="321" t="s">
        <v>1649</v>
      </c>
      <c r="AN34" s="321" t="s">
        <v>1649</v>
      </c>
      <c r="AO34" s="321" t="s">
        <v>1648</v>
      </c>
      <c r="AP34" s="321" t="s">
        <v>1648</v>
      </c>
      <c r="AQ34" s="321" t="s">
        <v>1649</v>
      </c>
      <c r="AR34" s="321" t="s">
        <v>1649</v>
      </c>
      <c r="AS34" s="321" t="s">
        <v>1649</v>
      </c>
      <c r="AT34" s="321" t="s">
        <v>1649</v>
      </c>
      <c r="AU34" s="301"/>
    </row>
    <row r="35" spans="1:47" ht="13.5" thickBot="1" x14ac:dyDescent="0.25">
      <c r="A35" s="48" t="s">
        <v>412</v>
      </c>
      <c r="B35" s="291" t="s">
        <v>411</v>
      </c>
      <c r="C35" s="298" t="s">
        <v>34</v>
      </c>
      <c r="D35" s="299" t="s">
        <v>1613</v>
      </c>
      <c r="E35" s="299" t="s">
        <v>1613</v>
      </c>
      <c r="F35" s="299" t="s">
        <v>1613</v>
      </c>
      <c r="G35" s="299" t="s">
        <v>1613</v>
      </c>
      <c r="H35" s="299" t="s">
        <v>1613</v>
      </c>
      <c r="I35" s="299" t="s">
        <v>1613</v>
      </c>
      <c r="J35" s="299" t="s">
        <v>1613</v>
      </c>
      <c r="K35" s="299" t="s">
        <v>1613</v>
      </c>
      <c r="L35" s="299" t="s">
        <v>1613</v>
      </c>
      <c r="M35" s="299" t="s">
        <v>1613</v>
      </c>
      <c r="N35" s="299" t="s">
        <v>1613</v>
      </c>
      <c r="O35" s="299" t="s">
        <v>1613</v>
      </c>
      <c r="P35" s="299" t="s">
        <v>1613</v>
      </c>
      <c r="Q35" s="299" t="s">
        <v>1613</v>
      </c>
      <c r="R35" s="299" t="s">
        <v>1613</v>
      </c>
      <c r="S35" s="302">
        <v>20</v>
      </c>
      <c r="T35" s="303">
        <v>15000</v>
      </c>
      <c r="U35" s="303">
        <v>25000</v>
      </c>
      <c r="V35" s="321" t="s">
        <v>1649</v>
      </c>
      <c r="W35" s="321" t="s">
        <v>1649</v>
      </c>
      <c r="X35" s="321" t="s">
        <v>1649</v>
      </c>
      <c r="Y35" s="321" t="s">
        <v>1649</v>
      </c>
      <c r="Z35" s="321" t="s">
        <v>1649</v>
      </c>
      <c r="AA35" s="321" t="s">
        <v>1649</v>
      </c>
      <c r="AB35" s="321" t="s">
        <v>1649</v>
      </c>
      <c r="AC35" s="321" t="s">
        <v>1649</v>
      </c>
      <c r="AD35" s="321" t="s">
        <v>1649</v>
      </c>
      <c r="AE35" s="321" t="s">
        <v>1649</v>
      </c>
      <c r="AF35" s="321" t="s">
        <v>1649</v>
      </c>
      <c r="AG35" s="321" t="s">
        <v>1649</v>
      </c>
      <c r="AH35" s="300" t="s">
        <v>1613</v>
      </c>
      <c r="AI35" s="321" t="s">
        <v>1649</v>
      </c>
      <c r="AJ35" s="321" t="s">
        <v>1649</v>
      </c>
      <c r="AK35" s="321" t="s">
        <v>1649</v>
      </c>
      <c r="AL35" s="321" t="s">
        <v>1649</v>
      </c>
      <c r="AM35" s="321" t="s">
        <v>1649</v>
      </c>
      <c r="AN35" s="321" t="s">
        <v>1649</v>
      </c>
      <c r="AO35" s="321" t="s">
        <v>1649</v>
      </c>
      <c r="AP35" s="321" t="s">
        <v>1649</v>
      </c>
      <c r="AQ35" s="321" t="s">
        <v>1649</v>
      </c>
      <c r="AR35" s="321" t="s">
        <v>1649</v>
      </c>
      <c r="AS35" s="321" t="s">
        <v>1649</v>
      </c>
      <c r="AT35" s="321" t="s">
        <v>1649</v>
      </c>
      <c r="AU35" s="301" t="s">
        <v>1613</v>
      </c>
    </row>
    <row r="36" spans="1:47" ht="13.5" thickBot="1" x14ac:dyDescent="0.25">
      <c r="A36" s="48" t="s">
        <v>419</v>
      </c>
      <c r="B36" s="291" t="s">
        <v>418</v>
      </c>
      <c r="C36" s="298" t="s">
        <v>34</v>
      </c>
      <c r="D36" s="304"/>
      <c r="E36" s="305"/>
      <c r="F36" s="305"/>
      <c r="G36" s="304"/>
      <c r="H36" s="305"/>
      <c r="I36" s="305"/>
      <c r="J36" s="304"/>
      <c r="K36" s="305"/>
      <c r="L36" s="305"/>
      <c r="M36" s="304"/>
      <c r="N36" s="305"/>
      <c r="O36" s="305"/>
      <c r="P36" s="302">
        <v>1</v>
      </c>
      <c r="Q36" s="303">
        <v>500</v>
      </c>
      <c r="R36" s="303">
        <v>1040</v>
      </c>
      <c r="S36" s="304"/>
      <c r="T36" s="305"/>
      <c r="U36" s="305"/>
      <c r="V36" s="321" t="s">
        <v>1649</v>
      </c>
      <c r="W36" s="321" t="s">
        <v>1649</v>
      </c>
      <c r="X36" s="321" t="s">
        <v>1649</v>
      </c>
      <c r="Y36" s="321" t="s">
        <v>1649</v>
      </c>
      <c r="Z36" s="321" t="s">
        <v>1649</v>
      </c>
      <c r="AA36" s="321" t="s">
        <v>1649</v>
      </c>
      <c r="AB36" s="321" t="s">
        <v>1649</v>
      </c>
      <c r="AC36" s="321" t="s">
        <v>1649</v>
      </c>
      <c r="AD36" s="321" t="s">
        <v>1649</v>
      </c>
      <c r="AE36" s="321" t="s">
        <v>1649</v>
      </c>
      <c r="AF36" s="321" t="s">
        <v>1649</v>
      </c>
      <c r="AG36" s="321" t="s">
        <v>1649</v>
      </c>
      <c r="AH36" s="300"/>
      <c r="AI36" s="321" t="s">
        <v>1649</v>
      </c>
      <c r="AJ36" s="321" t="s">
        <v>1649</v>
      </c>
      <c r="AK36" s="321" t="s">
        <v>1649</v>
      </c>
      <c r="AL36" s="321" t="s">
        <v>1649</v>
      </c>
      <c r="AM36" s="321" t="s">
        <v>1649</v>
      </c>
      <c r="AN36" s="321" t="s">
        <v>1649</v>
      </c>
      <c r="AO36" s="321" t="s">
        <v>1649</v>
      </c>
      <c r="AP36" s="321" t="s">
        <v>1649</v>
      </c>
      <c r="AQ36" s="321" t="s">
        <v>1649</v>
      </c>
      <c r="AR36" s="321" t="s">
        <v>1649</v>
      </c>
      <c r="AS36" s="321" t="s">
        <v>1649</v>
      </c>
      <c r="AT36" s="321" t="s">
        <v>1649</v>
      </c>
      <c r="AU36" s="301"/>
    </row>
    <row r="37" spans="1:47" ht="13.5" thickBot="1" x14ac:dyDescent="0.25">
      <c r="A37" s="48" t="s">
        <v>421</v>
      </c>
      <c r="B37" s="291" t="s">
        <v>420</v>
      </c>
      <c r="C37" s="298" t="s">
        <v>34</v>
      </c>
      <c r="D37" s="302">
        <v>20</v>
      </c>
      <c r="E37" s="303">
        <v>9744</v>
      </c>
      <c r="F37" s="303">
        <v>10032</v>
      </c>
      <c r="G37" s="304"/>
      <c r="H37" s="305"/>
      <c r="I37" s="305"/>
      <c r="J37" s="304"/>
      <c r="K37" s="305"/>
      <c r="L37" s="305"/>
      <c r="M37" s="302">
        <v>15</v>
      </c>
      <c r="N37" s="303">
        <v>7149</v>
      </c>
      <c r="O37" s="303">
        <v>7221</v>
      </c>
      <c r="P37" s="304"/>
      <c r="Q37" s="305"/>
      <c r="R37" s="305"/>
      <c r="S37" s="302">
        <v>20</v>
      </c>
      <c r="T37" s="303">
        <v>9984</v>
      </c>
      <c r="U37" s="303">
        <v>12732</v>
      </c>
      <c r="V37" s="321" t="s">
        <v>1649</v>
      </c>
      <c r="W37" s="321" t="s">
        <v>1649</v>
      </c>
      <c r="X37" s="321" t="s">
        <v>1649</v>
      </c>
      <c r="Y37" s="321" t="s">
        <v>1649</v>
      </c>
      <c r="Z37" s="321" t="s">
        <v>1649</v>
      </c>
      <c r="AA37" s="321" t="s">
        <v>1649</v>
      </c>
      <c r="AB37" s="321" t="s">
        <v>1649</v>
      </c>
      <c r="AC37" s="321" t="s">
        <v>1649</v>
      </c>
      <c r="AD37" s="321" t="s">
        <v>1649</v>
      </c>
      <c r="AE37" s="321" t="s">
        <v>1649</v>
      </c>
      <c r="AF37" s="321" t="s">
        <v>1649</v>
      </c>
      <c r="AG37" s="321" t="s">
        <v>1649</v>
      </c>
      <c r="AH37" s="300" t="s">
        <v>1613</v>
      </c>
      <c r="AI37" s="321" t="s">
        <v>1649</v>
      </c>
      <c r="AJ37" s="321" t="s">
        <v>1649</v>
      </c>
      <c r="AK37" s="321" t="s">
        <v>1649</v>
      </c>
      <c r="AL37" s="321" t="s">
        <v>1649</v>
      </c>
      <c r="AM37" s="321" t="s">
        <v>1649</v>
      </c>
      <c r="AN37" s="321" t="s">
        <v>1649</v>
      </c>
      <c r="AO37" s="321" t="s">
        <v>1649</v>
      </c>
      <c r="AP37" s="321" t="s">
        <v>1649</v>
      </c>
      <c r="AQ37" s="321" t="s">
        <v>1649</v>
      </c>
      <c r="AR37" s="321" t="s">
        <v>1649</v>
      </c>
      <c r="AS37" s="321" t="s">
        <v>1649</v>
      </c>
      <c r="AT37" s="321" t="s">
        <v>1649</v>
      </c>
      <c r="AU37" s="301" t="s">
        <v>1613</v>
      </c>
    </row>
    <row r="38" spans="1:47" ht="13.5" thickBot="1" x14ac:dyDescent="0.25">
      <c r="A38" s="48" t="s">
        <v>425</v>
      </c>
      <c r="B38" s="291" t="s">
        <v>424</v>
      </c>
      <c r="C38" s="298" t="s">
        <v>34</v>
      </c>
      <c r="D38" s="299" t="s">
        <v>1613</v>
      </c>
      <c r="E38" s="299" t="s">
        <v>1613</v>
      </c>
      <c r="F38" s="299" t="s">
        <v>1613</v>
      </c>
      <c r="G38" s="299" t="s">
        <v>1613</v>
      </c>
      <c r="H38" s="299" t="s">
        <v>1613</v>
      </c>
      <c r="I38" s="299" t="s">
        <v>1613</v>
      </c>
      <c r="J38" s="299" t="s">
        <v>1613</v>
      </c>
      <c r="K38" s="299" t="s">
        <v>1613</v>
      </c>
      <c r="L38" s="299" t="s">
        <v>1613</v>
      </c>
      <c r="M38" s="299" t="s">
        <v>1613</v>
      </c>
      <c r="N38" s="299" t="s">
        <v>1613</v>
      </c>
      <c r="O38" s="299" t="s">
        <v>1613</v>
      </c>
      <c r="P38" s="299" t="s">
        <v>1613</v>
      </c>
      <c r="Q38" s="299" t="s">
        <v>1613</v>
      </c>
      <c r="R38" s="299" t="s">
        <v>1613</v>
      </c>
      <c r="S38" s="299" t="s">
        <v>1613</v>
      </c>
      <c r="T38" s="299" t="s">
        <v>1613</v>
      </c>
      <c r="U38" s="299" t="s">
        <v>1613</v>
      </c>
      <c r="V38" s="321" t="s">
        <v>1648</v>
      </c>
      <c r="W38" s="321" t="s">
        <v>1648</v>
      </c>
      <c r="X38" s="321" t="s">
        <v>1649</v>
      </c>
      <c r="Y38" s="321" t="s">
        <v>1649</v>
      </c>
      <c r="Z38" s="321" t="s">
        <v>1648</v>
      </c>
      <c r="AA38" s="321" t="s">
        <v>1649</v>
      </c>
      <c r="AB38" s="321" t="s">
        <v>1649</v>
      </c>
      <c r="AC38" s="321" t="s">
        <v>1649</v>
      </c>
      <c r="AD38" s="321" t="s">
        <v>1649</v>
      </c>
      <c r="AE38" s="321" t="s">
        <v>1649</v>
      </c>
      <c r="AF38" s="321" t="s">
        <v>1649</v>
      </c>
      <c r="AG38" s="321" t="s">
        <v>1649</v>
      </c>
      <c r="AH38" s="165" t="s">
        <v>3658</v>
      </c>
      <c r="AI38" s="321" t="s">
        <v>1648</v>
      </c>
      <c r="AJ38" s="321" t="s">
        <v>1648</v>
      </c>
      <c r="AK38" s="321" t="s">
        <v>1649</v>
      </c>
      <c r="AL38" s="321" t="s">
        <v>1649</v>
      </c>
      <c r="AM38" s="321" t="s">
        <v>1648</v>
      </c>
      <c r="AN38" s="321" t="s">
        <v>1649</v>
      </c>
      <c r="AO38" s="321" t="s">
        <v>1649</v>
      </c>
      <c r="AP38" s="321" t="s">
        <v>1649</v>
      </c>
      <c r="AQ38" s="321" t="s">
        <v>1649</v>
      </c>
      <c r="AR38" s="321" t="s">
        <v>1649</v>
      </c>
      <c r="AS38" s="321" t="s">
        <v>1649</v>
      </c>
      <c r="AT38" s="321" t="s">
        <v>1649</v>
      </c>
      <c r="AU38" s="307" t="s">
        <v>3570</v>
      </c>
    </row>
    <row r="39" spans="1:47" ht="13.5" thickBot="1" x14ac:dyDescent="0.25">
      <c r="A39" s="48" t="s">
        <v>435</v>
      </c>
      <c r="B39" s="291" t="s">
        <v>434</v>
      </c>
      <c r="C39" s="298" t="s">
        <v>34</v>
      </c>
      <c r="D39" s="302">
        <v>8</v>
      </c>
      <c r="E39" s="303">
        <v>0</v>
      </c>
      <c r="F39" s="303">
        <v>4804</v>
      </c>
      <c r="G39" s="299" t="s">
        <v>1613</v>
      </c>
      <c r="H39" s="299" t="s">
        <v>1613</v>
      </c>
      <c r="I39" s="299" t="s">
        <v>1613</v>
      </c>
      <c r="J39" s="299" t="s">
        <v>1613</v>
      </c>
      <c r="K39" s="299" t="s">
        <v>1613</v>
      </c>
      <c r="L39" s="299" t="s">
        <v>1613</v>
      </c>
      <c r="M39" s="299" t="s">
        <v>1613</v>
      </c>
      <c r="N39" s="299" t="s">
        <v>1613</v>
      </c>
      <c r="O39" s="299" t="s">
        <v>1613</v>
      </c>
      <c r="P39" s="299" t="s">
        <v>1613</v>
      </c>
      <c r="Q39" s="299" t="s">
        <v>1613</v>
      </c>
      <c r="R39" s="299" t="s">
        <v>1613</v>
      </c>
      <c r="S39" s="299" t="s">
        <v>1613</v>
      </c>
      <c r="T39" s="299" t="s">
        <v>1613</v>
      </c>
      <c r="U39" s="299" t="s">
        <v>1613</v>
      </c>
      <c r="V39" s="321" t="s">
        <v>1649</v>
      </c>
      <c r="W39" s="321" t="s">
        <v>1649</v>
      </c>
      <c r="X39" s="321" t="s">
        <v>1649</v>
      </c>
      <c r="Y39" s="321" t="s">
        <v>1649</v>
      </c>
      <c r="Z39" s="321" t="s">
        <v>1649</v>
      </c>
      <c r="AA39" s="321" t="s">
        <v>1649</v>
      </c>
      <c r="AB39" s="321" t="s">
        <v>1649</v>
      </c>
      <c r="AC39" s="321" t="s">
        <v>1649</v>
      </c>
      <c r="AD39" s="321" t="s">
        <v>1649</v>
      </c>
      <c r="AE39" s="321" t="s">
        <v>1649</v>
      </c>
      <c r="AF39" s="321" t="s">
        <v>1649</v>
      </c>
      <c r="AG39" s="321" t="s">
        <v>1649</v>
      </c>
      <c r="AH39" s="300" t="s">
        <v>1613</v>
      </c>
      <c r="AI39" s="321" t="s">
        <v>1649</v>
      </c>
      <c r="AJ39" s="321" t="s">
        <v>1649</v>
      </c>
      <c r="AK39" s="321" t="s">
        <v>1649</v>
      </c>
      <c r="AL39" s="321" t="s">
        <v>1649</v>
      </c>
      <c r="AM39" s="321" t="s">
        <v>1649</v>
      </c>
      <c r="AN39" s="321" t="s">
        <v>1649</v>
      </c>
      <c r="AO39" s="321" t="s">
        <v>1649</v>
      </c>
      <c r="AP39" s="321" t="s">
        <v>1649</v>
      </c>
      <c r="AQ39" s="321" t="s">
        <v>1649</v>
      </c>
      <c r="AR39" s="321" t="s">
        <v>1649</v>
      </c>
      <c r="AS39" s="321" t="s">
        <v>1649</v>
      </c>
      <c r="AT39" s="321" t="s">
        <v>1649</v>
      </c>
      <c r="AU39" s="301" t="s">
        <v>1613</v>
      </c>
    </row>
    <row r="40" spans="1:47" ht="13.5" thickBot="1" x14ac:dyDescent="0.25">
      <c r="A40" s="48" t="s">
        <v>441</v>
      </c>
      <c r="B40" s="291" t="s">
        <v>440</v>
      </c>
      <c r="C40" s="298" t="s">
        <v>34</v>
      </c>
      <c r="D40" s="304"/>
      <c r="E40" s="305"/>
      <c r="F40" s="305"/>
      <c r="G40" s="299" t="s">
        <v>1613</v>
      </c>
      <c r="H40" s="299" t="s">
        <v>1613</v>
      </c>
      <c r="I40" s="299" t="s">
        <v>1613</v>
      </c>
      <c r="J40" s="299" t="s">
        <v>1613</v>
      </c>
      <c r="K40" s="299" t="s">
        <v>1613</v>
      </c>
      <c r="L40" s="299" t="s">
        <v>1613</v>
      </c>
      <c r="M40" s="302">
        <v>24</v>
      </c>
      <c r="N40" s="303">
        <v>3326</v>
      </c>
      <c r="O40" s="303">
        <v>3326</v>
      </c>
      <c r="P40" s="299" t="s">
        <v>1613</v>
      </c>
      <c r="Q40" s="299" t="s">
        <v>1613</v>
      </c>
      <c r="R40" s="299" t="s">
        <v>1613</v>
      </c>
      <c r="S40" s="302">
        <v>4</v>
      </c>
      <c r="T40" s="303">
        <v>2007</v>
      </c>
      <c r="U40" s="303">
        <v>2007</v>
      </c>
      <c r="V40" s="321" t="s">
        <v>1649</v>
      </c>
      <c r="W40" s="321" t="s">
        <v>1649</v>
      </c>
      <c r="X40" s="321" t="s">
        <v>1649</v>
      </c>
      <c r="Y40" s="321" t="s">
        <v>1649</v>
      </c>
      <c r="Z40" s="321" t="s">
        <v>1649</v>
      </c>
      <c r="AA40" s="321" t="s">
        <v>1649</v>
      </c>
      <c r="AB40" s="321" t="s">
        <v>1648</v>
      </c>
      <c r="AC40" s="321" t="s">
        <v>1649</v>
      </c>
      <c r="AD40" s="321" t="s">
        <v>1649</v>
      </c>
      <c r="AE40" s="321" t="s">
        <v>1649</v>
      </c>
      <c r="AF40" s="321" t="s">
        <v>1649</v>
      </c>
      <c r="AG40" s="321" t="s">
        <v>1649</v>
      </c>
      <c r="AH40" s="300"/>
      <c r="AI40" s="321" t="s">
        <v>1649</v>
      </c>
      <c r="AJ40" s="321" t="s">
        <v>1649</v>
      </c>
      <c r="AK40" s="321" t="s">
        <v>1649</v>
      </c>
      <c r="AL40" s="321" t="s">
        <v>1649</v>
      </c>
      <c r="AM40" s="321" t="s">
        <v>1649</v>
      </c>
      <c r="AN40" s="321" t="s">
        <v>1649</v>
      </c>
      <c r="AO40" s="321" t="s">
        <v>1649</v>
      </c>
      <c r="AP40" s="321" t="s">
        <v>1649</v>
      </c>
      <c r="AQ40" s="321" t="s">
        <v>1649</v>
      </c>
      <c r="AR40" s="321" t="s">
        <v>1649</v>
      </c>
      <c r="AS40" s="321" t="s">
        <v>1649</v>
      </c>
      <c r="AT40" s="321" t="s">
        <v>1649</v>
      </c>
      <c r="AU40" s="301"/>
    </row>
    <row r="41" spans="1:47" ht="13.5" thickBot="1" x14ac:dyDescent="0.25">
      <c r="A41" s="48" t="s">
        <v>454</v>
      </c>
      <c r="B41" s="291" t="s">
        <v>453</v>
      </c>
      <c r="C41" s="298" t="s">
        <v>34</v>
      </c>
      <c r="D41" s="304"/>
      <c r="E41" s="305"/>
      <c r="F41" s="305"/>
      <c r="G41" s="304"/>
      <c r="H41" s="305"/>
      <c r="I41" s="305"/>
      <c r="J41" s="304"/>
      <c r="K41" s="305"/>
      <c r="L41" s="305"/>
      <c r="M41" s="304"/>
      <c r="N41" s="305"/>
      <c r="O41" s="305"/>
      <c r="P41" s="304"/>
      <c r="Q41" s="305"/>
      <c r="R41" s="305"/>
      <c r="S41" s="302">
        <v>26</v>
      </c>
      <c r="T41" s="303">
        <v>13260</v>
      </c>
      <c r="U41" s="303">
        <v>14586</v>
      </c>
      <c r="V41" s="321" t="s">
        <v>1649</v>
      </c>
      <c r="W41" s="321" t="s">
        <v>1649</v>
      </c>
      <c r="X41" s="321" t="s">
        <v>1649</v>
      </c>
      <c r="Y41" s="321" t="s">
        <v>1649</v>
      </c>
      <c r="Z41" s="321" t="s">
        <v>1649</v>
      </c>
      <c r="AA41" s="321" t="s">
        <v>1649</v>
      </c>
      <c r="AB41" s="321" t="s">
        <v>1649</v>
      </c>
      <c r="AC41" s="321" t="s">
        <v>1649</v>
      </c>
      <c r="AD41" s="321" t="s">
        <v>1649</v>
      </c>
      <c r="AE41" s="321" t="s">
        <v>1649</v>
      </c>
      <c r="AF41" s="321" t="s">
        <v>1649</v>
      </c>
      <c r="AG41" s="321" t="s">
        <v>1649</v>
      </c>
      <c r="AH41" s="300" t="s">
        <v>1613</v>
      </c>
      <c r="AI41" s="321" t="s">
        <v>1649</v>
      </c>
      <c r="AJ41" s="321" t="s">
        <v>1649</v>
      </c>
      <c r="AK41" s="321" t="s">
        <v>1649</v>
      </c>
      <c r="AL41" s="321" t="s">
        <v>1649</v>
      </c>
      <c r="AM41" s="321" t="s">
        <v>1649</v>
      </c>
      <c r="AN41" s="321" t="s">
        <v>1649</v>
      </c>
      <c r="AO41" s="321" t="s">
        <v>1649</v>
      </c>
      <c r="AP41" s="321" t="s">
        <v>1649</v>
      </c>
      <c r="AQ41" s="321" t="s">
        <v>1649</v>
      </c>
      <c r="AR41" s="321" t="s">
        <v>1649</v>
      </c>
      <c r="AS41" s="321" t="s">
        <v>1649</v>
      </c>
      <c r="AT41" s="321" t="s">
        <v>1649</v>
      </c>
      <c r="AU41" s="301" t="s">
        <v>1613</v>
      </c>
    </row>
    <row r="42" spans="1:47" ht="13.5" thickBot="1" x14ac:dyDescent="0.25">
      <c r="A42" s="48" t="s">
        <v>460</v>
      </c>
      <c r="B42" s="291" t="s">
        <v>459</v>
      </c>
      <c r="C42" s="298" t="s">
        <v>34</v>
      </c>
      <c r="D42" s="304"/>
      <c r="E42" s="305"/>
      <c r="F42" s="305"/>
      <c r="G42" s="304"/>
      <c r="H42" s="305"/>
      <c r="I42" s="305"/>
      <c r="J42" s="304"/>
      <c r="K42" s="305"/>
      <c r="L42" s="305"/>
      <c r="M42" s="304"/>
      <c r="N42" s="305"/>
      <c r="O42" s="305"/>
      <c r="P42" s="304"/>
      <c r="Q42" s="305"/>
      <c r="R42" s="305"/>
      <c r="S42" s="304"/>
      <c r="T42" s="305"/>
      <c r="U42" s="305"/>
      <c r="V42" s="321" t="s">
        <v>1649</v>
      </c>
      <c r="W42" s="321" t="s">
        <v>1649</v>
      </c>
      <c r="X42" s="321" t="s">
        <v>1649</v>
      </c>
      <c r="Y42" s="321" t="s">
        <v>1649</v>
      </c>
      <c r="Z42" s="321" t="s">
        <v>1649</v>
      </c>
      <c r="AA42" s="321" t="s">
        <v>1649</v>
      </c>
      <c r="AB42" s="321" t="s">
        <v>1649</v>
      </c>
      <c r="AC42" s="321" t="s">
        <v>1649</v>
      </c>
      <c r="AD42" s="321" t="s">
        <v>1649</v>
      </c>
      <c r="AE42" s="321" t="s">
        <v>1649</v>
      </c>
      <c r="AF42" s="321" t="s">
        <v>1649</v>
      </c>
      <c r="AG42" s="321" t="s">
        <v>1649</v>
      </c>
      <c r="AH42" s="300" t="s">
        <v>1613</v>
      </c>
      <c r="AI42" s="321" t="s">
        <v>1649</v>
      </c>
      <c r="AJ42" s="321" t="s">
        <v>1649</v>
      </c>
      <c r="AK42" s="321" t="s">
        <v>1649</v>
      </c>
      <c r="AL42" s="321" t="s">
        <v>1649</v>
      </c>
      <c r="AM42" s="321" t="s">
        <v>1649</v>
      </c>
      <c r="AN42" s="321" t="s">
        <v>1649</v>
      </c>
      <c r="AO42" s="321" t="s">
        <v>1649</v>
      </c>
      <c r="AP42" s="321" t="s">
        <v>1649</v>
      </c>
      <c r="AQ42" s="321" t="s">
        <v>1649</v>
      </c>
      <c r="AR42" s="321" t="s">
        <v>1649</v>
      </c>
      <c r="AS42" s="321" t="s">
        <v>1649</v>
      </c>
      <c r="AT42" s="321" t="s">
        <v>1649</v>
      </c>
      <c r="AU42" s="301" t="s">
        <v>1613</v>
      </c>
    </row>
    <row r="43" spans="1:47" ht="13.5" thickBot="1" x14ac:dyDescent="0.25">
      <c r="A43" s="48" t="s">
        <v>476</v>
      </c>
      <c r="B43" s="291" t="s">
        <v>475</v>
      </c>
      <c r="C43" s="298" t="s">
        <v>34</v>
      </c>
      <c r="D43" s="299" t="s">
        <v>1613</v>
      </c>
      <c r="E43" s="299" t="s">
        <v>1613</v>
      </c>
      <c r="F43" s="299" t="s">
        <v>1613</v>
      </c>
      <c r="G43" s="299" t="s">
        <v>1613</v>
      </c>
      <c r="H43" s="299" t="s">
        <v>1613</v>
      </c>
      <c r="I43" s="299" t="s">
        <v>1613</v>
      </c>
      <c r="J43" s="302">
        <v>12</v>
      </c>
      <c r="K43" s="303">
        <v>8195</v>
      </c>
      <c r="L43" s="303">
        <v>8195</v>
      </c>
      <c r="M43" s="299" t="s">
        <v>1613</v>
      </c>
      <c r="N43" s="299" t="s">
        <v>1613</v>
      </c>
      <c r="O43" s="299" t="s">
        <v>1613</v>
      </c>
      <c r="P43" s="299" t="s">
        <v>1613</v>
      </c>
      <c r="Q43" s="299" t="s">
        <v>1613</v>
      </c>
      <c r="R43" s="299" t="s">
        <v>1613</v>
      </c>
      <c r="S43" s="299" t="s">
        <v>1613</v>
      </c>
      <c r="T43" s="299" t="s">
        <v>1613</v>
      </c>
      <c r="U43" s="299" t="s">
        <v>1613</v>
      </c>
      <c r="V43" s="321" t="s">
        <v>1649</v>
      </c>
      <c r="W43" s="321" t="s">
        <v>1649</v>
      </c>
      <c r="X43" s="321" t="s">
        <v>1649</v>
      </c>
      <c r="Y43" s="321" t="s">
        <v>1649</v>
      </c>
      <c r="Z43" s="321" t="s">
        <v>1649</v>
      </c>
      <c r="AA43" s="321" t="s">
        <v>1649</v>
      </c>
      <c r="AB43" s="321" t="s">
        <v>1649</v>
      </c>
      <c r="AC43" s="321" t="s">
        <v>1649</v>
      </c>
      <c r="AD43" s="321" t="s">
        <v>1649</v>
      </c>
      <c r="AE43" s="321" t="s">
        <v>1649</v>
      </c>
      <c r="AF43" s="321" t="s">
        <v>1649</v>
      </c>
      <c r="AG43" s="321" t="s">
        <v>1649</v>
      </c>
      <c r="AH43" s="300" t="s">
        <v>1613</v>
      </c>
      <c r="AI43" s="321" t="s">
        <v>1649</v>
      </c>
      <c r="AJ43" s="321" t="s">
        <v>1649</v>
      </c>
      <c r="AK43" s="321" t="s">
        <v>1649</v>
      </c>
      <c r="AL43" s="321" t="s">
        <v>1649</v>
      </c>
      <c r="AM43" s="321" t="s">
        <v>1649</v>
      </c>
      <c r="AN43" s="321" t="s">
        <v>1649</v>
      </c>
      <c r="AO43" s="321" t="s">
        <v>1649</v>
      </c>
      <c r="AP43" s="321" t="s">
        <v>1649</v>
      </c>
      <c r="AQ43" s="321" t="s">
        <v>1649</v>
      </c>
      <c r="AR43" s="321" t="s">
        <v>1649</v>
      </c>
      <c r="AS43" s="321" t="s">
        <v>1649</v>
      </c>
      <c r="AT43" s="321" t="s">
        <v>1649</v>
      </c>
      <c r="AU43" s="301" t="s">
        <v>1613</v>
      </c>
    </row>
    <row r="44" spans="1:47" ht="13.5" thickBot="1" x14ac:dyDescent="0.25">
      <c r="A44" s="48" t="s">
        <v>498</v>
      </c>
      <c r="B44" s="291" t="s">
        <v>497</v>
      </c>
      <c r="C44" s="298" t="s">
        <v>34</v>
      </c>
      <c r="D44" s="299" t="s">
        <v>1613</v>
      </c>
      <c r="E44" s="299" t="s">
        <v>1613</v>
      </c>
      <c r="F44" s="299" t="s">
        <v>1613</v>
      </c>
      <c r="G44" s="299" t="s">
        <v>1613</v>
      </c>
      <c r="H44" s="299" t="s">
        <v>1613</v>
      </c>
      <c r="I44" s="299" t="s">
        <v>1613</v>
      </c>
      <c r="J44" s="299" t="s">
        <v>1613</v>
      </c>
      <c r="K44" s="299" t="s">
        <v>1613</v>
      </c>
      <c r="L44" s="299" t="s">
        <v>1613</v>
      </c>
      <c r="M44" s="299" t="s">
        <v>1613</v>
      </c>
      <c r="N44" s="299" t="s">
        <v>1613</v>
      </c>
      <c r="O44" s="299" t="s">
        <v>1613</v>
      </c>
      <c r="P44" s="302">
        <v>1</v>
      </c>
      <c r="Q44" s="303">
        <v>500</v>
      </c>
      <c r="R44" s="303">
        <v>1500</v>
      </c>
      <c r="S44" s="302">
        <v>23</v>
      </c>
      <c r="T44" s="303">
        <v>13000</v>
      </c>
      <c r="U44" s="303">
        <v>14160</v>
      </c>
      <c r="V44" s="321" t="s">
        <v>1649</v>
      </c>
      <c r="W44" s="321" t="s">
        <v>1649</v>
      </c>
      <c r="X44" s="321" t="s">
        <v>1649</v>
      </c>
      <c r="Y44" s="321" t="s">
        <v>1649</v>
      </c>
      <c r="Z44" s="321" t="s">
        <v>1649</v>
      </c>
      <c r="AA44" s="321" t="s">
        <v>1649</v>
      </c>
      <c r="AB44" s="321" t="s">
        <v>1649</v>
      </c>
      <c r="AC44" s="321" t="s">
        <v>1649</v>
      </c>
      <c r="AD44" s="321" t="s">
        <v>1649</v>
      </c>
      <c r="AE44" s="321" t="s">
        <v>1649</v>
      </c>
      <c r="AF44" s="321" t="s">
        <v>1649</v>
      </c>
      <c r="AG44" s="321" t="s">
        <v>1649</v>
      </c>
      <c r="AH44" s="300" t="s">
        <v>1613</v>
      </c>
      <c r="AI44" s="321" t="s">
        <v>1649</v>
      </c>
      <c r="AJ44" s="321" t="s">
        <v>1649</v>
      </c>
      <c r="AK44" s="321" t="s">
        <v>1649</v>
      </c>
      <c r="AL44" s="321" t="s">
        <v>1649</v>
      </c>
      <c r="AM44" s="321" t="s">
        <v>1649</v>
      </c>
      <c r="AN44" s="321" t="s">
        <v>1648</v>
      </c>
      <c r="AO44" s="321" t="s">
        <v>1648</v>
      </c>
      <c r="AP44" s="321" t="s">
        <v>1648</v>
      </c>
      <c r="AQ44" s="321" t="s">
        <v>1649</v>
      </c>
      <c r="AR44" s="321" t="s">
        <v>1649</v>
      </c>
      <c r="AS44" s="321" t="s">
        <v>1648</v>
      </c>
      <c r="AT44" s="321" t="s">
        <v>1649</v>
      </c>
      <c r="AU44" s="301" t="s">
        <v>1613</v>
      </c>
    </row>
    <row r="45" spans="1:47" ht="13.5" thickBot="1" x14ac:dyDescent="0.25">
      <c r="A45" s="48" t="s">
        <v>518</v>
      </c>
      <c r="B45" s="291" t="s">
        <v>517</v>
      </c>
      <c r="C45" s="298" t="s">
        <v>34</v>
      </c>
      <c r="D45" s="302">
        <v>20</v>
      </c>
      <c r="E45" s="303">
        <v>12836</v>
      </c>
      <c r="F45" s="303">
        <v>12929</v>
      </c>
      <c r="G45" s="304"/>
      <c r="H45" s="305"/>
      <c r="I45" s="305"/>
      <c r="J45" s="304"/>
      <c r="K45" s="305"/>
      <c r="L45" s="305"/>
      <c r="M45" s="304"/>
      <c r="N45" s="305"/>
      <c r="O45" s="305"/>
      <c r="P45" s="304"/>
      <c r="Q45" s="305"/>
      <c r="R45" s="305"/>
      <c r="S45" s="304"/>
      <c r="T45" s="303">
        <v>3392</v>
      </c>
      <c r="U45" s="303">
        <v>5226</v>
      </c>
      <c r="V45" s="321" t="s">
        <v>1649</v>
      </c>
      <c r="W45" s="321" t="s">
        <v>1649</v>
      </c>
      <c r="X45" s="321" t="s">
        <v>1649</v>
      </c>
      <c r="Y45" s="321" t="s">
        <v>1649</v>
      </c>
      <c r="Z45" s="321" t="s">
        <v>1649</v>
      </c>
      <c r="AA45" s="321" t="s">
        <v>1649</v>
      </c>
      <c r="AB45" s="321" t="s">
        <v>1649</v>
      </c>
      <c r="AC45" s="321" t="s">
        <v>1649</v>
      </c>
      <c r="AD45" s="321" t="s">
        <v>1649</v>
      </c>
      <c r="AE45" s="321" t="s">
        <v>1649</v>
      </c>
      <c r="AF45" s="321" t="s">
        <v>1649</v>
      </c>
      <c r="AG45" s="321" t="s">
        <v>1649</v>
      </c>
      <c r="AH45" s="300" t="s">
        <v>1613</v>
      </c>
      <c r="AI45" s="321" t="s">
        <v>1649</v>
      </c>
      <c r="AJ45" s="321" t="s">
        <v>1649</v>
      </c>
      <c r="AK45" s="321" t="s">
        <v>1649</v>
      </c>
      <c r="AL45" s="321" t="s">
        <v>1649</v>
      </c>
      <c r="AM45" s="321" t="s">
        <v>1649</v>
      </c>
      <c r="AN45" s="321" t="s">
        <v>1649</v>
      </c>
      <c r="AO45" s="321" t="s">
        <v>1648</v>
      </c>
      <c r="AP45" s="321" t="s">
        <v>1648</v>
      </c>
      <c r="AQ45" s="321" t="s">
        <v>1649</v>
      </c>
      <c r="AR45" s="321" t="s">
        <v>1649</v>
      </c>
      <c r="AS45" s="321" t="s">
        <v>1648</v>
      </c>
      <c r="AT45" s="321" t="s">
        <v>1649</v>
      </c>
      <c r="AU45" s="301" t="s">
        <v>1613</v>
      </c>
    </row>
    <row r="46" spans="1:47" ht="13.5" thickBot="1" x14ac:dyDescent="0.25">
      <c r="A46" s="48" t="s">
        <v>534</v>
      </c>
      <c r="B46" s="291" t="s">
        <v>533</v>
      </c>
      <c r="C46" s="298" t="s">
        <v>34</v>
      </c>
      <c r="D46" s="302">
        <v>27</v>
      </c>
      <c r="E46" s="303">
        <v>16848</v>
      </c>
      <c r="F46" s="303">
        <v>18252</v>
      </c>
      <c r="G46" s="304"/>
      <c r="H46" s="305"/>
      <c r="I46" s="305"/>
      <c r="J46" s="302">
        <v>17</v>
      </c>
      <c r="K46" s="303">
        <v>9724</v>
      </c>
      <c r="L46" s="303">
        <v>9061</v>
      </c>
      <c r="M46" s="304"/>
      <c r="N46" s="305"/>
      <c r="O46" s="305"/>
      <c r="P46" s="304"/>
      <c r="Q46" s="305"/>
      <c r="R46" s="305"/>
      <c r="S46" s="302">
        <v>15</v>
      </c>
      <c r="T46" s="303">
        <v>7371</v>
      </c>
      <c r="U46" s="303">
        <v>11193</v>
      </c>
      <c r="V46" s="321" t="s">
        <v>1649</v>
      </c>
      <c r="W46" s="321" t="s">
        <v>1649</v>
      </c>
      <c r="X46" s="321" t="s">
        <v>1649</v>
      </c>
      <c r="Y46" s="321" t="s">
        <v>1649</v>
      </c>
      <c r="Z46" s="321" t="s">
        <v>1649</v>
      </c>
      <c r="AA46" s="321" t="s">
        <v>1648</v>
      </c>
      <c r="AB46" s="321" t="s">
        <v>1648</v>
      </c>
      <c r="AC46" s="321" t="s">
        <v>1648</v>
      </c>
      <c r="AD46" s="321" t="s">
        <v>1649</v>
      </c>
      <c r="AE46" s="321" t="s">
        <v>1649</v>
      </c>
      <c r="AF46" s="321" t="s">
        <v>1648</v>
      </c>
      <c r="AG46" s="321" t="s">
        <v>1648</v>
      </c>
      <c r="AH46" s="300" t="s">
        <v>1613</v>
      </c>
      <c r="AI46" s="321" t="s">
        <v>1649</v>
      </c>
      <c r="AJ46" s="321" t="s">
        <v>1649</v>
      </c>
      <c r="AK46" s="321" t="s">
        <v>1649</v>
      </c>
      <c r="AL46" s="321" t="s">
        <v>1649</v>
      </c>
      <c r="AM46" s="321" t="s">
        <v>1649</v>
      </c>
      <c r="AN46" s="321" t="s">
        <v>1648</v>
      </c>
      <c r="AO46" s="321" t="s">
        <v>1648</v>
      </c>
      <c r="AP46" s="321" t="s">
        <v>1648</v>
      </c>
      <c r="AQ46" s="321" t="s">
        <v>1649</v>
      </c>
      <c r="AR46" s="321" t="s">
        <v>1649</v>
      </c>
      <c r="AS46" s="321" t="s">
        <v>1649</v>
      </c>
      <c r="AT46" s="321" t="s">
        <v>1648</v>
      </c>
      <c r="AU46" s="301" t="s">
        <v>1613</v>
      </c>
    </row>
    <row r="47" spans="1:47" ht="13.5" thickBot="1" x14ac:dyDescent="0.25">
      <c r="A47" s="48" t="s">
        <v>548</v>
      </c>
      <c r="B47" s="291" t="s">
        <v>547</v>
      </c>
      <c r="C47" s="298" t="s">
        <v>34</v>
      </c>
      <c r="D47" s="299" t="s">
        <v>1613</v>
      </c>
      <c r="E47" s="299" t="s">
        <v>1613</v>
      </c>
      <c r="F47" s="299" t="s">
        <v>1613</v>
      </c>
      <c r="G47" s="299" t="s">
        <v>1613</v>
      </c>
      <c r="H47" s="299" t="s">
        <v>1613</v>
      </c>
      <c r="I47" s="299" t="s">
        <v>1613</v>
      </c>
      <c r="J47" s="299" t="s">
        <v>1613</v>
      </c>
      <c r="K47" s="299" t="s">
        <v>1613</v>
      </c>
      <c r="L47" s="299" t="s">
        <v>1613</v>
      </c>
      <c r="M47" s="302">
        <v>20</v>
      </c>
      <c r="N47" s="303">
        <v>5000</v>
      </c>
      <c r="O47" s="303">
        <v>20000</v>
      </c>
      <c r="P47" s="299" t="s">
        <v>1613</v>
      </c>
      <c r="Q47" s="299" t="s">
        <v>1613</v>
      </c>
      <c r="R47" s="299" t="s">
        <v>1613</v>
      </c>
      <c r="S47" s="299" t="s">
        <v>1613</v>
      </c>
      <c r="T47" s="299" t="s">
        <v>1613</v>
      </c>
      <c r="U47" s="299" t="s">
        <v>1613</v>
      </c>
      <c r="V47" s="321" t="s">
        <v>1649</v>
      </c>
      <c r="W47" s="321" t="s">
        <v>1649</v>
      </c>
      <c r="X47" s="321" t="s">
        <v>1649</v>
      </c>
      <c r="Y47" s="321" t="s">
        <v>1649</v>
      </c>
      <c r="Z47" s="321" t="s">
        <v>1649</v>
      </c>
      <c r="AA47" s="321" t="s">
        <v>1648</v>
      </c>
      <c r="AB47" s="321" t="s">
        <v>1648</v>
      </c>
      <c r="AC47" s="321" t="s">
        <v>1648</v>
      </c>
      <c r="AD47" s="321" t="s">
        <v>1649</v>
      </c>
      <c r="AE47" s="321" t="s">
        <v>1649</v>
      </c>
      <c r="AF47" s="321" t="s">
        <v>1648</v>
      </c>
      <c r="AG47" s="321" t="s">
        <v>1649</v>
      </c>
      <c r="AH47" s="165" t="s">
        <v>3585</v>
      </c>
      <c r="AI47" s="321" t="s">
        <v>1649</v>
      </c>
      <c r="AJ47" s="321" t="s">
        <v>1649</v>
      </c>
      <c r="AK47" s="321" t="s">
        <v>1649</v>
      </c>
      <c r="AL47" s="321" t="s">
        <v>1649</v>
      </c>
      <c r="AM47" s="321" t="s">
        <v>1649</v>
      </c>
      <c r="AN47" s="321" t="s">
        <v>1649</v>
      </c>
      <c r="AO47" s="321" t="s">
        <v>1649</v>
      </c>
      <c r="AP47" s="321" t="s">
        <v>1649</v>
      </c>
      <c r="AQ47" s="321" t="s">
        <v>1649</v>
      </c>
      <c r="AR47" s="321" t="s">
        <v>1649</v>
      </c>
      <c r="AS47" s="321" t="s">
        <v>1648</v>
      </c>
      <c r="AT47" s="321" t="s">
        <v>1649</v>
      </c>
      <c r="AU47" s="307" t="s">
        <v>3585</v>
      </c>
    </row>
    <row r="48" spans="1:47" ht="13.5" thickBot="1" x14ac:dyDescent="0.25">
      <c r="A48" s="48" t="s">
        <v>552</v>
      </c>
      <c r="B48" s="291" t="s">
        <v>551</v>
      </c>
      <c r="C48" s="298" t="s">
        <v>34</v>
      </c>
      <c r="D48" s="299" t="s">
        <v>1613</v>
      </c>
      <c r="E48" s="299" t="s">
        <v>1613</v>
      </c>
      <c r="F48" s="299" t="s">
        <v>1613</v>
      </c>
      <c r="G48" s="299" t="s">
        <v>1613</v>
      </c>
      <c r="H48" s="299" t="s">
        <v>1613</v>
      </c>
      <c r="I48" s="299" t="s">
        <v>1613</v>
      </c>
      <c r="J48" s="299" t="s">
        <v>1613</v>
      </c>
      <c r="K48" s="299" t="s">
        <v>1613</v>
      </c>
      <c r="L48" s="299" t="s">
        <v>1613</v>
      </c>
      <c r="M48" s="299" t="s">
        <v>1613</v>
      </c>
      <c r="N48" s="299" t="s">
        <v>1613</v>
      </c>
      <c r="O48" s="299" t="s">
        <v>1613</v>
      </c>
      <c r="P48" s="299" t="s">
        <v>1613</v>
      </c>
      <c r="Q48" s="299" t="s">
        <v>1613</v>
      </c>
      <c r="R48" s="299" t="s">
        <v>1613</v>
      </c>
      <c r="S48" s="299" t="s">
        <v>1613</v>
      </c>
      <c r="T48" s="299" t="s">
        <v>1613</v>
      </c>
      <c r="U48" s="299" t="s">
        <v>1613</v>
      </c>
      <c r="V48" s="321" t="s">
        <v>1649</v>
      </c>
      <c r="W48" s="321" t="s">
        <v>1649</v>
      </c>
      <c r="X48" s="321" t="s">
        <v>1649</v>
      </c>
      <c r="Y48" s="321" t="s">
        <v>1649</v>
      </c>
      <c r="Z48" s="321" t="s">
        <v>1649</v>
      </c>
      <c r="AA48" s="321" t="s">
        <v>1649</v>
      </c>
      <c r="AB48" s="321" t="s">
        <v>1649</v>
      </c>
      <c r="AC48" s="321" t="s">
        <v>1649</v>
      </c>
      <c r="AD48" s="321" t="s">
        <v>1649</v>
      </c>
      <c r="AE48" s="321" t="s">
        <v>1649</v>
      </c>
      <c r="AF48" s="321" t="s">
        <v>1649</v>
      </c>
      <c r="AG48" s="321" t="s">
        <v>1649</v>
      </c>
      <c r="AH48" s="300" t="s">
        <v>1613</v>
      </c>
      <c r="AI48" s="321" t="s">
        <v>1649</v>
      </c>
      <c r="AJ48" s="321" t="s">
        <v>1649</v>
      </c>
      <c r="AK48" s="321" t="s">
        <v>1649</v>
      </c>
      <c r="AL48" s="321" t="s">
        <v>1649</v>
      </c>
      <c r="AM48" s="321" t="s">
        <v>1649</v>
      </c>
      <c r="AN48" s="321" t="s">
        <v>1648</v>
      </c>
      <c r="AO48" s="321" t="s">
        <v>1649</v>
      </c>
      <c r="AP48" s="321" t="s">
        <v>1648</v>
      </c>
      <c r="AQ48" s="321" t="s">
        <v>1649</v>
      </c>
      <c r="AR48" s="321" t="s">
        <v>1648</v>
      </c>
      <c r="AS48" s="321" t="s">
        <v>1649</v>
      </c>
      <c r="AT48" s="321" t="s">
        <v>1648</v>
      </c>
      <c r="AU48" s="301" t="s">
        <v>1613</v>
      </c>
    </row>
    <row r="49" spans="1:47" ht="13.5" thickBot="1" x14ac:dyDescent="0.25">
      <c r="A49" s="48" t="s">
        <v>574</v>
      </c>
      <c r="B49" s="291" t="s">
        <v>573</v>
      </c>
      <c r="C49" s="298" t="s">
        <v>34</v>
      </c>
      <c r="D49" s="299" t="s">
        <v>1613</v>
      </c>
      <c r="E49" s="299" t="s">
        <v>1613</v>
      </c>
      <c r="F49" s="299" t="s">
        <v>1613</v>
      </c>
      <c r="G49" s="299" t="s">
        <v>1613</v>
      </c>
      <c r="H49" s="299" t="s">
        <v>1613</v>
      </c>
      <c r="I49" s="299" t="s">
        <v>1613</v>
      </c>
      <c r="J49" s="302">
        <v>16</v>
      </c>
      <c r="K49" s="303">
        <v>15000</v>
      </c>
      <c r="L49" s="303">
        <v>17000</v>
      </c>
      <c r="M49" s="299" t="s">
        <v>1613</v>
      </c>
      <c r="N49" s="299" t="s">
        <v>1613</v>
      </c>
      <c r="O49" s="299" t="s">
        <v>1613</v>
      </c>
      <c r="P49" s="299" t="s">
        <v>1613</v>
      </c>
      <c r="Q49" s="299" t="s">
        <v>1613</v>
      </c>
      <c r="R49" s="299" t="s">
        <v>1613</v>
      </c>
      <c r="S49" s="302">
        <v>21</v>
      </c>
      <c r="T49" s="303">
        <v>9000</v>
      </c>
      <c r="U49" s="303">
        <v>12000</v>
      </c>
      <c r="V49" s="321" t="s">
        <v>1649</v>
      </c>
      <c r="W49" s="321" t="s">
        <v>1649</v>
      </c>
      <c r="X49" s="321" t="s">
        <v>1649</v>
      </c>
      <c r="Y49" s="321" t="s">
        <v>1649</v>
      </c>
      <c r="Z49" s="321" t="s">
        <v>1649</v>
      </c>
      <c r="AA49" s="321" t="s">
        <v>1649</v>
      </c>
      <c r="AB49" s="321" t="s">
        <v>1649</v>
      </c>
      <c r="AC49" s="321" t="s">
        <v>1649</v>
      </c>
      <c r="AD49" s="321" t="s">
        <v>1649</v>
      </c>
      <c r="AE49" s="321" t="s">
        <v>1649</v>
      </c>
      <c r="AF49" s="321" t="s">
        <v>1649</v>
      </c>
      <c r="AG49" s="321" t="s">
        <v>1649</v>
      </c>
      <c r="AH49" s="300" t="s">
        <v>1613</v>
      </c>
      <c r="AI49" s="321" t="s">
        <v>1649</v>
      </c>
      <c r="AJ49" s="321" t="s">
        <v>1649</v>
      </c>
      <c r="AK49" s="321" t="s">
        <v>1649</v>
      </c>
      <c r="AL49" s="321" t="s">
        <v>1648</v>
      </c>
      <c r="AM49" s="321" t="s">
        <v>1649</v>
      </c>
      <c r="AN49" s="321" t="s">
        <v>1648</v>
      </c>
      <c r="AO49" s="321" t="s">
        <v>1648</v>
      </c>
      <c r="AP49" s="321" t="s">
        <v>1648</v>
      </c>
      <c r="AQ49" s="321" t="s">
        <v>1649</v>
      </c>
      <c r="AR49" s="321" t="s">
        <v>1649</v>
      </c>
      <c r="AS49" s="321" t="s">
        <v>1648</v>
      </c>
      <c r="AT49" s="321" t="s">
        <v>1648</v>
      </c>
      <c r="AU49" s="301" t="s">
        <v>1613</v>
      </c>
    </row>
    <row r="50" spans="1:47" ht="13.5" thickBot="1" x14ac:dyDescent="0.25">
      <c r="A50" s="48" t="s">
        <v>612</v>
      </c>
      <c r="B50" s="291" t="s">
        <v>611</v>
      </c>
      <c r="C50" s="298" t="s">
        <v>34</v>
      </c>
      <c r="D50" s="304"/>
      <c r="E50" s="305"/>
      <c r="F50" s="305"/>
      <c r="G50" s="304"/>
      <c r="H50" s="305"/>
      <c r="I50" s="305"/>
      <c r="J50" s="304"/>
      <c r="K50" s="305"/>
      <c r="L50" s="305"/>
      <c r="M50" s="304"/>
      <c r="N50" s="305"/>
      <c r="O50" s="305"/>
      <c r="P50" s="304"/>
      <c r="Q50" s="305"/>
      <c r="R50" s="305"/>
      <c r="S50" s="304"/>
      <c r="T50" s="303">
        <v>3367</v>
      </c>
      <c r="U50" s="303">
        <v>11337</v>
      </c>
      <c r="V50" s="321" t="s">
        <v>1649</v>
      </c>
      <c r="W50" s="321" t="s">
        <v>1649</v>
      </c>
      <c r="X50" s="321" t="s">
        <v>1649</v>
      </c>
      <c r="Y50" s="321" t="s">
        <v>1649</v>
      </c>
      <c r="Z50" s="321" t="s">
        <v>1649</v>
      </c>
      <c r="AA50" s="321" t="s">
        <v>1649</v>
      </c>
      <c r="AB50" s="321" t="s">
        <v>1649</v>
      </c>
      <c r="AC50" s="321" t="s">
        <v>1649</v>
      </c>
      <c r="AD50" s="321" t="s">
        <v>1649</v>
      </c>
      <c r="AE50" s="321" t="s">
        <v>1649</v>
      </c>
      <c r="AF50" s="321" t="s">
        <v>1649</v>
      </c>
      <c r="AG50" s="321" t="s">
        <v>1649</v>
      </c>
      <c r="AH50" s="300"/>
      <c r="AI50" s="321" t="s">
        <v>1649</v>
      </c>
      <c r="AJ50" s="321" t="s">
        <v>1649</v>
      </c>
      <c r="AK50" s="321" t="s">
        <v>1649</v>
      </c>
      <c r="AL50" s="321" t="s">
        <v>1649</v>
      </c>
      <c r="AM50" s="321" t="s">
        <v>1649</v>
      </c>
      <c r="AN50" s="321" t="s">
        <v>1649</v>
      </c>
      <c r="AO50" s="321" t="s">
        <v>1649</v>
      </c>
      <c r="AP50" s="321" t="s">
        <v>1649</v>
      </c>
      <c r="AQ50" s="321" t="s">
        <v>1649</v>
      </c>
      <c r="AR50" s="321" t="s">
        <v>1649</v>
      </c>
      <c r="AS50" s="321" t="s">
        <v>1649</v>
      </c>
      <c r="AT50" s="321" t="s">
        <v>1649</v>
      </c>
      <c r="AU50" s="301"/>
    </row>
    <row r="51" spans="1:47" ht="13.5" thickBot="1" x14ac:dyDescent="0.25">
      <c r="A51" s="48" t="s">
        <v>622</v>
      </c>
      <c r="B51" s="291" t="s">
        <v>621</v>
      </c>
      <c r="C51" s="298" t="s">
        <v>34</v>
      </c>
      <c r="D51" s="304"/>
      <c r="E51" s="305"/>
      <c r="F51" s="305"/>
      <c r="G51" s="304"/>
      <c r="H51" s="305"/>
      <c r="I51" s="305"/>
      <c r="J51" s="304"/>
      <c r="K51" s="305"/>
      <c r="L51" s="305"/>
      <c r="M51" s="304"/>
      <c r="N51" s="305"/>
      <c r="O51" s="305"/>
      <c r="P51" s="304"/>
      <c r="Q51" s="305"/>
      <c r="R51" s="305"/>
      <c r="S51" s="304"/>
      <c r="T51" s="305"/>
      <c r="U51" s="305"/>
      <c r="V51" s="321" t="s">
        <v>1649</v>
      </c>
      <c r="W51" s="321" t="s">
        <v>1649</v>
      </c>
      <c r="X51" s="321" t="s">
        <v>1649</v>
      </c>
      <c r="Y51" s="321" t="s">
        <v>1649</v>
      </c>
      <c r="Z51" s="321" t="s">
        <v>1649</v>
      </c>
      <c r="AA51" s="321" t="s">
        <v>1649</v>
      </c>
      <c r="AB51" s="321" t="s">
        <v>1649</v>
      </c>
      <c r="AC51" s="321" t="s">
        <v>1649</v>
      </c>
      <c r="AD51" s="321" t="s">
        <v>1649</v>
      </c>
      <c r="AE51" s="321" t="s">
        <v>1649</v>
      </c>
      <c r="AF51" s="321" t="s">
        <v>1649</v>
      </c>
      <c r="AG51" s="321" t="s">
        <v>1649</v>
      </c>
      <c r="AH51" s="300" t="s">
        <v>1613</v>
      </c>
      <c r="AI51" s="321" t="s">
        <v>1649</v>
      </c>
      <c r="AJ51" s="321" t="s">
        <v>1649</v>
      </c>
      <c r="AK51" s="321" t="s">
        <v>1649</v>
      </c>
      <c r="AL51" s="321" t="s">
        <v>1649</v>
      </c>
      <c r="AM51" s="321" t="s">
        <v>1649</v>
      </c>
      <c r="AN51" s="321" t="s">
        <v>1649</v>
      </c>
      <c r="AO51" s="321" t="s">
        <v>1649</v>
      </c>
      <c r="AP51" s="321" t="s">
        <v>1649</v>
      </c>
      <c r="AQ51" s="321" t="s">
        <v>1649</v>
      </c>
      <c r="AR51" s="321" t="s">
        <v>1649</v>
      </c>
      <c r="AS51" s="321" t="s">
        <v>1649</v>
      </c>
      <c r="AT51" s="321" t="s">
        <v>1649</v>
      </c>
      <c r="AU51" s="301" t="s">
        <v>1613</v>
      </c>
    </row>
    <row r="52" spans="1:47" ht="13.5" thickBot="1" x14ac:dyDescent="0.25">
      <c r="A52" s="48" t="s">
        <v>624</v>
      </c>
      <c r="B52" s="291" t="s">
        <v>623</v>
      </c>
      <c r="C52" s="298" t="s">
        <v>34</v>
      </c>
      <c r="D52" s="302">
        <v>15</v>
      </c>
      <c r="E52" s="303">
        <v>7800</v>
      </c>
      <c r="F52" s="303">
        <v>9880</v>
      </c>
      <c r="G52" s="299" t="s">
        <v>1613</v>
      </c>
      <c r="H52" s="299" t="s">
        <v>1613</v>
      </c>
      <c r="I52" s="299" t="s">
        <v>1613</v>
      </c>
      <c r="J52" s="299" t="s">
        <v>1613</v>
      </c>
      <c r="K52" s="299" t="s">
        <v>1613</v>
      </c>
      <c r="L52" s="299" t="s">
        <v>1613</v>
      </c>
      <c r="M52" s="299" t="s">
        <v>1613</v>
      </c>
      <c r="N52" s="299" t="s">
        <v>1613</v>
      </c>
      <c r="O52" s="299" t="s">
        <v>1613</v>
      </c>
      <c r="P52" s="299" t="s">
        <v>1613</v>
      </c>
      <c r="Q52" s="299" t="s">
        <v>1613</v>
      </c>
      <c r="R52" s="299" t="s">
        <v>1613</v>
      </c>
      <c r="S52" s="302">
        <v>8</v>
      </c>
      <c r="T52" s="303">
        <v>4056</v>
      </c>
      <c r="U52" s="303">
        <v>6084</v>
      </c>
      <c r="V52" s="321" t="s">
        <v>1649</v>
      </c>
      <c r="W52" s="321" t="s">
        <v>1649</v>
      </c>
      <c r="X52" s="321" t="s">
        <v>1649</v>
      </c>
      <c r="Y52" s="321" t="s">
        <v>1649</v>
      </c>
      <c r="Z52" s="321" t="s">
        <v>1649</v>
      </c>
      <c r="AA52" s="321" t="s">
        <v>1649</v>
      </c>
      <c r="AB52" s="321" t="s">
        <v>1649</v>
      </c>
      <c r="AC52" s="321" t="s">
        <v>1649</v>
      </c>
      <c r="AD52" s="321" t="s">
        <v>1649</v>
      </c>
      <c r="AE52" s="321" t="s">
        <v>1649</v>
      </c>
      <c r="AF52" s="321" t="s">
        <v>1649</v>
      </c>
      <c r="AG52" s="321" t="s">
        <v>1649</v>
      </c>
      <c r="AH52" s="300" t="s">
        <v>1613</v>
      </c>
      <c r="AI52" s="321" t="s">
        <v>1649</v>
      </c>
      <c r="AJ52" s="321" t="s">
        <v>1649</v>
      </c>
      <c r="AK52" s="321" t="s">
        <v>1649</v>
      </c>
      <c r="AL52" s="321" t="s">
        <v>1649</v>
      </c>
      <c r="AM52" s="321" t="s">
        <v>1649</v>
      </c>
      <c r="AN52" s="321" t="s">
        <v>1649</v>
      </c>
      <c r="AO52" s="321" t="s">
        <v>1649</v>
      </c>
      <c r="AP52" s="321" t="s">
        <v>1649</v>
      </c>
      <c r="AQ52" s="321" t="s">
        <v>1649</v>
      </c>
      <c r="AR52" s="321" t="s">
        <v>1649</v>
      </c>
      <c r="AS52" s="321" t="s">
        <v>1649</v>
      </c>
      <c r="AT52" s="321" t="s">
        <v>1649</v>
      </c>
      <c r="AU52" s="301" t="s">
        <v>1613</v>
      </c>
    </row>
    <row r="53" spans="1:47" ht="13.5" thickBot="1" x14ac:dyDescent="0.25">
      <c r="A53" s="48" t="s">
        <v>628</v>
      </c>
      <c r="B53" s="291" t="s">
        <v>627</v>
      </c>
      <c r="C53" s="298" t="s">
        <v>34</v>
      </c>
      <c r="D53" s="299" t="s">
        <v>1613</v>
      </c>
      <c r="E53" s="299" t="s">
        <v>1613</v>
      </c>
      <c r="F53" s="299" t="s">
        <v>1613</v>
      </c>
      <c r="G53" s="299" t="s">
        <v>1613</v>
      </c>
      <c r="H53" s="299" t="s">
        <v>1613</v>
      </c>
      <c r="I53" s="299" t="s">
        <v>1613</v>
      </c>
      <c r="J53" s="299" t="s">
        <v>1613</v>
      </c>
      <c r="K53" s="299" t="s">
        <v>1613</v>
      </c>
      <c r="L53" s="299" t="s">
        <v>1613</v>
      </c>
      <c r="M53" s="299" t="s">
        <v>1613</v>
      </c>
      <c r="N53" s="299" t="s">
        <v>1613</v>
      </c>
      <c r="O53" s="299" t="s">
        <v>1613</v>
      </c>
      <c r="P53" s="299" t="s">
        <v>1613</v>
      </c>
      <c r="Q53" s="299" t="s">
        <v>1613</v>
      </c>
      <c r="R53" s="299" t="s">
        <v>1613</v>
      </c>
      <c r="S53" s="302">
        <v>29</v>
      </c>
      <c r="T53" s="303">
        <v>12094</v>
      </c>
      <c r="U53" s="303">
        <v>14703</v>
      </c>
      <c r="V53" s="321" t="s">
        <v>1649</v>
      </c>
      <c r="W53" s="321" t="s">
        <v>1649</v>
      </c>
      <c r="X53" s="321" t="s">
        <v>1649</v>
      </c>
      <c r="Y53" s="321" t="s">
        <v>1649</v>
      </c>
      <c r="Z53" s="321" t="s">
        <v>1649</v>
      </c>
      <c r="AA53" s="321" t="s">
        <v>1649</v>
      </c>
      <c r="AB53" s="321" t="s">
        <v>1649</v>
      </c>
      <c r="AC53" s="321" t="s">
        <v>1649</v>
      </c>
      <c r="AD53" s="321" t="s">
        <v>1649</v>
      </c>
      <c r="AE53" s="321" t="s">
        <v>1649</v>
      </c>
      <c r="AF53" s="321" t="s">
        <v>1649</v>
      </c>
      <c r="AG53" s="321" t="s">
        <v>1649</v>
      </c>
      <c r="AH53" s="300" t="s">
        <v>1613</v>
      </c>
      <c r="AI53" s="321" t="s">
        <v>1649</v>
      </c>
      <c r="AJ53" s="321" t="s">
        <v>1649</v>
      </c>
      <c r="AK53" s="321" t="s">
        <v>1649</v>
      </c>
      <c r="AL53" s="321" t="s">
        <v>1649</v>
      </c>
      <c r="AM53" s="321" t="s">
        <v>1649</v>
      </c>
      <c r="AN53" s="321" t="s">
        <v>1649</v>
      </c>
      <c r="AO53" s="321" t="s">
        <v>1649</v>
      </c>
      <c r="AP53" s="321" t="s">
        <v>1649</v>
      </c>
      <c r="AQ53" s="321" t="s">
        <v>1649</v>
      </c>
      <c r="AR53" s="321" t="s">
        <v>1649</v>
      </c>
      <c r="AS53" s="321" t="s">
        <v>1649</v>
      </c>
      <c r="AT53" s="321" t="s">
        <v>1649</v>
      </c>
      <c r="AU53" s="301" t="s">
        <v>1613</v>
      </c>
    </row>
    <row r="54" spans="1:47" ht="13.5" thickBot="1" x14ac:dyDescent="0.25">
      <c r="A54" s="48" t="s">
        <v>630</v>
      </c>
      <c r="B54" s="291" t="s">
        <v>629</v>
      </c>
      <c r="C54" s="298" t="s">
        <v>34</v>
      </c>
      <c r="D54" s="304"/>
      <c r="E54" s="305"/>
      <c r="F54" s="305"/>
      <c r="G54" s="304"/>
      <c r="H54" s="305"/>
      <c r="I54" s="305"/>
      <c r="J54" s="304"/>
      <c r="K54" s="305"/>
      <c r="L54" s="305"/>
      <c r="M54" s="304"/>
      <c r="N54" s="305"/>
      <c r="O54" s="305"/>
      <c r="P54" s="304"/>
      <c r="Q54" s="305"/>
      <c r="R54" s="305"/>
      <c r="S54" s="304"/>
      <c r="T54" s="305"/>
      <c r="U54" s="305"/>
      <c r="V54" s="321" t="s">
        <v>1649</v>
      </c>
      <c r="W54" s="321" t="s">
        <v>1649</v>
      </c>
      <c r="X54" s="321" t="s">
        <v>1649</v>
      </c>
      <c r="Y54" s="321" t="s">
        <v>1649</v>
      </c>
      <c r="Z54" s="321" t="s">
        <v>1649</v>
      </c>
      <c r="AA54" s="321" t="s">
        <v>1649</v>
      </c>
      <c r="AB54" s="321" t="s">
        <v>1649</v>
      </c>
      <c r="AC54" s="321" t="s">
        <v>1649</v>
      </c>
      <c r="AD54" s="321" t="s">
        <v>1649</v>
      </c>
      <c r="AE54" s="321" t="s">
        <v>1649</v>
      </c>
      <c r="AF54" s="321" t="s">
        <v>1649</v>
      </c>
      <c r="AG54" s="321" t="s">
        <v>1649</v>
      </c>
      <c r="AH54" s="300" t="s">
        <v>1613</v>
      </c>
      <c r="AI54" s="321" t="s">
        <v>1649</v>
      </c>
      <c r="AJ54" s="321" t="s">
        <v>1649</v>
      </c>
      <c r="AK54" s="321" t="s">
        <v>1649</v>
      </c>
      <c r="AL54" s="321" t="s">
        <v>1649</v>
      </c>
      <c r="AM54" s="321" t="s">
        <v>1649</v>
      </c>
      <c r="AN54" s="321" t="s">
        <v>1649</v>
      </c>
      <c r="AO54" s="321" t="s">
        <v>1649</v>
      </c>
      <c r="AP54" s="321" t="s">
        <v>1649</v>
      </c>
      <c r="AQ54" s="321" t="s">
        <v>1649</v>
      </c>
      <c r="AR54" s="321" t="s">
        <v>1649</v>
      </c>
      <c r="AS54" s="321" t="s">
        <v>1649</v>
      </c>
      <c r="AT54" s="321" t="s">
        <v>1649</v>
      </c>
      <c r="AU54" s="301" t="s">
        <v>1613</v>
      </c>
    </row>
    <row r="55" spans="1:47" ht="13.5" thickBot="1" x14ac:dyDescent="0.25">
      <c r="A55" s="48" t="s">
        <v>674</v>
      </c>
      <c r="B55" s="291" t="s">
        <v>673</v>
      </c>
      <c r="C55" s="298" t="s">
        <v>34</v>
      </c>
      <c r="D55" s="299" t="s">
        <v>1613</v>
      </c>
      <c r="E55" s="299" t="s">
        <v>1613</v>
      </c>
      <c r="F55" s="299" t="s">
        <v>1613</v>
      </c>
      <c r="G55" s="299" t="s">
        <v>1613</v>
      </c>
      <c r="H55" s="299" t="s">
        <v>1613</v>
      </c>
      <c r="I55" s="299" t="s">
        <v>1613</v>
      </c>
      <c r="J55" s="302">
        <v>29</v>
      </c>
      <c r="K55" s="303">
        <v>18741</v>
      </c>
      <c r="L55" s="303">
        <v>19604</v>
      </c>
      <c r="M55" s="302">
        <v>20</v>
      </c>
      <c r="N55" s="303">
        <v>10608</v>
      </c>
      <c r="O55" s="303">
        <v>12480</v>
      </c>
      <c r="P55" s="304"/>
      <c r="Q55" s="305"/>
      <c r="R55" s="305"/>
      <c r="S55" s="302">
        <v>10</v>
      </c>
      <c r="T55" s="303">
        <v>4914</v>
      </c>
      <c r="U55" s="303">
        <v>8580</v>
      </c>
      <c r="V55" s="321" t="s">
        <v>1649</v>
      </c>
      <c r="W55" s="321" t="s">
        <v>1649</v>
      </c>
      <c r="X55" s="321" t="s">
        <v>1649</v>
      </c>
      <c r="Y55" s="321" t="s">
        <v>1649</v>
      </c>
      <c r="Z55" s="321" t="s">
        <v>1649</v>
      </c>
      <c r="AA55" s="321" t="s">
        <v>1649</v>
      </c>
      <c r="AB55" s="321" t="s">
        <v>1649</v>
      </c>
      <c r="AC55" s="321" t="s">
        <v>1649</v>
      </c>
      <c r="AD55" s="321" t="s">
        <v>1649</v>
      </c>
      <c r="AE55" s="321" t="s">
        <v>1649</v>
      </c>
      <c r="AF55" s="321" t="s">
        <v>1649</v>
      </c>
      <c r="AG55" s="321" t="s">
        <v>1649</v>
      </c>
      <c r="AH55" s="165" t="s">
        <v>3604</v>
      </c>
      <c r="AI55" s="321" t="s">
        <v>1649</v>
      </c>
      <c r="AJ55" s="321" t="s">
        <v>1649</v>
      </c>
      <c r="AK55" s="321" t="s">
        <v>1649</v>
      </c>
      <c r="AL55" s="321" t="s">
        <v>1649</v>
      </c>
      <c r="AM55" s="321" t="s">
        <v>1649</v>
      </c>
      <c r="AN55" s="321" t="s">
        <v>1649</v>
      </c>
      <c r="AO55" s="321" t="s">
        <v>1649</v>
      </c>
      <c r="AP55" s="321" t="s">
        <v>1649</v>
      </c>
      <c r="AQ55" s="321" t="s">
        <v>1649</v>
      </c>
      <c r="AR55" s="321" t="s">
        <v>1649</v>
      </c>
      <c r="AS55" s="321" t="s">
        <v>1649</v>
      </c>
      <c r="AT55" s="321" t="s">
        <v>1649</v>
      </c>
      <c r="AU55" s="307" t="s">
        <v>3604</v>
      </c>
    </row>
    <row r="56" spans="1:47" ht="13.5" thickBot="1" x14ac:dyDescent="0.25">
      <c r="A56" s="48" t="s">
        <v>680</v>
      </c>
      <c r="B56" s="291" t="s">
        <v>679</v>
      </c>
      <c r="C56" s="298" t="s">
        <v>34</v>
      </c>
      <c r="D56" s="304"/>
      <c r="E56" s="305"/>
      <c r="F56" s="305"/>
      <c r="G56" s="304"/>
      <c r="H56" s="305"/>
      <c r="I56" s="305"/>
      <c r="J56" s="304"/>
      <c r="K56" s="305"/>
      <c r="L56" s="305"/>
      <c r="M56" s="304"/>
      <c r="N56" s="305"/>
      <c r="O56" s="305"/>
      <c r="P56" s="304"/>
      <c r="Q56" s="305"/>
      <c r="R56" s="305"/>
      <c r="S56" s="302">
        <v>14</v>
      </c>
      <c r="T56" s="303">
        <v>4600</v>
      </c>
      <c r="U56" s="303">
        <v>10400</v>
      </c>
      <c r="V56" s="321" t="s">
        <v>1649</v>
      </c>
      <c r="W56" s="321" t="s">
        <v>1649</v>
      </c>
      <c r="X56" s="321" t="s">
        <v>1649</v>
      </c>
      <c r="Y56" s="321" t="s">
        <v>1649</v>
      </c>
      <c r="Z56" s="321" t="s">
        <v>1649</v>
      </c>
      <c r="AA56" s="321" t="s">
        <v>1649</v>
      </c>
      <c r="AB56" s="321" t="s">
        <v>1649</v>
      </c>
      <c r="AC56" s="321" t="s">
        <v>1649</v>
      </c>
      <c r="AD56" s="321" t="s">
        <v>1649</v>
      </c>
      <c r="AE56" s="321" t="s">
        <v>1649</v>
      </c>
      <c r="AF56" s="321" t="s">
        <v>1649</v>
      </c>
      <c r="AG56" s="321" t="s">
        <v>1649</v>
      </c>
      <c r="AH56" s="300" t="s">
        <v>1613</v>
      </c>
      <c r="AI56" s="321" t="s">
        <v>1649</v>
      </c>
      <c r="AJ56" s="321" t="s">
        <v>1649</v>
      </c>
      <c r="AK56" s="321" t="s">
        <v>1649</v>
      </c>
      <c r="AL56" s="321" t="s">
        <v>1649</v>
      </c>
      <c r="AM56" s="321" t="s">
        <v>1649</v>
      </c>
      <c r="AN56" s="321" t="s">
        <v>1649</v>
      </c>
      <c r="AO56" s="321" t="s">
        <v>1649</v>
      </c>
      <c r="AP56" s="321" t="s">
        <v>1649</v>
      </c>
      <c r="AQ56" s="321" t="s">
        <v>1649</v>
      </c>
      <c r="AR56" s="321" t="s">
        <v>1649</v>
      </c>
      <c r="AS56" s="321" t="s">
        <v>1649</v>
      </c>
      <c r="AT56" s="321" t="s">
        <v>1649</v>
      </c>
      <c r="AU56" s="301" t="s">
        <v>1613</v>
      </c>
    </row>
    <row r="57" spans="1:47" ht="13.5" thickBot="1" x14ac:dyDescent="0.25">
      <c r="A57" s="48" t="s">
        <v>690</v>
      </c>
      <c r="B57" s="291" t="s">
        <v>689</v>
      </c>
      <c r="C57" s="298" t="s">
        <v>34</v>
      </c>
      <c r="D57" s="299" t="s">
        <v>1613</v>
      </c>
      <c r="E57" s="299" t="s">
        <v>1613</v>
      </c>
      <c r="F57" s="299" t="s">
        <v>1613</v>
      </c>
      <c r="G57" s="299" t="s">
        <v>1613</v>
      </c>
      <c r="H57" s="299" t="s">
        <v>1613</v>
      </c>
      <c r="I57" s="299" t="s">
        <v>1613</v>
      </c>
      <c r="J57" s="299" t="s">
        <v>1613</v>
      </c>
      <c r="K57" s="299" t="s">
        <v>1613</v>
      </c>
      <c r="L57" s="299" t="s">
        <v>1613</v>
      </c>
      <c r="M57" s="299" t="s">
        <v>1613</v>
      </c>
      <c r="N57" s="299" t="s">
        <v>1613</v>
      </c>
      <c r="O57" s="299" t="s">
        <v>1613</v>
      </c>
      <c r="P57" s="299" t="s">
        <v>1613</v>
      </c>
      <c r="Q57" s="299" t="s">
        <v>1613</v>
      </c>
      <c r="R57" s="299" t="s">
        <v>1613</v>
      </c>
      <c r="S57" s="302">
        <v>25</v>
      </c>
      <c r="T57" s="303">
        <v>14500</v>
      </c>
      <c r="U57" s="303">
        <v>16000</v>
      </c>
      <c r="V57" s="321" t="s">
        <v>1649</v>
      </c>
      <c r="W57" s="321" t="s">
        <v>1649</v>
      </c>
      <c r="X57" s="321" t="s">
        <v>1649</v>
      </c>
      <c r="Y57" s="321" t="s">
        <v>1649</v>
      </c>
      <c r="Z57" s="321" t="s">
        <v>1649</v>
      </c>
      <c r="AA57" s="321" t="s">
        <v>1649</v>
      </c>
      <c r="AB57" s="321" t="s">
        <v>1649</v>
      </c>
      <c r="AC57" s="321" t="s">
        <v>1649</v>
      </c>
      <c r="AD57" s="321" t="s">
        <v>1649</v>
      </c>
      <c r="AE57" s="321" t="s">
        <v>1649</v>
      </c>
      <c r="AF57" s="321" t="s">
        <v>1649</v>
      </c>
      <c r="AG57" s="321" t="s">
        <v>1649</v>
      </c>
      <c r="AH57" s="300" t="s">
        <v>1613</v>
      </c>
      <c r="AI57" s="321" t="s">
        <v>1649</v>
      </c>
      <c r="AJ57" s="321" t="s">
        <v>1649</v>
      </c>
      <c r="AK57" s="321" t="s">
        <v>1649</v>
      </c>
      <c r="AL57" s="321" t="s">
        <v>1649</v>
      </c>
      <c r="AM57" s="321" t="s">
        <v>1649</v>
      </c>
      <c r="AN57" s="321" t="s">
        <v>1649</v>
      </c>
      <c r="AO57" s="321" t="s">
        <v>1648</v>
      </c>
      <c r="AP57" s="321" t="s">
        <v>1649</v>
      </c>
      <c r="AQ57" s="321" t="s">
        <v>1649</v>
      </c>
      <c r="AR57" s="321" t="s">
        <v>1649</v>
      </c>
      <c r="AS57" s="321" t="s">
        <v>1649</v>
      </c>
      <c r="AT57" s="321" t="s">
        <v>1649</v>
      </c>
      <c r="AU57" s="301" t="s">
        <v>1613</v>
      </c>
    </row>
    <row r="58" spans="1:47" ht="13.5" thickBot="1" x14ac:dyDescent="0.25">
      <c r="A58" s="48" t="s">
        <v>692</v>
      </c>
      <c r="B58" s="291" t="s">
        <v>691</v>
      </c>
      <c r="C58" s="298" t="s">
        <v>34</v>
      </c>
      <c r="D58" s="299" t="s">
        <v>1613</v>
      </c>
      <c r="E58" s="299" t="s">
        <v>1613</v>
      </c>
      <c r="F58" s="299" t="s">
        <v>1613</v>
      </c>
      <c r="G58" s="299" t="s">
        <v>1613</v>
      </c>
      <c r="H58" s="299" t="s">
        <v>1613</v>
      </c>
      <c r="I58" s="299" t="s">
        <v>1613</v>
      </c>
      <c r="J58" s="299" t="s">
        <v>1613</v>
      </c>
      <c r="K58" s="299" t="s">
        <v>1613</v>
      </c>
      <c r="L58" s="299" t="s">
        <v>1613</v>
      </c>
      <c r="M58" s="299" t="s">
        <v>1613</v>
      </c>
      <c r="N58" s="299" t="s">
        <v>1613</v>
      </c>
      <c r="O58" s="299" t="s">
        <v>1613</v>
      </c>
      <c r="P58" s="299" t="s">
        <v>1613</v>
      </c>
      <c r="Q58" s="299" t="s">
        <v>1613</v>
      </c>
      <c r="R58" s="299" t="s">
        <v>1613</v>
      </c>
      <c r="S58" s="304"/>
      <c r="T58" s="305"/>
      <c r="U58" s="305"/>
      <c r="V58" s="321" t="s">
        <v>1649</v>
      </c>
      <c r="W58" s="321" t="s">
        <v>1649</v>
      </c>
      <c r="X58" s="321" t="s">
        <v>1649</v>
      </c>
      <c r="Y58" s="321" t="s">
        <v>1649</v>
      </c>
      <c r="Z58" s="321" t="s">
        <v>1649</v>
      </c>
      <c r="AA58" s="321" t="s">
        <v>1649</v>
      </c>
      <c r="AB58" s="321" t="s">
        <v>1649</v>
      </c>
      <c r="AC58" s="321" t="s">
        <v>1649</v>
      </c>
      <c r="AD58" s="321" t="s">
        <v>1649</v>
      </c>
      <c r="AE58" s="321" t="s">
        <v>1649</v>
      </c>
      <c r="AF58" s="321" t="s">
        <v>1649</v>
      </c>
      <c r="AG58" s="321" t="s">
        <v>1649</v>
      </c>
      <c r="AH58" s="300" t="s">
        <v>1613</v>
      </c>
      <c r="AI58" s="321" t="s">
        <v>1649</v>
      </c>
      <c r="AJ58" s="321" t="s">
        <v>1649</v>
      </c>
      <c r="AK58" s="321" t="s">
        <v>1649</v>
      </c>
      <c r="AL58" s="321" t="s">
        <v>1649</v>
      </c>
      <c r="AM58" s="321" t="s">
        <v>1649</v>
      </c>
      <c r="AN58" s="321" t="s">
        <v>1649</v>
      </c>
      <c r="AO58" s="321" t="s">
        <v>1649</v>
      </c>
      <c r="AP58" s="321" t="s">
        <v>1649</v>
      </c>
      <c r="AQ58" s="321" t="s">
        <v>1649</v>
      </c>
      <c r="AR58" s="321" t="s">
        <v>1649</v>
      </c>
      <c r="AS58" s="321" t="s">
        <v>1648</v>
      </c>
      <c r="AT58" s="321" t="s">
        <v>1649</v>
      </c>
      <c r="AU58" s="301"/>
    </row>
    <row r="59" spans="1:47" ht="13.5" thickBot="1" x14ac:dyDescent="0.25">
      <c r="A59" s="48" t="s">
        <v>714</v>
      </c>
      <c r="B59" s="291" t="s">
        <v>713</v>
      </c>
      <c r="C59" s="298" t="s">
        <v>34</v>
      </c>
      <c r="D59" s="299" t="s">
        <v>1613</v>
      </c>
      <c r="E59" s="299" t="s">
        <v>1613</v>
      </c>
      <c r="F59" s="299" t="s">
        <v>1613</v>
      </c>
      <c r="G59" s="299" t="s">
        <v>1613</v>
      </c>
      <c r="H59" s="299" t="s">
        <v>1613</v>
      </c>
      <c r="I59" s="299" t="s">
        <v>1613</v>
      </c>
      <c r="J59" s="299" t="s">
        <v>1613</v>
      </c>
      <c r="K59" s="299" t="s">
        <v>1613</v>
      </c>
      <c r="L59" s="299" t="s">
        <v>1613</v>
      </c>
      <c r="M59" s="299" t="s">
        <v>1613</v>
      </c>
      <c r="N59" s="299" t="s">
        <v>1613</v>
      </c>
      <c r="O59" s="299" t="s">
        <v>1613</v>
      </c>
      <c r="P59" s="299" t="s">
        <v>1613</v>
      </c>
      <c r="Q59" s="299" t="s">
        <v>1613</v>
      </c>
      <c r="R59" s="299" t="s">
        <v>1613</v>
      </c>
      <c r="S59" s="302">
        <v>28</v>
      </c>
      <c r="T59" s="303">
        <v>13832</v>
      </c>
      <c r="U59" s="303">
        <v>16409</v>
      </c>
      <c r="V59" s="321" t="s">
        <v>1649</v>
      </c>
      <c r="W59" s="321" t="s">
        <v>1649</v>
      </c>
      <c r="X59" s="321" t="s">
        <v>1649</v>
      </c>
      <c r="Y59" s="321" t="s">
        <v>1649</v>
      </c>
      <c r="Z59" s="321" t="s">
        <v>1649</v>
      </c>
      <c r="AA59" s="321" t="s">
        <v>1649</v>
      </c>
      <c r="AB59" s="321" t="s">
        <v>1649</v>
      </c>
      <c r="AC59" s="321" t="s">
        <v>1649</v>
      </c>
      <c r="AD59" s="321" t="s">
        <v>1649</v>
      </c>
      <c r="AE59" s="321" t="s">
        <v>1649</v>
      </c>
      <c r="AF59" s="321" t="s">
        <v>1649</v>
      </c>
      <c r="AG59" s="321" t="s">
        <v>1649</v>
      </c>
      <c r="AH59" s="300" t="s">
        <v>1613</v>
      </c>
      <c r="AI59" s="321" t="s">
        <v>1649</v>
      </c>
      <c r="AJ59" s="321" t="s">
        <v>1649</v>
      </c>
      <c r="AK59" s="321" t="s">
        <v>1649</v>
      </c>
      <c r="AL59" s="321" t="s">
        <v>1649</v>
      </c>
      <c r="AM59" s="321" t="s">
        <v>1649</v>
      </c>
      <c r="AN59" s="321" t="s">
        <v>1649</v>
      </c>
      <c r="AO59" s="321" t="s">
        <v>1649</v>
      </c>
      <c r="AP59" s="321" t="s">
        <v>1649</v>
      </c>
      <c r="AQ59" s="321" t="s">
        <v>1649</v>
      </c>
      <c r="AR59" s="321" t="s">
        <v>1649</v>
      </c>
      <c r="AS59" s="321" t="s">
        <v>1649</v>
      </c>
      <c r="AT59" s="321" t="s">
        <v>1649</v>
      </c>
      <c r="AU59" s="301" t="s">
        <v>1613</v>
      </c>
    </row>
    <row r="60" spans="1:47" ht="13.5" thickBot="1" x14ac:dyDescent="0.25">
      <c r="A60" s="48" t="s">
        <v>732</v>
      </c>
      <c r="B60" s="291" t="s">
        <v>731</v>
      </c>
      <c r="C60" s="298" t="s">
        <v>34</v>
      </c>
      <c r="D60" s="299" t="s">
        <v>1613</v>
      </c>
      <c r="E60" s="299" t="s">
        <v>1613</v>
      </c>
      <c r="F60" s="299" t="s">
        <v>1613</v>
      </c>
      <c r="G60" s="299" t="s">
        <v>1613</v>
      </c>
      <c r="H60" s="299" t="s">
        <v>1613</v>
      </c>
      <c r="I60" s="299" t="s">
        <v>1613</v>
      </c>
      <c r="J60" s="302">
        <v>11</v>
      </c>
      <c r="K60" s="303">
        <v>5000</v>
      </c>
      <c r="L60" s="303">
        <v>8000</v>
      </c>
      <c r="M60" s="299" t="s">
        <v>1613</v>
      </c>
      <c r="N60" s="299" t="s">
        <v>1613</v>
      </c>
      <c r="O60" s="299" t="s">
        <v>1613</v>
      </c>
      <c r="P60" s="299" t="s">
        <v>1613</v>
      </c>
      <c r="Q60" s="299" t="s">
        <v>1613</v>
      </c>
      <c r="R60" s="299" t="s">
        <v>1613</v>
      </c>
      <c r="S60" s="302">
        <v>6</v>
      </c>
      <c r="T60" s="303">
        <v>2200</v>
      </c>
      <c r="U60" s="303">
        <v>4500</v>
      </c>
      <c r="V60" s="321" t="s">
        <v>1649</v>
      </c>
      <c r="W60" s="321" t="s">
        <v>1649</v>
      </c>
      <c r="X60" s="321" t="s">
        <v>1649</v>
      </c>
      <c r="Y60" s="321" t="s">
        <v>1649</v>
      </c>
      <c r="Z60" s="321" t="s">
        <v>1649</v>
      </c>
      <c r="AA60" s="321" t="s">
        <v>1649</v>
      </c>
      <c r="AB60" s="321" t="s">
        <v>1649</v>
      </c>
      <c r="AC60" s="321" t="s">
        <v>1649</v>
      </c>
      <c r="AD60" s="321" t="s">
        <v>1649</v>
      </c>
      <c r="AE60" s="321" t="s">
        <v>1649</v>
      </c>
      <c r="AF60" s="321" t="s">
        <v>1649</v>
      </c>
      <c r="AG60" s="321" t="s">
        <v>1649</v>
      </c>
      <c r="AH60" s="300" t="s">
        <v>1613</v>
      </c>
      <c r="AI60" s="321" t="s">
        <v>1649</v>
      </c>
      <c r="AJ60" s="321" t="s">
        <v>1649</v>
      </c>
      <c r="AK60" s="321" t="s">
        <v>1649</v>
      </c>
      <c r="AL60" s="321" t="s">
        <v>1649</v>
      </c>
      <c r="AM60" s="321" t="s">
        <v>1649</v>
      </c>
      <c r="AN60" s="321" t="s">
        <v>1649</v>
      </c>
      <c r="AO60" s="321" t="s">
        <v>1649</v>
      </c>
      <c r="AP60" s="321" t="s">
        <v>1649</v>
      </c>
      <c r="AQ60" s="321" t="s">
        <v>1649</v>
      </c>
      <c r="AR60" s="321" t="s">
        <v>1649</v>
      </c>
      <c r="AS60" s="321" t="s">
        <v>1649</v>
      </c>
      <c r="AT60" s="321" t="s">
        <v>1649</v>
      </c>
      <c r="AU60" s="301" t="s">
        <v>1613</v>
      </c>
    </row>
    <row r="61" spans="1:47" ht="13.5" thickBot="1" x14ac:dyDescent="0.25">
      <c r="A61" s="48" t="s">
        <v>750</v>
      </c>
      <c r="B61" s="291" t="s">
        <v>749</v>
      </c>
      <c r="C61" s="298" t="s">
        <v>34</v>
      </c>
      <c r="D61" s="299" t="s">
        <v>1613</v>
      </c>
      <c r="E61" s="299" t="s">
        <v>1613</v>
      </c>
      <c r="F61" s="299" t="s">
        <v>1613</v>
      </c>
      <c r="G61" s="299" t="s">
        <v>1613</v>
      </c>
      <c r="H61" s="299" t="s">
        <v>1613</v>
      </c>
      <c r="I61" s="299" t="s">
        <v>1613</v>
      </c>
      <c r="J61" s="302">
        <v>12</v>
      </c>
      <c r="K61" s="303">
        <v>8112</v>
      </c>
      <c r="L61" s="303">
        <v>8400</v>
      </c>
      <c r="M61" s="302">
        <v>2</v>
      </c>
      <c r="N61" s="303">
        <v>1352</v>
      </c>
      <c r="O61" s="303">
        <v>1500</v>
      </c>
      <c r="P61" s="299" t="s">
        <v>1613</v>
      </c>
      <c r="Q61" s="299" t="s">
        <v>1613</v>
      </c>
      <c r="R61" s="299" t="s">
        <v>1613</v>
      </c>
      <c r="S61" s="299" t="s">
        <v>1613</v>
      </c>
      <c r="T61" s="299" t="s">
        <v>1613</v>
      </c>
      <c r="U61" s="299" t="s">
        <v>1613</v>
      </c>
      <c r="V61" s="321" t="s">
        <v>1649</v>
      </c>
      <c r="W61" s="321" t="s">
        <v>1649</v>
      </c>
      <c r="X61" s="321" t="s">
        <v>1649</v>
      </c>
      <c r="Y61" s="321" t="s">
        <v>1649</v>
      </c>
      <c r="Z61" s="321" t="s">
        <v>1649</v>
      </c>
      <c r="AA61" s="321" t="s">
        <v>1649</v>
      </c>
      <c r="AB61" s="321" t="s">
        <v>1649</v>
      </c>
      <c r="AC61" s="321" t="s">
        <v>1649</v>
      </c>
      <c r="AD61" s="321" t="s">
        <v>1649</v>
      </c>
      <c r="AE61" s="321" t="s">
        <v>1649</v>
      </c>
      <c r="AF61" s="321" t="s">
        <v>1649</v>
      </c>
      <c r="AG61" s="321" t="s">
        <v>1649</v>
      </c>
      <c r="AH61" s="300" t="s">
        <v>1613</v>
      </c>
      <c r="AI61" s="321" t="s">
        <v>1649</v>
      </c>
      <c r="AJ61" s="321" t="s">
        <v>1649</v>
      </c>
      <c r="AK61" s="321" t="s">
        <v>1649</v>
      </c>
      <c r="AL61" s="321" t="s">
        <v>1649</v>
      </c>
      <c r="AM61" s="321" t="s">
        <v>1649</v>
      </c>
      <c r="AN61" s="321" t="s">
        <v>1649</v>
      </c>
      <c r="AO61" s="321" t="s">
        <v>1649</v>
      </c>
      <c r="AP61" s="321" t="s">
        <v>1648</v>
      </c>
      <c r="AQ61" s="321" t="s">
        <v>1649</v>
      </c>
      <c r="AR61" s="321" t="s">
        <v>1649</v>
      </c>
      <c r="AS61" s="321" t="s">
        <v>1649</v>
      </c>
      <c r="AT61" s="321" t="s">
        <v>1649</v>
      </c>
      <c r="AU61" s="301" t="s">
        <v>1613</v>
      </c>
    </row>
    <row r="62" spans="1:47" ht="13.5" thickBot="1" x14ac:dyDescent="0.25">
      <c r="A62" s="48" t="s">
        <v>762</v>
      </c>
      <c r="B62" s="291" t="s">
        <v>761</v>
      </c>
      <c r="C62" s="298" t="s">
        <v>34</v>
      </c>
      <c r="D62" s="302">
        <v>21</v>
      </c>
      <c r="E62" s="303">
        <v>13104</v>
      </c>
      <c r="F62" s="303">
        <v>14000</v>
      </c>
      <c r="G62" s="304"/>
      <c r="H62" s="305"/>
      <c r="I62" s="305"/>
      <c r="J62" s="304"/>
      <c r="K62" s="305"/>
      <c r="L62" s="305"/>
      <c r="M62" s="304"/>
      <c r="N62" s="305"/>
      <c r="O62" s="305"/>
      <c r="P62" s="304"/>
      <c r="Q62" s="305"/>
      <c r="R62" s="305"/>
      <c r="S62" s="302">
        <v>11</v>
      </c>
      <c r="T62" s="303">
        <v>6143</v>
      </c>
      <c r="U62" s="303">
        <v>6400</v>
      </c>
      <c r="V62" s="321" t="s">
        <v>1649</v>
      </c>
      <c r="W62" s="321" t="s">
        <v>1649</v>
      </c>
      <c r="X62" s="321" t="s">
        <v>1649</v>
      </c>
      <c r="Y62" s="321" t="s">
        <v>1649</v>
      </c>
      <c r="Z62" s="321" t="s">
        <v>1649</v>
      </c>
      <c r="AA62" s="321" t="s">
        <v>1648</v>
      </c>
      <c r="AB62" s="321" t="s">
        <v>1648</v>
      </c>
      <c r="AC62" s="321" t="s">
        <v>1648</v>
      </c>
      <c r="AD62" s="321" t="s">
        <v>1649</v>
      </c>
      <c r="AE62" s="321" t="s">
        <v>1649</v>
      </c>
      <c r="AF62" s="321" t="s">
        <v>1649</v>
      </c>
      <c r="AG62" s="321" t="s">
        <v>1649</v>
      </c>
      <c r="AH62" s="300" t="s">
        <v>1613</v>
      </c>
      <c r="AI62" s="321" t="s">
        <v>1649</v>
      </c>
      <c r="AJ62" s="321" t="s">
        <v>1649</v>
      </c>
      <c r="AK62" s="321" t="s">
        <v>1649</v>
      </c>
      <c r="AL62" s="321" t="s">
        <v>1649</v>
      </c>
      <c r="AM62" s="321" t="s">
        <v>1649</v>
      </c>
      <c r="AN62" s="321" t="s">
        <v>1648</v>
      </c>
      <c r="AO62" s="321" t="s">
        <v>1648</v>
      </c>
      <c r="AP62" s="321" t="s">
        <v>1648</v>
      </c>
      <c r="AQ62" s="321" t="s">
        <v>1649</v>
      </c>
      <c r="AR62" s="321" t="s">
        <v>1649</v>
      </c>
      <c r="AS62" s="321" t="s">
        <v>1649</v>
      </c>
      <c r="AT62" s="321" t="s">
        <v>1649</v>
      </c>
      <c r="AU62" s="301" t="s">
        <v>1613</v>
      </c>
    </row>
    <row r="63" spans="1:47" ht="13.5" thickBot="1" x14ac:dyDescent="0.25">
      <c r="A63" s="48" t="s">
        <v>768</v>
      </c>
      <c r="B63" s="291" t="s">
        <v>767</v>
      </c>
      <c r="C63" s="298" t="s">
        <v>34</v>
      </c>
      <c r="D63" s="299" t="s">
        <v>1613</v>
      </c>
      <c r="E63" s="299" t="s">
        <v>1613</v>
      </c>
      <c r="F63" s="299" t="s">
        <v>1613</v>
      </c>
      <c r="G63" s="299" t="s">
        <v>1613</v>
      </c>
      <c r="H63" s="299" t="s">
        <v>1613</v>
      </c>
      <c r="I63" s="299" t="s">
        <v>1613</v>
      </c>
      <c r="J63" s="299" t="s">
        <v>1613</v>
      </c>
      <c r="K63" s="299" t="s">
        <v>1613</v>
      </c>
      <c r="L63" s="299" t="s">
        <v>1613</v>
      </c>
      <c r="M63" s="299" t="s">
        <v>1613</v>
      </c>
      <c r="N63" s="299" t="s">
        <v>1613</v>
      </c>
      <c r="O63" s="299" t="s">
        <v>1613</v>
      </c>
      <c r="P63" s="299" t="s">
        <v>1613</v>
      </c>
      <c r="Q63" s="299" t="s">
        <v>1613</v>
      </c>
      <c r="R63" s="299" t="s">
        <v>1613</v>
      </c>
      <c r="S63" s="302">
        <v>6</v>
      </c>
      <c r="T63" s="303">
        <v>3011</v>
      </c>
      <c r="U63" s="303">
        <v>3011</v>
      </c>
      <c r="V63" s="321" t="s">
        <v>1649</v>
      </c>
      <c r="W63" s="321" t="s">
        <v>1649</v>
      </c>
      <c r="X63" s="321" t="s">
        <v>1649</v>
      </c>
      <c r="Y63" s="321" t="s">
        <v>1649</v>
      </c>
      <c r="Z63" s="321" t="s">
        <v>1649</v>
      </c>
      <c r="AA63" s="321" t="s">
        <v>1649</v>
      </c>
      <c r="AB63" s="321" t="s">
        <v>1649</v>
      </c>
      <c r="AC63" s="321" t="s">
        <v>1649</v>
      </c>
      <c r="AD63" s="321" t="s">
        <v>1649</v>
      </c>
      <c r="AE63" s="321" t="s">
        <v>1649</v>
      </c>
      <c r="AF63" s="321" t="s">
        <v>1649</v>
      </c>
      <c r="AG63" s="321" t="s">
        <v>1649</v>
      </c>
      <c r="AH63" s="300" t="s">
        <v>1613</v>
      </c>
      <c r="AI63" s="321" t="s">
        <v>1649</v>
      </c>
      <c r="AJ63" s="321" t="s">
        <v>1649</v>
      </c>
      <c r="AK63" s="321" t="s">
        <v>1649</v>
      </c>
      <c r="AL63" s="321" t="s">
        <v>1649</v>
      </c>
      <c r="AM63" s="321" t="s">
        <v>1649</v>
      </c>
      <c r="AN63" s="321" t="s">
        <v>1649</v>
      </c>
      <c r="AO63" s="321" t="s">
        <v>1649</v>
      </c>
      <c r="AP63" s="321" t="s">
        <v>1649</v>
      </c>
      <c r="AQ63" s="321" t="s">
        <v>1649</v>
      </c>
      <c r="AR63" s="321" t="s">
        <v>1649</v>
      </c>
      <c r="AS63" s="321" t="s">
        <v>1649</v>
      </c>
      <c r="AT63" s="321" t="s">
        <v>1649</v>
      </c>
      <c r="AU63" s="301" t="s">
        <v>1613</v>
      </c>
    </row>
    <row r="64" spans="1:47" ht="13.5" thickBot="1" x14ac:dyDescent="0.25">
      <c r="A64" s="48" t="s">
        <v>770</v>
      </c>
      <c r="B64" s="291" t="s">
        <v>769</v>
      </c>
      <c r="C64" s="298" t="s">
        <v>34</v>
      </c>
      <c r="D64" s="304"/>
      <c r="E64" s="305"/>
      <c r="F64" s="305"/>
      <c r="G64" s="304"/>
      <c r="H64" s="305"/>
      <c r="I64" s="305"/>
      <c r="J64" s="304"/>
      <c r="K64" s="305"/>
      <c r="L64" s="305"/>
      <c r="M64" s="304"/>
      <c r="N64" s="305"/>
      <c r="O64" s="305"/>
      <c r="P64" s="304"/>
      <c r="Q64" s="305"/>
      <c r="R64" s="305"/>
      <c r="S64" s="302">
        <v>15</v>
      </c>
      <c r="T64" s="303">
        <v>6948</v>
      </c>
      <c r="U64" s="303">
        <v>6948</v>
      </c>
      <c r="V64" s="321" t="s">
        <v>1649</v>
      </c>
      <c r="W64" s="321" t="s">
        <v>1649</v>
      </c>
      <c r="X64" s="321" t="s">
        <v>1649</v>
      </c>
      <c r="Y64" s="321" t="s">
        <v>1649</v>
      </c>
      <c r="Z64" s="321" t="s">
        <v>1649</v>
      </c>
      <c r="AA64" s="321" t="s">
        <v>1648</v>
      </c>
      <c r="AB64" s="321" t="s">
        <v>1648</v>
      </c>
      <c r="AC64" s="321" t="s">
        <v>1648</v>
      </c>
      <c r="AD64" s="321" t="s">
        <v>1649</v>
      </c>
      <c r="AE64" s="321" t="s">
        <v>1649</v>
      </c>
      <c r="AF64" s="321" t="s">
        <v>1649</v>
      </c>
      <c r="AG64" s="321" t="s">
        <v>1649</v>
      </c>
      <c r="AH64" s="300" t="s">
        <v>1613</v>
      </c>
      <c r="AI64" s="321" t="s">
        <v>1649</v>
      </c>
      <c r="AJ64" s="321" t="s">
        <v>1649</v>
      </c>
      <c r="AK64" s="321" t="s">
        <v>1649</v>
      </c>
      <c r="AL64" s="321" t="s">
        <v>1649</v>
      </c>
      <c r="AM64" s="321" t="s">
        <v>1649</v>
      </c>
      <c r="AN64" s="321" t="s">
        <v>1649</v>
      </c>
      <c r="AO64" s="321" t="s">
        <v>1649</v>
      </c>
      <c r="AP64" s="321" t="s">
        <v>1649</v>
      </c>
      <c r="AQ64" s="321" t="s">
        <v>1649</v>
      </c>
      <c r="AR64" s="321" t="s">
        <v>1649</v>
      </c>
      <c r="AS64" s="321" t="s">
        <v>1649</v>
      </c>
      <c r="AT64" s="321" t="s">
        <v>1649</v>
      </c>
      <c r="AU64" s="301" t="s">
        <v>1613</v>
      </c>
    </row>
    <row r="65" spans="1:47" ht="13.5" thickBot="1" x14ac:dyDescent="0.25">
      <c r="A65" s="48" t="s">
        <v>772</v>
      </c>
      <c r="B65" s="291" t="s">
        <v>771</v>
      </c>
      <c r="C65" s="298" t="s">
        <v>34</v>
      </c>
      <c r="D65" s="299" t="s">
        <v>1613</v>
      </c>
      <c r="E65" s="299" t="s">
        <v>1613</v>
      </c>
      <c r="F65" s="299" t="s">
        <v>1613</v>
      </c>
      <c r="G65" s="299" t="s">
        <v>1613</v>
      </c>
      <c r="H65" s="299" t="s">
        <v>1613</v>
      </c>
      <c r="I65" s="299" t="s">
        <v>1613</v>
      </c>
      <c r="J65" s="299" t="s">
        <v>1613</v>
      </c>
      <c r="K65" s="299" t="s">
        <v>1613</v>
      </c>
      <c r="L65" s="299" t="s">
        <v>1613</v>
      </c>
      <c r="M65" s="299" t="s">
        <v>1613</v>
      </c>
      <c r="N65" s="299" t="s">
        <v>1613</v>
      </c>
      <c r="O65" s="299" t="s">
        <v>1613</v>
      </c>
      <c r="P65" s="299" t="s">
        <v>1613</v>
      </c>
      <c r="Q65" s="299" t="s">
        <v>1613</v>
      </c>
      <c r="R65" s="299" t="s">
        <v>1613</v>
      </c>
      <c r="S65" s="299" t="s">
        <v>1613</v>
      </c>
      <c r="T65" s="299" t="s">
        <v>1613</v>
      </c>
      <c r="U65" s="299" t="s">
        <v>1613</v>
      </c>
      <c r="V65" s="321" t="s">
        <v>1649</v>
      </c>
      <c r="W65" s="321" t="s">
        <v>1649</v>
      </c>
      <c r="X65" s="321" t="s">
        <v>1649</v>
      </c>
      <c r="Y65" s="321" t="s">
        <v>1649</v>
      </c>
      <c r="Z65" s="321" t="s">
        <v>1649</v>
      </c>
      <c r="AA65" s="321" t="s">
        <v>1649</v>
      </c>
      <c r="AB65" s="321" t="s">
        <v>1649</v>
      </c>
      <c r="AC65" s="321" t="s">
        <v>1649</v>
      </c>
      <c r="AD65" s="321" t="s">
        <v>1649</v>
      </c>
      <c r="AE65" s="321" t="s">
        <v>1649</v>
      </c>
      <c r="AF65" s="321" t="s">
        <v>1649</v>
      </c>
      <c r="AG65" s="321" t="s">
        <v>1649</v>
      </c>
      <c r="AH65" s="300" t="s">
        <v>1613</v>
      </c>
      <c r="AI65" s="321" t="s">
        <v>1649</v>
      </c>
      <c r="AJ65" s="321" t="s">
        <v>1649</v>
      </c>
      <c r="AK65" s="321" t="s">
        <v>1649</v>
      </c>
      <c r="AL65" s="321" t="s">
        <v>1649</v>
      </c>
      <c r="AM65" s="321" t="s">
        <v>1649</v>
      </c>
      <c r="AN65" s="321" t="s">
        <v>1649</v>
      </c>
      <c r="AO65" s="321" t="s">
        <v>1649</v>
      </c>
      <c r="AP65" s="321" t="s">
        <v>1649</v>
      </c>
      <c r="AQ65" s="321" t="s">
        <v>1649</v>
      </c>
      <c r="AR65" s="321" t="s">
        <v>1649</v>
      </c>
      <c r="AS65" s="321" t="s">
        <v>1649</v>
      </c>
      <c r="AT65" s="321" t="s">
        <v>1649</v>
      </c>
      <c r="AU65" s="301" t="s">
        <v>1613</v>
      </c>
    </row>
    <row r="66" spans="1:47" ht="13.5" thickBot="1" x14ac:dyDescent="0.25">
      <c r="A66" s="48" t="s">
        <v>782</v>
      </c>
      <c r="B66" s="291" t="s">
        <v>781</v>
      </c>
      <c r="C66" s="298" t="s">
        <v>34</v>
      </c>
      <c r="D66" s="304"/>
      <c r="E66" s="305"/>
      <c r="F66" s="305"/>
      <c r="G66" s="304"/>
      <c r="H66" s="305"/>
      <c r="I66" s="305"/>
      <c r="J66" s="304"/>
      <c r="K66" s="305"/>
      <c r="L66" s="305"/>
      <c r="M66" s="304"/>
      <c r="N66" s="305"/>
      <c r="O66" s="303">
        <v>15000</v>
      </c>
      <c r="P66" s="304"/>
      <c r="Q66" s="305"/>
      <c r="R66" s="305"/>
      <c r="S66" s="304"/>
      <c r="T66" s="305"/>
      <c r="U66" s="299"/>
      <c r="V66" s="321" t="s">
        <v>1649</v>
      </c>
      <c r="W66" s="321" t="s">
        <v>1649</v>
      </c>
      <c r="X66" s="321" t="s">
        <v>1649</v>
      </c>
      <c r="Y66" s="321" t="s">
        <v>1649</v>
      </c>
      <c r="Z66" s="321" t="s">
        <v>1649</v>
      </c>
      <c r="AA66" s="321" t="s">
        <v>1649</v>
      </c>
      <c r="AB66" s="321" t="s">
        <v>1649</v>
      </c>
      <c r="AC66" s="321" t="s">
        <v>1649</v>
      </c>
      <c r="AD66" s="321" t="s">
        <v>1649</v>
      </c>
      <c r="AE66" s="321" t="s">
        <v>1649</v>
      </c>
      <c r="AF66" s="321" t="s">
        <v>1649</v>
      </c>
      <c r="AG66" s="321" t="s">
        <v>1649</v>
      </c>
      <c r="AH66" s="300"/>
      <c r="AI66" s="321" t="s">
        <v>1649</v>
      </c>
      <c r="AJ66" s="321" t="s">
        <v>1649</v>
      </c>
      <c r="AK66" s="321" t="s">
        <v>1649</v>
      </c>
      <c r="AL66" s="321" t="s">
        <v>1649</v>
      </c>
      <c r="AM66" s="321" t="s">
        <v>1649</v>
      </c>
      <c r="AN66" s="321" t="s">
        <v>1649</v>
      </c>
      <c r="AO66" s="321" t="s">
        <v>1649</v>
      </c>
      <c r="AP66" s="321" t="s">
        <v>1649</v>
      </c>
      <c r="AQ66" s="321" t="s">
        <v>1649</v>
      </c>
      <c r="AR66" s="321" t="s">
        <v>1649</v>
      </c>
      <c r="AS66" s="321" t="s">
        <v>1649</v>
      </c>
      <c r="AT66" s="321" t="s">
        <v>1649</v>
      </c>
      <c r="AU66" s="301"/>
    </row>
    <row r="67" spans="1:47" ht="13.5" thickBot="1" x14ac:dyDescent="0.25">
      <c r="A67" s="48" t="s">
        <v>794</v>
      </c>
      <c r="B67" s="291" t="s">
        <v>793</v>
      </c>
      <c r="C67" s="298" t="s">
        <v>34</v>
      </c>
      <c r="D67" s="304"/>
      <c r="E67" s="305"/>
      <c r="F67" s="305"/>
      <c r="G67" s="304"/>
      <c r="H67" s="305"/>
      <c r="I67" s="305"/>
      <c r="J67" s="304"/>
      <c r="K67" s="303">
        <v>7488</v>
      </c>
      <c r="L67" s="303">
        <v>8008</v>
      </c>
      <c r="M67" s="302">
        <v>16</v>
      </c>
      <c r="N67" s="303">
        <v>3744</v>
      </c>
      <c r="O67" s="303">
        <v>4014</v>
      </c>
      <c r="P67" s="304"/>
      <c r="Q67" s="305"/>
      <c r="R67" s="305"/>
      <c r="S67" s="304"/>
      <c r="T67" s="305"/>
      <c r="U67" s="305"/>
      <c r="V67" s="321" t="s">
        <v>1649</v>
      </c>
      <c r="W67" s="321" t="s">
        <v>1649</v>
      </c>
      <c r="X67" s="321" t="s">
        <v>1649</v>
      </c>
      <c r="Y67" s="321" t="s">
        <v>1648</v>
      </c>
      <c r="Z67" s="321" t="s">
        <v>1649</v>
      </c>
      <c r="AA67" s="321" t="s">
        <v>1649</v>
      </c>
      <c r="AB67" s="321" t="s">
        <v>1648</v>
      </c>
      <c r="AC67" s="321" t="s">
        <v>1648</v>
      </c>
      <c r="AD67" s="321" t="s">
        <v>1648</v>
      </c>
      <c r="AE67" s="321" t="s">
        <v>1649</v>
      </c>
      <c r="AF67" s="321" t="s">
        <v>1648</v>
      </c>
      <c r="AG67" s="321" t="s">
        <v>1648</v>
      </c>
      <c r="AH67" s="300" t="s">
        <v>1613</v>
      </c>
      <c r="AI67" s="321" t="s">
        <v>1649</v>
      </c>
      <c r="AJ67" s="321" t="s">
        <v>1649</v>
      </c>
      <c r="AK67" s="321" t="s">
        <v>1649</v>
      </c>
      <c r="AL67" s="321" t="s">
        <v>1649</v>
      </c>
      <c r="AM67" s="321" t="s">
        <v>1649</v>
      </c>
      <c r="AN67" s="321" t="s">
        <v>1649</v>
      </c>
      <c r="AO67" s="321" t="s">
        <v>1649</v>
      </c>
      <c r="AP67" s="321" t="s">
        <v>1649</v>
      </c>
      <c r="AQ67" s="321" t="s">
        <v>1649</v>
      </c>
      <c r="AR67" s="321" t="s">
        <v>1649</v>
      </c>
      <c r="AS67" s="321" t="s">
        <v>1649</v>
      </c>
      <c r="AT67" s="321" t="s">
        <v>1649</v>
      </c>
      <c r="AU67" s="301" t="s">
        <v>1613</v>
      </c>
    </row>
    <row r="68" spans="1:47" ht="13.5" thickBot="1" x14ac:dyDescent="0.25">
      <c r="A68" s="48" t="s">
        <v>806</v>
      </c>
      <c r="B68" s="291" t="s">
        <v>805</v>
      </c>
      <c r="C68" s="298" t="s">
        <v>34</v>
      </c>
      <c r="D68" s="299" t="s">
        <v>1613</v>
      </c>
      <c r="E68" s="299" t="s">
        <v>1613</v>
      </c>
      <c r="F68" s="299" t="s">
        <v>1613</v>
      </c>
      <c r="G68" s="299" t="s">
        <v>1613</v>
      </c>
      <c r="H68" s="299" t="s">
        <v>1613</v>
      </c>
      <c r="I68" s="299" t="s">
        <v>1613</v>
      </c>
      <c r="J68" s="302">
        <v>8</v>
      </c>
      <c r="K68" s="299" t="s">
        <v>1613</v>
      </c>
      <c r="L68" s="303">
        <v>4500</v>
      </c>
      <c r="M68" s="302">
        <v>10</v>
      </c>
      <c r="N68" s="299" t="s">
        <v>1613</v>
      </c>
      <c r="O68" s="303">
        <v>4100</v>
      </c>
      <c r="P68" s="299" t="s">
        <v>1613</v>
      </c>
      <c r="Q68" s="299" t="s">
        <v>1613</v>
      </c>
      <c r="R68" s="299" t="s">
        <v>1613</v>
      </c>
      <c r="S68" s="299" t="s">
        <v>1613</v>
      </c>
      <c r="T68" s="299" t="s">
        <v>1613</v>
      </c>
      <c r="U68" s="299" t="s">
        <v>1613</v>
      </c>
      <c r="V68" s="321" t="s">
        <v>1649</v>
      </c>
      <c r="W68" s="321" t="s">
        <v>1649</v>
      </c>
      <c r="X68" s="321" t="s">
        <v>1649</v>
      </c>
      <c r="Y68" s="321" t="s">
        <v>1649</v>
      </c>
      <c r="Z68" s="321" t="s">
        <v>1649</v>
      </c>
      <c r="AA68" s="321" t="s">
        <v>1649</v>
      </c>
      <c r="AB68" s="321" t="s">
        <v>1649</v>
      </c>
      <c r="AC68" s="321" t="s">
        <v>1649</v>
      </c>
      <c r="AD68" s="321" t="s">
        <v>1649</v>
      </c>
      <c r="AE68" s="321" t="s">
        <v>1649</v>
      </c>
      <c r="AF68" s="321" t="s">
        <v>1649</v>
      </c>
      <c r="AG68" s="321" t="s">
        <v>1649</v>
      </c>
      <c r="AH68" s="300" t="s">
        <v>1613</v>
      </c>
      <c r="AI68" s="321" t="s">
        <v>1649</v>
      </c>
      <c r="AJ68" s="321" t="s">
        <v>1649</v>
      </c>
      <c r="AK68" s="321" t="s">
        <v>1649</v>
      </c>
      <c r="AL68" s="321" t="s">
        <v>1649</v>
      </c>
      <c r="AM68" s="321" t="s">
        <v>1649</v>
      </c>
      <c r="AN68" s="321" t="s">
        <v>1649</v>
      </c>
      <c r="AO68" s="321" t="s">
        <v>1649</v>
      </c>
      <c r="AP68" s="321" t="s">
        <v>1649</v>
      </c>
      <c r="AQ68" s="321" t="s">
        <v>1649</v>
      </c>
      <c r="AR68" s="321" t="s">
        <v>1649</v>
      </c>
      <c r="AS68" s="321" t="s">
        <v>1649</v>
      </c>
      <c r="AT68" s="321" t="s">
        <v>1649</v>
      </c>
      <c r="AU68" s="301" t="s">
        <v>1613</v>
      </c>
    </row>
    <row r="69" spans="1:47" ht="13.5" thickBot="1" x14ac:dyDescent="0.25">
      <c r="A69" s="48" t="s">
        <v>814</v>
      </c>
      <c r="B69" s="291" t="s">
        <v>813</v>
      </c>
      <c r="C69" s="298" t="s">
        <v>34</v>
      </c>
      <c r="D69" s="304"/>
      <c r="E69" s="305"/>
      <c r="F69" s="305"/>
      <c r="G69" s="304"/>
      <c r="H69" s="305"/>
      <c r="I69" s="305"/>
      <c r="J69" s="304"/>
      <c r="K69" s="305"/>
      <c r="L69" s="305"/>
      <c r="M69" s="304"/>
      <c r="N69" s="305"/>
      <c r="O69" s="305"/>
      <c r="P69" s="304"/>
      <c r="Q69" s="305"/>
      <c r="R69" s="305"/>
      <c r="S69" s="304"/>
      <c r="T69" s="303">
        <v>6397</v>
      </c>
      <c r="U69" s="303">
        <v>7993</v>
      </c>
      <c r="V69" s="321" t="s">
        <v>1649</v>
      </c>
      <c r="W69" s="321" t="s">
        <v>1649</v>
      </c>
      <c r="X69" s="321" t="s">
        <v>1649</v>
      </c>
      <c r="Y69" s="321" t="s">
        <v>1649</v>
      </c>
      <c r="Z69" s="321" t="s">
        <v>1649</v>
      </c>
      <c r="AA69" s="321" t="s">
        <v>1649</v>
      </c>
      <c r="AB69" s="321" t="s">
        <v>1649</v>
      </c>
      <c r="AC69" s="321" t="s">
        <v>1649</v>
      </c>
      <c r="AD69" s="321" t="s">
        <v>1649</v>
      </c>
      <c r="AE69" s="321" t="s">
        <v>1649</v>
      </c>
      <c r="AF69" s="321" t="s">
        <v>1649</v>
      </c>
      <c r="AG69" s="321" t="s">
        <v>1649</v>
      </c>
      <c r="AH69" s="300"/>
      <c r="AI69" s="321" t="s">
        <v>1649</v>
      </c>
      <c r="AJ69" s="321" t="s">
        <v>1649</v>
      </c>
      <c r="AK69" s="321" t="s">
        <v>1649</v>
      </c>
      <c r="AL69" s="321" t="s">
        <v>1648</v>
      </c>
      <c r="AM69" s="321" t="s">
        <v>1649</v>
      </c>
      <c r="AN69" s="321" t="s">
        <v>1649</v>
      </c>
      <c r="AO69" s="321" t="s">
        <v>1649</v>
      </c>
      <c r="AP69" s="321" t="s">
        <v>1649</v>
      </c>
      <c r="AQ69" s="321" t="s">
        <v>1649</v>
      </c>
      <c r="AR69" s="321" t="s">
        <v>1649</v>
      </c>
      <c r="AS69" s="321" t="s">
        <v>1649</v>
      </c>
      <c r="AT69" s="321" t="s">
        <v>1649</v>
      </c>
      <c r="AU69" s="301"/>
    </row>
    <row r="70" spans="1:47" ht="13.5" thickBot="1" x14ac:dyDescent="0.25">
      <c r="A70" s="48" t="s">
        <v>14</v>
      </c>
      <c r="B70" s="291" t="s">
        <v>13</v>
      </c>
      <c r="C70" s="298" t="s">
        <v>17</v>
      </c>
      <c r="D70" s="302">
        <v>20</v>
      </c>
      <c r="E70" s="303">
        <v>10000</v>
      </c>
      <c r="F70" s="303">
        <v>14500</v>
      </c>
      <c r="G70" s="304"/>
      <c r="H70" s="305"/>
      <c r="I70" s="305"/>
      <c r="J70" s="304"/>
      <c r="K70" s="305"/>
      <c r="L70" s="305"/>
      <c r="M70" s="304"/>
      <c r="N70" s="305"/>
      <c r="O70" s="305"/>
      <c r="P70" s="304"/>
      <c r="Q70" s="305"/>
      <c r="R70" s="305"/>
      <c r="S70" s="302">
        <v>20</v>
      </c>
      <c r="T70" s="303">
        <v>3000</v>
      </c>
      <c r="U70" s="303">
        <v>10500</v>
      </c>
      <c r="V70" s="321" t="s">
        <v>1649</v>
      </c>
      <c r="W70" s="321" t="s">
        <v>1649</v>
      </c>
      <c r="X70" s="321" t="s">
        <v>1649</v>
      </c>
      <c r="Y70" s="321" t="s">
        <v>1649</v>
      </c>
      <c r="Z70" s="321" t="s">
        <v>1649</v>
      </c>
      <c r="AA70" s="321" t="s">
        <v>1648</v>
      </c>
      <c r="AB70" s="321" t="s">
        <v>1648</v>
      </c>
      <c r="AC70" s="321" t="s">
        <v>1648</v>
      </c>
      <c r="AD70" s="321" t="s">
        <v>1649</v>
      </c>
      <c r="AE70" s="321" t="s">
        <v>1649</v>
      </c>
      <c r="AF70" s="321" t="s">
        <v>1648</v>
      </c>
      <c r="AG70" s="321" t="s">
        <v>1649</v>
      </c>
      <c r="AH70" s="300" t="s">
        <v>1613</v>
      </c>
      <c r="AI70" s="321" t="s">
        <v>1649</v>
      </c>
      <c r="AJ70" s="321" t="s">
        <v>1649</v>
      </c>
      <c r="AK70" s="321" t="s">
        <v>1649</v>
      </c>
      <c r="AL70" s="321" t="s">
        <v>1649</v>
      </c>
      <c r="AM70" s="321" t="s">
        <v>1649</v>
      </c>
      <c r="AN70" s="321" t="s">
        <v>1648</v>
      </c>
      <c r="AO70" s="321" t="s">
        <v>1648</v>
      </c>
      <c r="AP70" s="321" t="s">
        <v>1648</v>
      </c>
      <c r="AQ70" s="321" t="s">
        <v>1649</v>
      </c>
      <c r="AR70" s="321" t="s">
        <v>1649</v>
      </c>
      <c r="AS70" s="321" t="s">
        <v>1648</v>
      </c>
      <c r="AT70" s="321" t="s">
        <v>1649</v>
      </c>
      <c r="AU70" s="301" t="s">
        <v>1613</v>
      </c>
    </row>
    <row r="71" spans="1:47" ht="13.5" thickBot="1" x14ac:dyDescent="0.25">
      <c r="A71" s="48" t="s">
        <v>45</v>
      </c>
      <c r="B71" s="291" t="s">
        <v>44</v>
      </c>
      <c r="C71" s="298" t="s">
        <v>17</v>
      </c>
      <c r="D71" s="299" t="s">
        <v>1613</v>
      </c>
      <c r="E71" s="299" t="s">
        <v>1613</v>
      </c>
      <c r="F71" s="299" t="s">
        <v>1613</v>
      </c>
      <c r="G71" s="302">
        <v>32</v>
      </c>
      <c r="H71" s="303">
        <v>22000</v>
      </c>
      <c r="I71" s="303">
        <v>26000</v>
      </c>
      <c r="J71" s="299" t="s">
        <v>1613</v>
      </c>
      <c r="K71" s="299" t="s">
        <v>1613</v>
      </c>
      <c r="L71" s="299" t="s">
        <v>1613</v>
      </c>
      <c r="M71" s="299" t="s">
        <v>1613</v>
      </c>
      <c r="N71" s="299" t="s">
        <v>1613</v>
      </c>
      <c r="O71" s="299" t="s">
        <v>1613</v>
      </c>
      <c r="P71" s="299" t="s">
        <v>1613</v>
      </c>
      <c r="Q71" s="299" t="s">
        <v>1613</v>
      </c>
      <c r="R71" s="299" t="s">
        <v>1613</v>
      </c>
      <c r="S71" s="302">
        <v>32</v>
      </c>
      <c r="T71" s="303">
        <v>15000</v>
      </c>
      <c r="U71" s="303">
        <v>22000</v>
      </c>
      <c r="V71" s="321" t="s">
        <v>1648</v>
      </c>
      <c r="W71" s="321" t="s">
        <v>1649</v>
      </c>
      <c r="X71" s="321" t="s">
        <v>1649</v>
      </c>
      <c r="Y71" s="321" t="s">
        <v>1649</v>
      </c>
      <c r="Z71" s="321" t="s">
        <v>1649</v>
      </c>
      <c r="AA71" s="321" t="s">
        <v>1648</v>
      </c>
      <c r="AB71" s="321" t="s">
        <v>1648</v>
      </c>
      <c r="AC71" s="321" t="s">
        <v>1648</v>
      </c>
      <c r="AD71" s="321" t="s">
        <v>1649</v>
      </c>
      <c r="AE71" s="321" t="s">
        <v>1649</v>
      </c>
      <c r="AF71" s="321" t="s">
        <v>1648</v>
      </c>
      <c r="AG71" s="321" t="s">
        <v>1649</v>
      </c>
      <c r="AH71" s="300" t="s">
        <v>1613</v>
      </c>
      <c r="AI71" s="321" t="s">
        <v>1649</v>
      </c>
      <c r="AJ71" s="321" t="s">
        <v>1649</v>
      </c>
      <c r="AK71" s="321" t="s">
        <v>1649</v>
      </c>
      <c r="AL71" s="321" t="s">
        <v>1649</v>
      </c>
      <c r="AM71" s="321" t="s">
        <v>1649</v>
      </c>
      <c r="AN71" s="321" t="s">
        <v>1648</v>
      </c>
      <c r="AO71" s="321" t="s">
        <v>1648</v>
      </c>
      <c r="AP71" s="321" t="s">
        <v>1648</v>
      </c>
      <c r="AQ71" s="321" t="s">
        <v>1649</v>
      </c>
      <c r="AR71" s="321" t="s">
        <v>1649</v>
      </c>
      <c r="AS71" s="321" t="s">
        <v>1648</v>
      </c>
      <c r="AT71" s="321" t="s">
        <v>1649</v>
      </c>
      <c r="AU71" s="301" t="s">
        <v>1613</v>
      </c>
    </row>
    <row r="72" spans="1:47" ht="13.5" thickBot="1" x14ac:dyDescent="0.25">
      <c r="A72" s="48" t="s">
        <v>56</v>
      </c>
      <c r="B72" s="291" t="s">
        <v>55</v>
      </c>
      <c r="C72" s="298" t="s">
        <v>17</v>
      </c>
      <c r="D72" s="299" t="s">
        <v>1613</v>
      </c>
      <c r="E72" s="299" t="s">
        <v>1613</v>
      </c>
      <c r="F72" s="299" t="s">
        <v>1613</v>
      </c>
      <c r="G72" s="299" t="s">
        <v>1613</v>
      </c>
      <c r="H72" s="299" t="s">
        <v>1613</v>
      </c>
      <c r="I72" s="299" t="s">
        <v>1613</v>
      </c>
      <c r="J72" s="299" t="s">
        <v>1613</v>
      </c>
      <c r="K72" s="299" t="s">
        <v>1613</v>
      </c>
      <c r="L72" s="299" t="s">
        <v>1613</v>
      </c>
      <c r="M72" s="299" t="s">
        <v>1613</v>
      </c>
      <c r="N72" s="299" t="s">
        <v>1613</v>
      </c>
      <c r="O72" s="299" t="s">
        <v>1613</v>
      </c>
      <c r="P72" s="299" t="s">
        <v>1613</v>
      </c>
      <c r="Q72" s="303">
        <v>14000</v>
      </c>
      <c r="R72" s="303">
        <v>18000</v>
      </c>
      <c r="S72" s="302">
        <v>20</v>
      </c>
      <c r="T72" s="303">
        <v>10000</v>
      </c>
      <c r="U72" s="303">
        <v>16000</v>
      </c>
      <c r="V72" s="321" t="s">
        <v>1649</v>
      </c>
      <c r="W72" s="321" t="s">
        <v>1649</v>
      </c>
      <c r="X72" s="321" t="s">
        <v>1649</v>
      </c>
      <c r="Y72" s="321" t="s">
        <v>1649</v>
      </c>
      <c r="Z72" s="321" t="s">
        <v>1649</v>
      </c>
      <c r="AA72" s="321" t="s">
        <v>1649</v>
      </c>
      <c r="AB72" s="321" t="s">
        <v>1648</v>
      </c>
      <c r="AC72" s="321" t="s">
        <v>1649</v>
      </c>
      <c r="AD72" s="321" t="s">
        <v>1649</v>
      </c>
      <c r="AE72" s="321" t="s">
        <v>1649</v>
      </c>
      <c r="AF72" s="321" t="s">
        <v>1649</v>
      </c>
      <c r="AG72" s="321" t="s">
        <v>1649</v>
      </c>
      <c r="AH72" s="300" t="s">
        <v>1613</v>
      </c>
      <c r="AI72" s="321" t="s">
        <v>1649</v>
      </c>
      <c r="AJ72" s="321" t="s">
        <v>1649</v>
      </c>
      <c r="AK72" s="321" t="s">
        <v>1649</v>
      </c>
      <c r="AL72" s="321" t="s">
        <v>1649</v>
      </c>
      <c r="AM72" s="321" t="s">
        <v>1649</v>
      </c>
      <c r="AN72" s="321" t="s">
        <v>1649</v>
      </c>
      <c r="AO72" s="321" t="s">
        <v>1648</v>
      </c>
      <c r="AP72" s="321" t="s">
        <v>1649</v>
      </c>
      <c r="AQ72" s="321" t="s">
        <v>1649</v>
      </c>
      <c r="AR72" s="321" t="s">
        <v>1649</v>
      </c>
      <c r="AS72" s="321" t="s">
        <v>1649</v>
      </c>
      <c r="AT72" s="321" t="s">
        <v>1649</v>
      </c>
      <c r="AU72" s="301" t="s">
        <v>1613</v>
      </c>
    </row>
    <row r="73" spans="1:47" ht="13.5" thickBot="1" x14ac:dyDescent="0.25">
      <c r="A73" s="48" t="s">
        <v>60</v>
      </c>
      <c r="B73" s="291" t="s">
        <v>59</v>
      </c>
      <c r="C73" s="298" t="s">
        <v>17</v>
      </c>
      <c r="D73" s="302">
        <v>16</v>
      </c>
      <c r="E73" s="303">
        <v>10400</v>
      </c>
      <c r="F73" s="303">
        <v>10400</v>
      </c>
      <c r="G73" s="299" t="s">
        <v>1613</v>
      </c>
      <c r="H73" s="299" t="s">
        <v>1613</v>
      </c>
      <c r="I73" s="299" t="s">
        <v>1613</v>
      </c>
      <c r="J73" s="299" t="s">
        <v>1613</v>
      </c>
      <c r="K73" s="299" t="s">
        <v>1613</v>
      </c>
      <c r="L73" s="299" t="s">
        <v>1613</v>
      </c>
      <c r="M73" s="302">
        <v>19</v>
      </c>
      <c r="N73" s="303">
        <v>11856</v>
      </c>
      <c r="O73" s="303">
        <v>11856</v>
      </c>
      <c r="P73" s="299" t="s">
        <v>1613</v>
      </c>
      <c r="Q73" s="299" t="s">
        <v>1613</v>
      </c>
      <c r="R73" s="299" t="s">
        <v>1613</v>
      </c>
      <c r="S73" s="299" t="s">
        <v>1613</v>
      </c>
      <c r="T73" s="299" t="s">
        <v>1613</v>
      </c>
      <c r="U73" s="299" t="s">
        <v>1613</v>
      </c>
      <c r="V73" s="321" t="s">
        <v>1649</v>
      </c>
      <c r="W73" s="321" t="s">
        <v>1649</v>
      </c>
      <c r="X73" s="321" t="s">
        <v>1649</v>
      </c>
      <c r="Y73" s="321" t="s">
        <v>1649</v>
      </c>
      <c r="Z73" s="321" t="s">
        <v>1649</v>
      </c>
      <c r="AA73" s="321" t="s">
        <v>1649</v>
      </c>
      <c r="AB73" s="321" t="s">
        <v>1649</v>
      </c>
      <c r="AC73" s="321" t="s">
        <v>1649</v>
      </c>
      <c r="AD73" s="321" t="s">
        <v>1649</v>
      </c>
      <c r="AE73" s="321" t="s">
        <v>1649</v>
      </c>
      <c r="AF73" s="321" t="s">
        <v>1649</v>
      </c>
      <c r="AG73" s="321" t="s">
        <v>1649</v>
      </c>
      <c r="AH73" s="300" t="s">
        <v>1613</v>
      </c>
      <c r="AI73" s="321" t="s">
        <v>1649</v>
      </c>
      <c r="AJ73" s="321" t="s">
        <v>1649</v>
      </c>
      <c r="AK73" s="321" t="s">
        <v>1649</v>
      </c>
      <c r="AL73" s="321" t="s">
        <v>1649</v>
      </c>
      <c r="AM73" s="321" t="s">
        <v>1649</v>
      </c>
      <c r="AN73" s="321" t="s">
        <v>1649</v>
      </c>
      <c r="AO73" s="321" t="s">
        <v>1649</v>
      </c>
      <c r="AP73" s="321" t="s">
        <v>1649</v>
      </c>
      <c r="AQ73" s="321" t="s">
        <v>1649</v>
      </c>
      <c r="AR73" s="321" t="s">
        <v>1649</v>
      </c>
      <c r="AS73" s="321" t="s">
        <v>1649</v>
      </c>
      <c r="AT73" s="321" t="s">
        <v>1649</v>
      </c>
      <c r="AU73" s="301" t="s">
        <v>1613</v>
      </c>
    </row>
    <row r="74" spans="1:47" ht="13.5" thickBot="1" x14ac:dyDescent="0.25">
      <c r="A74" s="48" t="s">
        <v>70</v>
      </c>
      <c r="B74" s="291" t="s">
        <v>69</v>
      </c>
      <c r="C74" s="298" t="s">
        <v>17</v>
      </c>
      <c r="D74" s="304"/>
      <c r="E74" s="305"/>
      <c r="F74" s="305"/>
      <c r="G74" s="304"/>
      <c r="H74" s="305"/>
      <c r="I74" s="305"/>
      <c r="J74" s="302">
        <v>25</v>
      </c>
      <c r="K74" s="303">
        <v>16000</v>
      </c>
      <c r="L74" s="303">
        <v>18000</v>
      </c>
      <c r="M74" s="302">
        <v>15</v>
      </c>
      <c r="N74" s="303">
        <v>8500</v>
      </c>
      <c r="O74" s="303">
        <v>10000</v>
      </c>
      <c r="P74" s="304"/>
      <c r="Q74" s="305"/>
      <c r="R74" s="305"/>
      <c r="S74" s="302">
        <v>10</v>
      </c>
      <c r="T74" s="303">
        <v>5200</v>
      </c>
      <c r="U74" s="303">
        <v>7000</v>
      </c>
      <c r="V74" s="321" t="s">
        <v>1649</v>
      </c>
      <c r="W74" s="321" t="s">
        <v>1649</v>
      </c>
      <c r="X74" s="321" t="s">
        <v>1649</v>
      </c>
      <c r="Y74" s="321" t="s">
        <v>1649</v>
      </c>
      <c r="Z74" s="321" t="s">
        <v>1649</v>
      </c>
      <c r="AA74" s="321" t="s">
        <v>1648</v>
      </c>
      <c r="AB74" s="321" t="s">
        <v>1648</v>
      </c>
      <c r="AC74" s="321" t="s">
        <v>1648</v>
      </c>
      <c r="AD74" s="321" t="s">
        <v>1649</v>
      </c>
      <c r="AE74" s="321" t="s">
        <v>1649</v>
      </c>
      <c r="AF74" s="321" t="s">
        <v>1648</v>
      </c>
      <c r="AG74" s="321" t="s">
        <v>1649</v>
      </c>
      <c r="AH74" s="300" t="s">
        <v>1613</v>
      </c>
      <c r="AI74" s="321" t="s">
        <v>1649</v>
      </c>
      <c r="AJ74" s="321" t="s">
        <v>1649</v>
      </c>
      <c r="AK74" s="321" t="s">
        <v>1649</v>
      </c>
      <c r="AL74" s="321" t="s">
        <v>1649</v>
      </c>
      <c r="AM74" s="321" t="s">
        <v>1649</v>
      </c>
      <c r="AN74" s="321" t="s">
        <v>1648</v>
      </c>
      <c r="AO74" s="321" t="s">
        <v>1648</v>
      </c>
      <c r="AP74" s="321" t="s">
        <v>1648</v>
      </c>
      <c r="AQ74" s="321" t="s">
        <v>1649</v>
      </c>
      <c r="AR74" s="321" t="s">
        <v>1649</v>
      </c>
      <c r="AS74" s="321" t="s">
        <v>1648</v>
      </c>
      <c r="AT74" s="321" t="s">
        <v>1649</v>
      </c>
      <c r="AU74" s="301" t="s">
        <v>1613</v>
      </c>
    </row>
    <row r="75" spans="1:47" ht="13.5" thickBot="1" x14ac:dyDescent="0.25">
      <c r="A75" s="48" t="s">
        <v>74</v>
      </c>
      <c r="B75" s="291" t="s">
        <v>73</v>
      </c>
      <c r="C75" s="298" t="s">
        <v>17</v>
      </c>
      <c r="D75" s="302">
        <v>36</v>
      </c>
      <c r="E75" s="303">
        <v>28000</v>
      </c>
      <c r="F75" s="303">
        <v>28000</v>
      </c>
      <c r="G75" s="299" t="s">
        <v>1613</v>
      </c>
      <c r="H75" s="299" t="s">
        <v>1613</v>
      </c>
      <c r="I75" s="299" t="s">
        <v>1613</v>
      </c>
      <c r="J75" s="299" t="s">
        <v>1613</v>
      </c>
      <c r="K75" s="299" t="s">
        <v>1613</v>
      </c>
      <c r="L75" s="299" t="s">
        <v>1613</v>
      </c>
      <c r="M75" s="299" t="s">
        <v>1613</v>
      </c>
      <c r="N75" s="299" t="s">
        <v>1613</v>
      </c>
      <c r="O75" s="299" t="s">
        <v>1613</v>
      </c>
      <c r="P75" s="299" t="s">
        <v>1613</v>
      </c>
      <c r="Q75" s="299" t="s">
        <v>1613</v>
      </c>
      <c r="R75" s="299" t="s">
        <v>1613</v>
      </c>
      <c r="S75" s="302">
        <v>15</v>
      </c>
      <c r="T75" s="303">
        <v>2700</v>
      </c>
      <c r="U75" s="303">
        <v>14500</v>
      </c>
      <c r="V75" s="321" t="s">
        <v>1649</v>
      </c>
      <c r="W75" s="321" t="s">
        <v>1649</v>
      </c>
      <c r="X75" s="321" t="s">
        <v>1649</v>
      </c>
      <c r="Y75" s="321" t="s">
        <v>1649</v>
      </c>
      <c r="Z75" s="321" t="s">
        <v>1649</v>
      </c>
      <c r="AA75" s="321" t="s">
        <v>1649</v>
      </c>
      <c r="AB75" s="321" t="s">
        <v>1649</v>
      </c>
      <c r="AC75" s="321" t="s">
        <v>1648</v>
      </c>
      <c r="AD75" s="321" t="s">
        <v>1649</v>
      </c>
      <c r="AE75" s="321" t="s">
        <v>1649</v>
      </c>
      <c r="AF75" s="321" t="s">
        <v>1648</v>
      </c>
      <c r="AG75" s="321" t="s">
        <v>1649</v>
      </c>
      <c r="AH75" s="300" t="s">
        <v>1613</v>
      </c>
      <c r="AI75" s="321" t="s">
        <v>1649</v>
      </c>
      <c r="AJ75" s="321" t="s">
        <v>1649</v>
      </c>
      <c r="AK75" s="321" t="s">
        <v>1649</v>
      </c>
      <c r="AL75" s="321" t="s">
        <v>1649</v>
      </c>
      <c r="AM75" s="321" t="s">
        <v>1649</v>
      </c>
      <c r="AN75" s="321" t="s">
        <v>1649</v>
      </c>
      <c r="AO75" s="321" t="s">
        <v>1649</v>
      </c>
      <c r="AP75" s="321" t="s">
        <v>1648</v>
      </c>
      <c r="AQ75" s="321" t="s">
        <v>1649</v>
      </c>
      <c r="AR75" s="321" t="s">
        <v>1649</v>
      </c>
      <c r="AS75" s="321" t="s">
        <v>1648</v>
      </c>
      <c r="AT75" s="321" t="s">
        <v>1649</v>
      </c>
      <c r="AU75" s="301" t="s">
        <v>1613</v>
      </c>
    </row>
    <row r="76" spans="1:47" ht="13.5" thickBot="1" x14ac:dyDescent="0.25">
      <c r="A76" s="48" t="s">
        <v>98</v>
      </c>
      <c r="B76" s="291" t="s">
        <v>97</v>
      </c>
      <c r="C76" s="298" t="s">
        <v>17</v>
      </c>
      <c r="D76" s="299" t="s">
        <v>1613</v>
      </c>
      <c r="E76" s="299" t="s">
        <v>1613</v>
      </c>
      <c r="F76" s="299" t="s">
        <v>1613</v>
      </c>
      <c r="G76" s="299" t="s">
        <v>1613</v>
      </c>
      <c r="H76" s="299" t="s">
        <v>1613</v>
      </c>
      <c r="I76" s="299" t="s">
        <v>1613</v>
      </c>
      <c r="J76" s="299" t="s">
        <v>1613</v>
      </c>
      <c r="K76" s="299" t="s">
        <v>1613</v>
      </c>
      <c r="L76" s="299" t="s">
        <v>1613</v>
      </c>
      <c r="M76" s="299" t="s">
        <v>1613</v>
      </c>
      <c r="N76" s="299" t="s">
        <v>1613</v>
      </c>
      <c r="O76" s="299" t="s">
        <v>1613</v>
      </c>
      <c r="P76" s="299" t="s">
        <v>1613</v>
      </c>
      <c r="Q76" s="299" t="s">
        <v>1613</v>
      </c>
      <c r="R76" s="299" t="s">
        <v>1613</v>
      </c>
      <c r="S76" s="302">
        <v>13</v>
      </c>
      <c r="T76" s="303">
        <v>5311</v>
      </c>
      <c r="U76" s="303">
        <v>5311</v>
      </c>
      <c r="V76" s="321" t="s">
        <v>1649</v>
      </c>
      <c r="W76" s="321" t="s">
        <v>1649</v>
      </c>
      <c r="X76" s="321" t="s">
        <v>1649</v>
      </c>
      <c r="Y76" s="321" t="s">
        <v>1649</v>
      </c>
      <c r="Z76" s="321" t="s">
        <v>1649</v>
      </c>
      <c r="AA76" s="321" t="s">
        <v>1649</v>
      </c>
      <c r="AB76" s="321" t="s">
        <v>1649</v>
      </c>
      <c r="AC76" s="321" t="s">
        <v>1649</v>
      </c>
      <c r="AD76" s="321" t="s">
        <v>1649</v>
      </c>
      <c r="AE76" s="321" t="s">
        <v>1649</v>
      </c>
      <c r="AF76" s="321" t="s">
        <v>1649</v>
      </c>
      <c r="AG76" s="321" t="s">
        <v>1649</v>
      </c>
      <c r="AH76" s="300" t="s">
        <v>1613</v>
      </c>
      <c r="AI76" s="321" t="s">
        <v>1649</v>
      </c>
      <c r="AJ76" s="321" t="s">
        <v>1649</v>
      </c>
      <c r="AK76" s="321" t="s">
        <v>1649</v>
      </c>
      <c r="AL76" s="321" t="s">
        <v>1649</v>
      </c>
      <c r="AM76" s="321" t="s">
        <v>1649</v>
      </c>
      <c r="AN76" s="321" t="s">
        <v>1649</v>
      </c>
      <c r="AO76" s="321" t="s">
        <v>1649</v>
      </c>
      <c r="AP76" s="321" t="s">
        <v>1649</v>
      </c>
      <c r="AQ76" s="321" t="s">
        <v>1649</v>
      </c>
      <c r="AR76" s="321" t="s">
        <v>1649</v>
      </c>
      <c r="AS76" s="321" t="s">
        <v>1649</v>
      </c>
      <c r="AT76" s="321" t="s">
        <v>1649</v>
      </c>
      <c r="AU76" s="301" t="s">
        <v>1613</v>
      </c>
    </row>
    <row r="77" spans="1:47" ht="13.5" thickBot="1" x14ac:dyDescent="0.25">
      <c r="A77" s="48" t="s">
        <v>120</v>
      </c>
      <c r="B77" s="291" t="s">
        <v>119</v>
      </c>
      <c r="C77" s="298" t="s">
        <v>17</v>
      </c>
      <c r="D77" s="304"/>
      <c r="E77" s="305"/>
      <c r="F77" s="305"/>
      <c r="G77" s="304"/>
      <c r="H77" s="305"/>
      <c r="I77" s="305"/>
      <c r="J77" s="302">
        <v>40</v>
      </c>
      <c r="K77" s="303">
        <v>27000</v>
      </c>
      <c r="L77" s="303">
        <v>30000</v>
      </c>
      <c r="M77" s="302">
        <v>20</v>
      </c>
      <c r="N77" s="305"/>
      <c r="O77" s="305"/>
      <c r="P77" s="304"/>
      <c r="Q77" s="305"/>
      <c r="R77" s="305"/>
      <c r="S77" s="302">
        <v>20</v>
      </c>
      <c r="T77" s="303">
        <v>11000</v>
      </c>
      <c r="U77" s="303">
        <v>16000</v>
      </c>
      <c r="V77" s="321" t="s">
        <v>1649</v>
      </c>
      <c r="W77" s="321" t="s">
        <v>1649</v>
      </c>
      <c r="X77" s="321" t="s">
        <v>1648</v>
      </c>
      <c r="Y77" s="321" t="s">
        <v>1649</v>
      </c>
      <c r="Z77" s="321" t="s">
        <v>1649</v>
      </c>
      <c r="AA77" s="321" t="s">
        <v>1649</v>
      </c>
      <c r="AB77" s="321" t="s">
        <v>1648</v>
      </c>
      <c r="AC77" s="321" t="s">
        <v>1648</v>
      </c>
      <c r="AD77" s="321" t="s">
        <v>1649</v>
      </c>
      <c r="AE77" s="321" t="s">
        <v>1649</v>
      </c>
      <c r="AF77" s="321" t="s">
        <v>1648</v>
      </c>
      <c r="AG77" s="321" t="s">
        <v>1649</v>
      </c>
      <c r="AH77" s="300" t="s">
        <v>1613</v>
      </c>
      <c r="AI77" s="321" t="s">
        <v>1649</v>
      </c>
      <c r="AJ77" s="321" t="s">
        <v>1649</v>
      </c>
      <c r="AK77" s="321" t="s">
        <v>1648</v>
      </c>
      <c r="AL77" s="321" t="s">
        <v>1649</v>
      </c>
      <c r="AM77" s="321" t="s">
        <v>1649</v>
      </c>
      <c r="AN77" s="321" t="s">
        <v>1649</v>
      </c>
      <c r="AO77" s="321" t="s">
        <v>1648</v>
      </c>
      <c r="AP77" s="321" t="s">
        <v>1648</v>
      </c>
      <c r="AQ77" s="321" t="s">
        <v>1649</v>
      </c>
      <c r="AR77" s="321" t="s">
        <v>1648</v>
      </c>
      <c r="AS77" s="321" t="s">
        <v>1648</v>
      </c>
      <c r="AT77" s="321" t="s">
        <v>1649</v>
      </c>
      <c r="AU77" s="301" t="s">
        <v>1613</v>
      </c>
    </row>
    <row r="78" spans="1:47" ht="13.5" thickBot="1" x14ac:dyDescent="0.25">
      <c r="A78" s="48" t="s">
        <v>126</v>
      </c>
      <c r="B78" s="291" t="s">
        <v>125</v>
      </c>
      <c r="C78" s="298" t="s">
        <v>17</v>
      </c>
      <c r="D78" s="304"/>
      <c r="E78" s="305"/>
      <c r="F78" s="305"/>
      <c r="G78" s="304"/>
      <c r="H78" s="305"/>
      <c r="I78" s="305"/>
      <c r="J78" s="304"/>
      <c r="K78" s="305"/>
      <c r="L78" s="305"/>
      <c r="M78" s="304"/>
      <c r="N78" s="305"/>
      <c r="O78" s="305"/>
      <c r="P78" s="304"/>
      <c r="Q78" s="305"/>
      <c r="R78" s="305"/>
      <c r="S78" s="304"/>
      <c r="T78" s="305"/>
      <c r="U78" s="305"/>
      <c r="V78" s="321" t="s">
        <v>1649</v>
      </c>
      <c r="W78" s="321" t="s">
        <v>1649</v>
      </c>
      <c r="X78" s="321" t="s">
        <v>1649</v>
      </c>
      <c r="Y78" s="321" t="s">
        <v>1649</v>
      </c>
      <c r="Z78" s="321" t="s">
        <v>1649</v>
      </c>
      <c r="AA78" s="321" t="s">
        <v>1649</v>
      </c>
      <c r="AB78" s="321" t="s">
        <v>1649</v>
      </c>
      <c r="AC78" s="321" t="s">
        <v>1649</v>
      </c>
      <c r="AD78" s="321" t="s">
        <v>1649</v>
      </c>
      <c r="AE78" s="321" t="s">
        <v>1649</v>
      </c>
      <c r="AF78" s="321" t="s">
        <v>1649</v>
      </c>
      <c r="AG78" s="321" t="s">
        <v>1649</v>
      </c>
      <c r="AH78" s="300" t="s">
        <v>1613</v>
      </c>
      <c r="AI78" s="321" t="s">
        <v>1649</v>
      </c>
      <c r="AJ78" s="321" t="s">
        <v>1649</v>
      </c>
      <c r="AK78" s="321" t="s">
        <v>1649</v>
      </c>
      <c r="AL78" s="321" t="s">
        <v>1649</v>
      </c>
      <c r="AM78" s="321" t="s">
        <v>1649</v>
      </c>
      <c r="AN78" s="321" t="s">
        <v>1649</v>
      </c>
      <c r="AO78" s="321" t="s">
        <v>1649</v>
      </c>
      <c r="AP78" s="321" t="s">
        <v>1649</v>
      </c>
      <c r="AQ78" s="321" t="s">
        <v>1649</v>
      </c>
      <c r="AR78" s="321" t="s">
        <v>1649</v>
      </c>
      <c r="AS78" s="321" t="s">
        <v>1649</v>
      </c>
      <c r="AT78" s="321" t="s">
        <v>1649</v>
      </c>
      <c r="AU78" s="301" t="s">
        <v>1613</v>
      </c>
    </row>
    <row r="79" spans="1:47" ht="13.5" thickBot="1" x14ac:dyDescent="0.25">
      <c r="A79" s="48" t="s">
        <v>138</v>
      </c>
      <c r="B79" s="291" t="s">
        <v>137</v>
      </c>
      <c r="C79" s="298" t="s">
        <v>17</v>
      </c>
      <c r="D79" s="299" t="s">
        <v>1613</v>
      </c>
      <c r="E79" s="299" t="s">
        <v>1613</v>
      </c>
      <c r="F79" s="299" t="s">
        <v>1613</v>
      </c>
      <c r="G79" s="299" t="s">
        <v>1613</v>
      </c>
      <c r="H79" s="299" t="s">
        <v>1613</v>
      </c>
      <c r="I79" s="299" t="s">
        <v>1613</v>
      </c>
      <c r="J79" s="299" t="s">
        <v>1613</v>
      </c>
      <c r="K79" s="299" t="s">
        <v>1613</v>
      </c>
      <c r="L79" s="299" t="s">
        <v>1613</v>
      </c>
      <c r="M79" s="299" t="s">
        <v>1613</v>
      </c>
      <c r="N79" s="299" t="s">
        <v>1613</v>
      </c>
      <c r="O79" s="299" t="s">
        <v>1613</v>
      </c>
      <c r="P79" s="299" t="s">
        <v>1613</v>
      </c>
      <c r="Q79" s="299" t="s">
        <v>1613</v>
      </c>
      <c r="R79" s="299" t="s">
        <v>1613</v>
      </c>
      <c r="S79" s="302">
        <v>22</v>
      </c>
      <c r="T79" s="303">
        <v>10296</v>
      </c>
      <c r="U79" s="303">
        <v>12168</v>
      </c>
      <c r="V79" s="321" t="s">
        <v>1649</v>
      </c>
      <c r="W79" s="321" t="s">
        <v>1649</v>
      </c>
      <c r="X79" s="321" t="s">
        <v>1649</v>
      </c>
      <c r="Y79" s="321" t="s">
        <v>1649</v>
      </c>
      <c r="Z79" s="321" t="s">
        <v>1649</v>
      </c>
      <c r="AA79" s="321" t="s">
        <v>1649</v>
      </c>
      <c r="AB79" s="321" t="s">
        <v>1649</v>
      </c>
      <c r="AC79" s="321" t="s">
        <v>1649</v>
      </c>
      <c r="AD79" s="321" t="s">
        <v>1649</v>
      </c>
      <c r="AE79" s="321" t="s">
        <v>1649</v>
      </c>
      <c r="AF79" s="321" t="s">
        <v>1649</v>
      </c>
      <c r="AG79" s="321" t="s">
        <v>1649</v>
      </c>
      <c r="AH79" s="165" t="s">
        <v>3545</v>
      </c>
      <c r="AI79" s="321" t="s">
        <v>1649</v>
      </c>
      <c r="AJ79" s="321" t="s">
        <v>1649</v>
      </c>
      <c r="AK79" s="321" t="s">
        <v>1649</v>
      </c>
      <c r="AL79" s="321" t="s">
        <v>1649</v>
      </c>
      <c r="AM79" s="321" t="s">
        <v>1649</v>
      </c>
      <c r="AN79" s="321" t="s">
        <v>1649</v>
      </c>
      <c r="AO79" s="321" t="s">
        <v>1649</v>
      </c>
      <c r="AP79" s="321" t="s">
        <v>1649</v>
      </c>
      <c r="AQ79" s="321" t="s">
        <v>1649</v>
      </c>
      <c r="AR79" s="321" t="s">
        <v>1649</v>
      </c>
      <c r="AS79" s="321" t="s">
        <v>1649</v>
      </c>
      <c r="AT79" s="321" t="s">
        <v>1649</v>
      </c>
      <c r="AU79" s="307" t="s">
        <v>3545</v>
      </c>
    </row>
    <row r="80" spans="1:47" ht="13.5" thickBot="1" x14ac:dyDescent="0.25">
      <c r="A80" s="48" t="s">
        <v>180</v>
      </c>
      <c r="B80" s="291" t="s">
        <v>179</v>
      </c>
      <c r="C80" s="298" t="s">
        <v>17</v>
      </c>
      <c r="D80" s="304"/>
      <c r="E80" s="305"/>
      <c r="F80" s="305"/>
      <c r="G80" s="304"/>
      <c r="H80" s="305"/>
      <c r="I80" s="305"/>
      <c r="J80" s="304"/>
      <c r="K80" s="305"/>
      <c r="L80" s="305"/>
      <c r="M80" s="304"/>
      <c r="N80" s="305"/>
      <c r="O80" s="305"/>
      <c r="P80" s="304"/>
      <c r="Q80" s="305"/>
      <c r="R80" s="305"/>
      <c r="S80" s="302">
        <v>27</v>
      </c>
      <c r="T80" s="303">
        <v>17076</v>
      </c>
      <c r="U80" s="303">
        <v>17076</v>
      </c>
      <c r="V80" s="321" t="s">
        <v>1649</v>
      </c>
      <c r="W80" s="321" t="s">
        <v>1649</v>
      </c>
      <c r="X80" s="321" t="s">
        <v>1649</v>
      </c>
      <c r="Y80" s="321" t="s">
        <v>1648</v>
      </c>
      <c r="Z80" s="321" t="s">
        <v>1649</v>
      </c>
      <c r="AA80" s="321" t="s">
        <v>1648</v>
      </c>
      <c r="AB80" s="321" t="s">
        <v>1649</v>
      </c>
      <c r="AC80" s="321" t="s">
        <v>1649</v>
      </c>
      <c r="AD80" s="321" t="s">
        <v>1649</v>
      </c>
      <c r="AE80" s="321" t="s">
        <v>1649</v>
      </c>
      <c r="AF80" s="321" t="s">
        <v>1648</v>
      </c>
      <c r="AG80" s="321" t="s">
        <v>1649</v>
      </c>
      <c r="AH80" s="300"/>
      <c r="AI80" s="321" t="s">
        <v>1649</v>
      </c>
      <c r="AJ80" s="321" t="s">
        <v>1649</v>
      </c>
      <c r="AK80" s="321" t="s">
        <v>1649</v>
      </c>
      <c r="AL80" s="321" t="s">
        <v>1648</v>
      </c>
      <c r="AM80" s="321" t="s">
        <v>1649</v>
      </c>
      <c r="AN80" s="321" t="s">
        <v>1648</v>
      </c>
      <c r="AO80" s="321" t="s">
        <v>1649</v>
      </c>
      <c r="AP80" s="321" t="s">
        <v>1649</v>
      </c>
      <c r="AQ80" s="321" t="s">
        <v>1649</v>
      </c>
      <c r="AR80" s="321" t="s">
        <v>1649</v>
      </c>
      <c r="AS80" s="321" t="s">
        <v>1648</v>
      </c>
      <c r="AT80" s="321" t="s">
        <v>1649</v>
      </c>
      <c r="AU80" s="301"/>
    </row>
    <row r="81" spans="1:47" ht="13.5" thickBot="1" x14ac:dyDescent="0.25">
      <c r="A81" s="48" t="s">
        <v>194</v>
      </c>
      <c r="B81" s="291" t="s">
        <v>193</v>
      </c>
      <c r="C81" s="298" t="s">
        <v>17</v>
      </c>
      <c r="D81" s="299" t="s">
        <v>1613</v>
      </c>
      <c r="E81" s="299" t="s">
        <v>1613</v>
      </c>
      <c r="F81" s="299" t="s">
        <v>1613</v>
      </c>
      <c r="G81" s="299" t="s">
        <v>1613</v>
      </c>
      <c r="H81" s="299" t="s">
        <v>1613</v>
      </c>
      <c r="I81" s="299" t="s">
        <v>1613</v>
      </c>
      <c r="J81" s="302">
        <v>25</v>
      </c>
      <c r="K81" s="303">
        <v>19370</v>
      </c>
      <c r="L81" s="303">
        <v>23244</v>
      </c>
      <c r="M81" s="302">
        <v>20</v>
      </c>
      <c r="N81" s="303">
        <v>14456</v>
      </c>
      <c r="O81" s="303">
        <v>18070</v>
      </c>
      <c r="P81" s="299" t="s">
        <v>1613</v>
      </c>
      <c r="Q81" s="299" t="s">
        <v>1613</v>
      </c>
      <c r="R81" s="299" t="s">
        <v>1613</v>
      </c>
      <c r="S81" s="302">
        <v>20</v>
      </c>
      <c r="T81" s="303">
        <v>10036</v>
      </c>
      <c r="U81" s="303">
        <v>10400</v>
      </c>
      <c r="V81" s="321" t="s">
        <v>1649</v>
      </c>
      <c r="W81" s="321" t="s">
        <v>1649</v>
      </c>
      <c r="X81" s="321" t="s">
        <v>1649</v>
      </c>
      <c r="Y81" s="321" t="s">
        <v>1649</v>
      </c>
      <c r="Z81" s="321" t="s">
        <v>1649</v>
      </c>
      <c r="AA81" s="321" t="s">
        <v>1649</v>
      </c>
      <c r="AB81" s="321" t="s">
        <v>1649</v>
      </c>
      <c r="AC81" s="321" t="s">
        <v>1648</v>
      </c>
      <c r="AD81" s="321" t="s">
        <v>1649</v>
      </c>
      <c r="AE81" s="321" t="s">
        <v>1649</v>
      </c>
      <c r="AF81" s="321" t="s">
        <v>1649</v>
      </c>
      <c r="AG81" s="321" t="s">
        <v>1649</v>
      </c>
      <c r="AH81" s="300" t="s">
        <v>1613</v>
      </c>
      <c r="AI81" s="321" t="s">
        <v>1649</v>
      </c>
      <c r="AJ81" s="321" t="s">
        <v>1649</v>
      </c>
      <c r="AK81" s="321" t="s">
        <v>1649</v>
      </c>
      <c r="AL81" s="321" t="s">
        <v>1649</v>
      </c>
      <c r="AM81" s="321" t="s">
        <v>1649</v>
      </c>
      <c r="AN81" s="321" t="s">
        <v>1649</v>
      </c>
      <c r="AO81" s="321" t="s">
        <v>1648</v>
      </c>
      <c r="AP81" s="321" t="s">
        <v>1648</v>
      </c>
      <c r="AQ81" s="321" t="s">
        <v>1649</v>
      </c>
      <c r="AR81" s="321" t="s">
        <v>1649</v>
      </c>
      <c r="AS81" s="321" t="s">
        <v>1648</v>
      </c>
      <c r="AT81" s="321" t="s">
        <v>1649</v>
      </c>
      <c r="AU81" s="301" t="s">
        <v>1613</v>
      </c>
    </row>
    <row r="82" spans="1:47" ht="13.5" thickBot="1" x14ac:dyDescent="0.25">
      <c r="A82" s="48" t="s">
        <v>216</v>
      </c>
      <c r="B82" s="291" t="s">
        <v>215</v>
      </c>
      <c r="C82" s="298" t="s">
        <v>17</v>
      </c>
      <c r="D82" s="302">
        <v>22</v>
      </c>
      <c r="E82" s="303">
        <v>10101</v>
      </c>
      <c r="F82" s="303">
        <v>11411</v>
      </c>
      <c r="G82" s="299" t="s">
        <v>1613</v>
      </c>
      <c r="H82" s="299" t="s">
        <v>1613</v>
      </c>
      <c r="I82" s="299" t="s">
        <v>1613</v>
      </c>
      <c r="J82" s="299" t="s">
        <v>1613</v>
      </c>
      <c r="K82" s="299" t="s">
        <v>1613</v>
      </c>
      <c r="L82" s="299" t="s">
        <v>1613</v>
      </c>
      <c r="M82" s="299" t="s">
        <v>1613</v>
      </c>
      <c r="N82" s="299" t="s">
        <v>1613</v>
      </c>
      <c r="O82" s="299" t="s">
        <v>1613</v>
      </c>
      <c r="P82" s="299" t="s">
        <v>1613</v>
      </c>
      <c r="Q82" s="299" t="s">
        <v>1613</v>
      </c>
      <c r="R82" s="299" t="s">
        <v>1613</v>
      </c>
      <c r="S82" s="302">
        <v>12</v>
      </c>
      <c r="T82" s="303">
        <v>7087</v>
      </c>
      <c r="U82" s="303">
        <v>7875</v>
      </c>
      <c r="V82" s="321" t="s">
        <v>1649</v>
      </c>
      <c r="W82" s="321" t="s">
        <v>1649</v>
      </c>
      <c r="X82" s="321" t="s">
        <v>1649</v>
      </c>
      <c r="Y82" s="321" t="s">
        <v>1649</v>
      </c>
      <c r="Z82" s="321" t="s">
        <v>1649</v>
      </c>
      <c r="AA82" s="321" t="s">
        <v>1649</v>
      </c>
      <c r="AB82" s="321" t="s">
        <v>1649</v>
      </c>
      <c r="AC82" s="321" t="s">
        <v>1649</v>
      </c>
      <c r="AD82" s="321" t="s">
        <v>1649</v>
      </c>
      <c r="AE82" s="321" t="s">
        <v>1649</v>
      </c>
      <c r="AF82" s="321" t="s">
        <v>1649</v>
      </c>
      <c r="AG82" s="321" t="s">
        <v>1649</v>
      </c>
      <c r="AH82" s="300" t="s">
        <v>1613</v>
      </c>
      <c r="AI82" s="321" t="s">
        <v>1649</v>
      </c>
      <c r="AJ82" s="321" t="s">
        <v>1649</v>
      </c>
      <c r="AK82" s="321" t="s">
        <v>1649</v>
      </c>
      <c r="AL82" s="321" t="s">
        <v>1649</v>
      </c>
      <c r="AM82" s="321" t="s">
        <v>1649</v>
      </c>
      <c r="AN82" s="321" t="s">
        <v>1649</v>
      </c>
      <c r="AO82" s="321" t="s">
        <v>1649</v>
      </c>
      <c r="AP82" s="321" t="s">
        <v>1648</v>
      </c>
      <c r="AQ82" s="321" t="s">
        <v>1649</v>
      </c>
      <c r="AR82" s="321" t="s">
        <v>1649</v>
      </c>
      <c r="AS82" s="321" t="s">
        <v>1649</v>
      </c>
      <c r="AT82" s="321" t="s">
        <v>1649</v>
      </c>
      <c r="AU82" s="301" t="s">
        <v>1613</v>
      </c>
    </row>
    <row r="83" spans="1:47" ht="13.5" thickBot="1" x14ac:dyDescent="0.25">
      <c r="A83" s="48" t="s">
        <v>230</v>
      </c>
      <c r="B83" s="291" t="s">
        <v>229</v>
      </c>
      <c r="C83" s="298" t="s">
        <v>17</v>
      </c>
      <c r="D83" s="302">
        <v>32</v>
      </c>
      <c r="E83" s="303">
        <v>23296</v>
      </c>
      <c r="F83" s="303">
        <v>23296</v>
      </c>
      <c r="G83" s="299" t="s">
        <v>1613</v>
      </c>
      <c r="H83" s="299" t="s">
        <v>1613</v>
      </c>
      <c r="I83" s="299" t="s">
        <v>1613</v>
      </c>
      <c r="J83" s="299" t="s">
        <v>1613</v>
      </c>
      <c r="K83" s="299" t="s">
        <v>1613</v>
      </c>
      <c r="L83" s="299" t="s">
        <v>1613</v>
      </c>
      <c r="M83" s="299" t="s">
        <v>1613</v>
      </c>
      <c r="N83" s="299" t="s">
        <v>1613</v>
      </c>
      <c r="O83" s="299" t="s">
        <v>1613</v>
      </c>
      <c r="P83" s="299" t="s">
        <v>1613</v>
      </c>
      <c r="Q83" s="299" t="s">
        <v>1613</v>
      </c>
      <c r="R83" s="299" t="s">
        <v>1613</v>
      </c>
      <c r="S83" s="302">
        <v>10</v>
      </c>
      <c r="T83" s="303">
        <v>6760</v>
      </c>
      <c r="U83" s="303">
        <v>6750</v>
      </c>
      <c r="V83" s="321" t="s">
        <v>1649</v>
      </c>
      <c r="W83" s="321" t="s">
        <v>1649</v>
      </c>
      <c r="X83" s="321" t="s">
        <v>1649</v>
      </c>
      <c r="Y83" s="321" t="s">
        <v>1648</v>
      </c>
      <c r="Z83" s="321" t="s">
        <v>1649</v>
      </c>
      <c r="AA83" s="321" t="s">
        <v>1648</v>
      </c>
      <c r="AB83" s="321" t="s">
        <v>1648</v>
      </c>
      <c r="AC83" s="321" t="s">
        <v>1648</v>
      </c>
      <c r="AD83" s="321" t="s">
        <v>1648</v>
      </c>
      <c r="AE83" s="321" t="s">
        <v>1649</v>
      </c>
      <c r="AF83" s="321" t="s">
        <v>1649</v>
      </c>
      <c r="AG83" s="321" t="s">
        <v>1649</v>
      </c>
      <c r="AH83" s="300" t="s">
        <v>1613</v>
      </c>
      <c r="AI83" s="321" t="s">
        <v>1649</v>
      </c>
      <c r="AJ83" s="321" t="s">
        <v>1649</v>
      </c>
      <c r="AK83" s="321" t="s">
        <v>1649</v>
      </c>
      <c r="AL83" s="321" t="s">
        <v>1649</v>
      </c>
      <c r="AM83" s="321" t="s">
        <v>1649</v>
      </c>
      <c r="AN83" s="321" t="s">
        <v>1648</v>
      </c>
      <c r="AO83" s="321" t="s">
        <v>1649</v>
      </c>
      <c r="AP83" s="321" t="s">
        <v>1648</v>
      </c>
      <c r="AQ83" s="321" t="s">
        <v>1649</v>
      </c>
      <c r="AR83" s="321" t="s">
        <v>1649</v>
      </c>
      <c r="AS83" s="321" t="s">
        <v>1649</v>
      </c>
      <c r="AT83" s="321" t="s">
        <v>1649</v>
      </c>
      <c r="AU83" s="301" t="s">
        <v>1613</v>
      </c>
    </row>
    <row r="84" spans="1:47" ht="13.5" thickBot="1" x14ac:dyDescent="0.25">
      <c r="A84" s="48" t="s">
        <v>236</v>
      </c>
      <c r="B84" s="291" t="s">
        <v>235</v>
      </c>
      <c r="C84" s="298" t="s">
        <v>17</v>
      </c>
      <c r="D84" s="304"/>
      <c r="E84" s="305"/>
      <c r="F84" s="305"/>
      <c r="G84" s="304"/>
      <c r="H84" s="305"/>
      <c r="I84" s="305"/>
      <c r="J84" s="304"/>
      <c r="K84" s="305"/>
      <c r="L84" s="305"/>
      <c r="M84" s="304"/>
      <c r="N84" s="305"/>
      <c r="O84" s="305"/>
      <c r="P84" s="304"/>
      <c r="Q84" s="305"/>
      <c r="R84" s="305"/>
      <c r="S84" s="304"/>
      <c r="T84" s="305"/>
      <c r="U84" s="305"/>
      <c r="V84" s="321" t="s">
        <v>1649</v>
      </c>
      <c r="W84" s="321" t="s">
        <v>1649</v>
      </c>
      <c r="X84" s="321" t="s">
        <v>1649</v>
      </c>
      <c r="Y84" s="321" t="s">
        <v>1649</v>
      </c>
      <c r="Z84" s="321" t="s">
        <v>1649</v>
      </c>
      <c r="AA84" s="321" t="s">
        <v>1649</v>
      </c>
      <c r="AB84" s="321" t="s">
        <v>1648</v>
      </c>
      <c r="AC84" s="321" t="s">
        <v>1649</v>
      </c>
      <c r="AD84" s="321" t="s">
        <v>1649</v>
      </c>
      <c r="AE84" s="321" t="s">
        <v>1649</v>
      </c>
      <c r="AF84" s="321" t="s">
        <v>1649</v>
      </c>
      <c r="AG84" s="321" t="s">
        <v>1649</v>
      </c>
      <c r="AH84" s="300" t="s">
        <v>1613</v>
      </c>
      <c r="AI84" s="321" t="s">
        <v>1649</v>
      </c>
      <c r="AJ84" s="321" t="s">
        <v>1649</v>
      </c>
      <c r="AK84" s="321" t="s">
        <v>1649</v>
      </c>
      <c r="AL84" s="321" t="s">
        <v>1649</v>
      </c>
      <c r="AM84" s="321" t="s">
        <v>1649</v>
      </c>
      <c r="AN84" s="321" t="s">
        <v>1649</v>
      </c>
      <c r="AO84" s="321" t="s">
        <v>1648</v>
      </c>
      <c r="AP84" s="321" t="s">
        <v>1649</v>
      </c>
      <c r="AQ84" s="321" t="s">
        <v>1649</v>
      </c>
      <c r="AR84" s="321" t="s">
        <v>1649</v>
      </c>
      <c r="AS84" s="321" t="s">
        <v>1649</v>
      </c>
      <c r="AT84" s="321" t="s">
        <v>1649</v>
      </c>
      <c r="AU84" s="301" t="s">
        <v>1613</v>
      </c>
    </row>
    <row r="85" spans="1:47" ht="13.5" thickBot="1" x14ac:dyDescent="0.25">
      <c r="A85" s="48" t="s">
        <v>238</v>
      </c>
      <c r="B85" s="291" t="s">
        <v>237</v>
      </c>
      <c r="C85" s="298" t="s">
        <v>17</v>
      </c>
      <c r="D85" s="304"/>
      <c r="E85" s="305"/>
      <c r="F85" s="305"/>
      <c r="G85" s="304"/>
      <c r="H85" s="305"/>
      <c r="I85" s="305"/>
      <c r="J85" s="302">
        <v>30</v>
      </c>
      <c r="K85" s="303">
        <v>20000</v>
      </c>
      <c r="L85" s="303">
        <v>22500</v>
      </c>
      <c r="M85" s="299" t="s">
        <v>1613</v>
      </c>
      <c r="N85" s="299" t="s">
        <v>1613</v>
      </c>
      <c r="O85" s="299" t="s">
        <v>1613</v>
      </c>
      <c r="P85" s="299" t="s">
        <v>1613</v>
      </c>
      <c r="Q85" s="299" t="s">
        <v>1613</v>
      </c>
      <c r="R85" s="299" t="s">
        <v>1613</v>
      </c>
      <c r="S85" s="302">
        <v>26</v>
      </c>
      <c r="T85" s="303">
        <v>12500</v>
      </c>
      <c r="U85" s="303">
        <v>15200</v>
      </c>
      <c r="V85" s="321" t="s">
        <v>1649</v>
      </c>
      <c r="W85" s="321" t="s">
        <v>1649</v>
      </c>
      <c r="X85" s="321" t="s">
        <v>1649</v>
      </c>
      <c r="Y85" s="321" t="s">
        <v>1649</v>
      </c>
      <c r="Z85" s="321" t="s">
        <v>1649</v>
      </c>
      <c r="AA85" s="321" t="s">
        <v>1649</v>
      </c>
      <c r="AB85" s="321" t="s">
        <v>1648</v>
      </c>
      <c r="AC85" s="321" t="s">
        <v>1648</v>
      </c>
      <c r="AD85" s="321" t="s">
        <v>1648</v>
      </c>
      <c r="AE85" s="321" t="s">
        <v>1649</v>
      </c>
      <c r="AF85" s="321" t="s">
        <v>1649</v>
      </c>
      <c r="AG85" s="321" t="s">
        <v>1649</v>
      </c>
      <c r="AH85" s="300"/>
      <c r="AI85" s="321" t="s">
        <v>1649</v>
      </c>
      <c r="AJ85" s="321" t="s">
        <v>1649</v>
      </c>
      <c r="AK85" s="321" t="s">
        <v>1649</v>
      </c>
      <c r="AL85" s="321" t="s">
        <v>1649</v>
      </c>
      <c r="AM85" s="321" t="s">
        <v>1649</v>
      </c>
      <c r="AN85" s="321" t="s">
        <v>1649</v>
      </c>
      <c r="AO85" s="321" t="s">
        <v>1648</v>
      </c>
      <c r="AP85" s="321" t="s">
        <v>1648</v>
      </c>
      <c r="AQ85" s="321" t="s">
        <v>1648</v>
      </c>
      <c r="AR85" s="321" t="s">
        <v>1649</v>
      </c>
      <c r="AS85" s="321" t="s">
        <v>1649</v>
      </c>
      <c r="AT85" s="321" t="s">
        <v>1649</v>
      </c>
      <c r="AU85" s="301"/>
    </row>
    <row r="86" spans="1:47" ht="13.5" thickBot="1" x14ac:dyDescent="0.25">
      <c r="A86" s="48" t="s">
        <v>252</v>
      </c>
      <c r="B86" s="291" t="s">
        <v>251</v>
      </c>
      <c r="C86" s="298" t="s">
        <v>17</v>
      </c>
      <c r="D86" s="304"/>
      <c r="E86" s="305"/>
      <c r="F86" s="305"/>
      <c r="G86" s="304"/>
      <c r="H86" s="305"/>
      <c r="I86" s="305"/>
      <c r="J86" s="304"/>
      <c r="K86" s="305"/>
      <c r="L86" s="305"/>
      <c r="M86" s="304"/>
      <c r="N86" s="305"/>
      <c r="O86" s="305"/>
      <c r="P86" s="304"/>
      <c r="Q86" s="305"/>
      <c r="R86" s="305"/>
      <c r="S86" s="302">
        <v>18</v>
      </c>
      <c r="T86" s="303">
        <v>14000</v>
      </c>
      <c r="U86" s="303">
        <v>28000</v>
      </c>
      <c r="V86" s="321" t="s">
        <v>1648</v>
      </c>
      <c r="W86" s="321" t="s">
        <v>1648</v>
      </c>
      <c r="X86" s="321" t="s">
        <v>1649</v>
      </c>
      <c r="Y86" s="321" t="s">
        <v>1648</v>
      </c>
      <c r="Z86" s="321" t="s">
        <v>1648</v>
      </c>
      <c r="AA86" s="321" t="s">
        <v>1648</v>
      </c>
      <c r="AB86" s="321" t="s">
        <v>1648</v>
      </c>
      <c r="AC86" s="321" t="s">
        <v>1648</v>
      </c>
      <c r="AD86" s="321" t="s">
        <v>1649</v>
      </c>
      <c r="AE86" s="321" t="s">
        <v>1649</v>
      </c>
      <c r="AF86" s="321" t="s">
        <v>1648</v>
      </c>
      <c r="AG86" s="321" t="s">
        <v>1649</v>
      </c>
      <c r="AH86" s="300" t="s">
        <v>1613</v>
      </c>
      <c r="AI86" s="321" t="s">
        <v>1649</v>
      </c>
      <c r="AJ86" s="321" t="s">
        <v>1649</v>
      </c>
      <c r="AK86" s="321" t="s">
        <v>1649</v>
      </c>
      <c r="AL86" s="321" t="s">
        <v>1649</v>
      </c>
      <c r="AM86" s="321" t="s">
        <v>1649</v>
      </c>
      <c r="AN86" s="321" t="s">
        <v>1648</v>
      </c>
      <c r="AO86" s="321" t="s">
        <v>1648</v>
      </c>
      <c r="AP86" s="321" t="s">
        <v>1648</v>
      </c>
      <c r="AQ86" s="321" t="s">
        <v>1649</v>
      </c>
      <c r="AR86" s="321" t="s">
        <v>1649</v>
      </c>
      <c r="AS86" s="321" t="s">
        <v>1649</v>
      </c>
      <c r="AT86" s="321" t="s">
        <v>1649</v>
      </c>
      <c r="AU86" s="301" t="s">
        <v>1613</v>
      </c>
    </row>
    <row r="87" spans="1:47" ht="13.5" thickBot="1" x14ac:dyDescent="0.25">
      <c r="A87" s="48" t="s">
        <v>280</v>
      </c>
      <c r="B87" s="291" t="s">
        <v>279</v>
      </c>
      <c r="C87" s="298" t="s">
        <v>17</v>
      </c>
      <c r="D87" s="304"/>
      <c r="E87" s="305"/>
      <c r="F87" s="305"/>
      <c r="G87" s="304"/>
      <c r="H87" s="305"/>
      <c r="I87" s="305"/>
      <c r="J87" s="304"/>
      <c r="K87" s="305"/>
      <c r="L87" s="305"/>
      <c r="M87" s="304"/>
      <c r="N87" s="305"/>
      <c r="O87" s="305"/>
      <c r="P87" s="304"/>
      <c r="Q87" s="305"/>
      <c r="R87" s="305"/>
      <c r="S87" s="302">
        <v>22</v>
      </c>
      <c r="T87" s="303">
        <v>8000</v>
      </c>
      <c r="U87" s="303">
        <v>21000</v>
      </c>
      <c r="V87" s="321" t="s">
        <v>1649</v>
      </c>
      <c r="W87" s="321" t="s">
        <v>1649</v>
      </c>
      <c r="X87" s="321" t="s">
        <v>1649</v>
      </c>
      <c r="Y87" s="321" t="s">
        <v>1649</v>
      </c>
      <c r="Z87" s="321" t="s">
        <v>1649</v>
      </c>
      <c r="AA87" s="321" t="s">
        <v>1649</v>
      </c>
      <c r="AB87" s="321" t="s">
        <v>1649</v>
      </c>
      <c r="AC87" s="321" t="s">
        <v>1649</v>
      </c>
      <c r="AD87" s="321" t="s">
        <v>1649</v>
      </c>
      <c r="AE87" s="321" t="s">
        <v>1649</v>
      </c>
      <c r="AF87" s="321" t="s">
        <v>1649</v>
      </c>
      <c r="AG87" s="321" t="s">
        <v>1649</v>
      </c>
      <c r="AH87" s="300" t="s">
        <v>1613</v>
      </c>
      <c r="AI87" s="321" t="s">
        <v>1649</v>
      </c>
      <c r="AJ87" s="321" t="s">
        <v>1649</v>
      </c>
      <c r="AK87" s="321" t="s">
        <v>1649</v>
      </c>
      <c r="AL87" s="321" t="s">
        <v>1649</v>
      </c>
      <c r="AM87" s="321" t="s">
        <v>1649</v>
      </c>
      <c r="AN87" s="321" t="s">
        <v>1648</v>
      </c>
      <c r="AO87" s="321" t="s">
        <v>1648</v>
      </c>
      <c r="AP87" s="321" t="s">
        <v>1648</v>
      </c>
      <c r="AQ87" s="321" t="s">
        <v>1649</v>
      </c>
      <c r="AR87" s="321" t="s">
        <v>1649</v>
      </c>
      <c r="AS87" s="321" t="s">
        <v>1648</v>
      </c>
      <c r="AT87" s="321" t="s">
        <v>1648</v>
      </c>
      <c r="AU87" s="307" t="s">
        <v>3659</v>
      </c>
    </row>
    <row r="88" spans="1:47" ht="13.5" thickBot="1" x14ac:dyDescent="0.25">
      <c r="A88" s="48" t="s">
        <v>290</v>
      </c>
      <c r="B88" s="291" t="s">
        <v>289</v>
      </c>
      <c r="C88" s="298" t="s">
        <v>17</v>
      </c>
      <c r="D88" s="302">
        <v>16</v>
      </c>
      <c r="E88" s="303">
        <v>13790</v>
      </c>
      <c r="F88" s="303">
        <v>14208</v>
      </c>
      <c r="G88" s="299" t="s">
        <v>1613</v>
      </c>
      <c r="H88" s="299" t="s">
        <v>1613</v>
      </c>
      <c r="I88" s="299" t="s">
        <v>1613</v>
      </c>
      <c r="J88" s="302">
        <v>8</v>
      </c>
      <c r="K88" s="303">
        <v>5554</v>
      </c>
      <c r="L88" s="303">
        <v>5721</v>
      </c>
      <c r="M88" s="302">
        <v>14</v>
      </c>
      <c r="N88" s="303">
        <v>4927</v>
      </c>
      <c r="O88" s="303">
        <v>10985</v>
      </c>
      <c r="P88" s="299" t="s">
        <v>1613</v>
      </c>
      <c r="Q88" s="299" t="s">
        <v>1613</v>
      </c>
      <c r="R88" s="299" t="s">
        <v>1613</v>
      </c>
      <c r="S88" s="299" t="s">
        <v>1613</v>
      </c>
      <c r="T88" s="299" t="s">
        <v>1613</v>
      </c>
      <c r="U88" s="299" t="s">
        <v>1613</v>
      </c>
      <c r="V88" s="321" t="s">
        <v>1649</v>
      </c>
      <c r="W88" s="321" t="s">
        <v>1649</v>
      </c>
      <c r="X88" s="321" t="s">
        <v>1649</v>
      </c>
      <c r="Y88" s="321" t="s">
        <v>1649</v>
      </c>
      <c r="Z88" s="321" t="s">
        <v>1649</v>
      </c>
      <c r="AA88" s="321" t="s">
        <v>1649</v>
      </c>
      <c r="AB88" s="321" t="s">
        <v>1649</v>
      </c>
      <c r="AC88" s="321" t="s">
        <v>1649</v>
      </c>
      <c r="AD88" s="321" t="s">
        <v>1649</v>
      </c>
      <c r="AE88" s="321" t="s">
        <v>1649</v>
      </c>
      <c r="AF88" s="321" t="s">
        <v>1649</v>
      </c>
      <c r="AG88" s="321" t="s">
        <v>1649</v>
      </c>
      <c r="AH88" s="300" t="s">
        <v>1613</v>
      </c>
      <c r="AI88" s="321" t="s">
        <v>1649</v>
      </c>
      <c r="AJ88" s="321" t="s">
        <v>1649</v>
      </c>
      <c r="AK88" s="321" t="s">
        <v>1649</v>
      </c>
      <c r="AL88" s="321" t="s">
        <v>1649</v>
      </c>
      <c r="AM88" s="321" t="s">
        <v>1649</v>
      </c>
      <c r="AN88" s="321" t="s">
        <v>1648</v>
      </c>
      <c r="AO88" s="321" t="s">
        <v>1649</v>
      </c>
      <c r="AP88" s="321" t="s">
        <v>1648</v>
      </c>
      <c r="AQ88" s="321" t="s">
        <v>1649</v>
      </c>
      <c r="AR88" s="321" t="s">
        <v>1649</v>
      </c>
      <c r="AS88" s="321" t="s">
        <v>1649</v>
      </c>
      <c r="AT88" s="321" t="s">
        <v>1649</v>
      </c>
      <c r="AU88" s="301" t="s">
        <v>1613</v>
      </c>
    </row>
    <row r="89" spans="1:47" ht="13.5" thickBot="1" x14ac:dyDescent="0.25">
      <c r="A89" s="48" t="s">
        <v>334</v>
      </c>
      <c r="B89" s="291" t="s">
        <v>333</v>
      </c>
      <c r="C89" s="298" t="s">
        <v>17</v>
      </c>
      <c r="D89" s="299" t="s">
        <v>1613</v>
      </c>
      <c r="E89" s="299" t="s">
        <v>1613</v>
      </c>
      <c r="F89" s="299" t="s">
        <v>1613</v>
      </c>
      <c r="G89" s="299" t="s">
        <v>1613</v>
      </c>
      <c r="H89" s="299" t="s">
        <v>1613</v>
      </c>
      <c r="I89" s="299" t="s">
        <v>1613</v>
      </c>
      <c r="J89" s="302">
        <v>28</v>
      </c>
      <c r="K89" s="303">
        <v>17472</v>
      </c>
      <c r="L89" s="303">
        <v>26208</v>
      </c>
      <c r="M89" s="302">
        <v>24</v>
      </c>
      <c r="N89" s="303">
        <v>12480</v>
      </c>
      <c r="O89" s="303">
        <v>19968</v>
      </c>
      <c r="P89" s="299" t="s">
        <v>1613</v>
      </c>
      <c r="Q89" s="299" t="s">
        <v>1613</v>
      </c>
      <c r="R89" s="299" t="s">
        <v>1613</v>
      </c>
      <c r="S89" s="302">
        <v>10</v>
      </c>
      <c r="T89" s="303">
        <v>5200</v>
      </c>
      <c r="U89" s="303">
        <v>7280</v>
      </c>
      <c r="V89" s="321" t="s">
        <v>1648</v>
      </c>
      <c r="W89" s="321" t="s">
        <v>1648</v>
      </c>
      <c r="X89" s="321" t="s">
        <v>1648</v>
      </c>
      <c r="Y89" s="321" t="s">
        <v>1648</v>
      </c>
      <c r="Z89" s="321" t="s">
        <v>1648</v>
      </c>
      <c r="AA89" s="321" t="s">
        <v>1648</v>
      </c>
      <c r="AB89" s="321" t="s">
        <v>1648</v>
      </c>
      <c r="AC89" s="321" t="s">
        <v>1648</v>
      </c>
      <c r="AD89" s="321" t="s">
        <v>1649</v>
      </c>
      <c r="AE89" s="321" t="s">
        <v>1648</v>
      </c>
      <c r="AF89" s="321" t="s">
        <v>1648</v>
      </c>
      <c r="AG89" s="321" t="s">
        <v>1649</v>
      </c>
      <c r="AH89" s="300" t="s">
        <v>1613</v>
      </c>
      <c r="AI89" s="321" t="s">
        <v>1649</v>
      </c>
      <c r="AJ89" s="321" t="s">
        <v>1649</v>
      </c>
      <c r="AK89" s="321" t="s">
        <v>1648</v>
      </c>
      <c r="AL89" s="321" t="s">
        <v>1648</v>
      </c>
      <c r="AM89" s="321" t="s">
        <v>1649</v>
      </c>
      <c r="AN89" s="321" t="s">
        <v>1648</v>
      </c>
      <c r="AO89" s="321" t="s">
        <v>1649</v>
      </c>
      <c r="AP89" s="321" t="s">
        <v>1648</v>
      </c>
      <c r="AQ89" s="321" t="s">
        <v>1649</v>
      </c>
      <c r="AR89" s="321" t="s">
        <v>1648</v>
      </c>
      <c r="AS89" s="321" t="s">
        <v>1649</v>
      </c>
      <c r="AT89" s="321" t="s">
        <v>1649</v>
      </c>
      <c r="AU89" s="301" t="s">
        <v>1613</v>
      </c>
    </row>
    <row r="90" spans="1:47" ht="13.5" thickBot="1" x14ac:dyDescent="0.25">
      <c r="A90" s="48" t="s">
        <v>344</v>
      </c>
      <c r="B90" s="291" t="s">
        <v>343</v>
      </c>
      <c r="C90" s="298" t="s">
        <v>17</v>
      </c>
      <c r="D90" s="302">
        <v>40</v>
      </c>
      <c r="E90" s="303">
        <v>15000</v>
      </c>
      <c r="F90" s="303">
        <v>27000</v>
      </c>
      <c r="G90" s="304"/>
      <c r="H90" s="305"/>
      <c r="I90" s="305"/>
      <c r="J90" s="304"/>
      <c r="K90" s="305"/>
      <c r="L90" s="305"/>
      <c r="M90" s="304"/>
      <c r="N90" s="305"/>
      <c r="O90" s="305"/>
      <c r="P90" s="302">
        <v>40</v>
      </c>
      <c r="Q90" s="303">
        <v>20000</v>
      </c>
      <c r="R90" s="303">
        <v>30000</v>
      </c>
      <c r="S90" s="302">
        <v>18</v>
      </c>
      <c r="T90" s="303">
        <v>5000</v>
      </c>
      <c r="U90" s="303">
        <v>23000</v>
      </c>
      <c r="V90" s="321" t="s">
        <v>1649</v>
      </c>
      <c r="W90" s="321" t="s">
        <v>1649</v>
      </c>
      <c r="X90" s="321" t="s">
        <v>1649</v>
      </c>
      <c r="Y90" s="321" t="s">
        <v>1649</v>
      </c>
      <c r="Z90" s="321" t="s">
        <v>1649</v>
      </c>
      <c r="AA90" s="321" t="s">
        <v>1648</v>
      </c>
      <c r="AB90" s="321" t="s">
        <v>1648</v>
      </c>
      <c r="AC90" s="321" t="s">
        <v>1648</v>
      </c>
      <c r="AD90" s="321" t="s">
        <v>1649</v>
      </c>
      <c r="AE90" s="321" t="s">
        <v>1649</v>
      </c>
      <c r="AF90" s="321" t="s">
        <v>1648</v>
      </c>
      <c r="AG90" s="321" t="s">
        <v>1648</v>
      </c>
      <c r="AH90" s="300"/>
      <c r="AI90" s="321" t="s">
        <v>1649</v>
      </c>
      <c r="AJ90" s="321" t="s">
        <v>1649</v>
      </c>
      <c r="AK90" s="321" t="s">
        <v>1649</v>
      </c>
      <c r="AL90" s="321" t="s">
        <v>1649</v>
      </c>
      <c r="AM90" s="321" t="s">
        <v>1649</v>
      </c>
      <c r="AN90" s="321" t="s">
        <v>1649</v>
      </c>
      <c r="AO90" s="321" t="s">
        <v>1649</v>
      </c>
      <c r="AP90" s="321" t="s">
        <v>1649</v>
      </c>
      <c r="AQ90" s="321" t="s">
        <v>1649</v>
      </c>
      <c r="AR90" s="321" t="s">
        <v>1649</v>
      </c>
      <c r="AS90" s="321" t="s">
        <v>1649</v>
      </c>
      <c r="AT90" s="321" t="s">
        <v>1649</v>
      </c>
      <c r="AU90" s="301"/>
    </row>
    <row r="91" spans="1:47" ht="13.5" thickBot="1" x14ac:dyDescent="0.25">
      <c r="A91" s="48" t="s">
        <v>354</v>
      </c>
      <c r="B91" s="291" t="s">
        <v>353</v>
      </c>
      <c r="C91" s="298" t="s">
        <v>17</v>
      </c>
      <c r="D91" s="299" t="s">
        <v>1613</v>
      </c>
      <c r="E91" s="299" t="s">
        <v>1613</v>
      </c>
      <c r="F91" s="299" t="s">
        <v>1613</v>
      </c>
      <c r="G91" s="299" t="s">
        <v>1613</v>
      </c>
      <c r="H91" s="299" t="s">
        <v>1613</v>
      </c>
      <c r="I91" s="299" t="s">
        <v>1613</v>
      </c>
      <c r="J91" s="299" t="s">
        <v>1613</v>
      </c>
      <c r="K91" s="299" t="s">
        <v>1613</v>
      </c>
      <c r="L91" s="299" t="s">
        <v>1613</v>
      </c>
      <c r="M91" s="299" t="s">
        <v>1613</v>
      </c>
      <c r="N91" s="299" t="s">
        <v>1613</v>
      </c>
      <c r="O91" s="299" t="s">
        <v>1613</v>
      </c>
      <c r="P91" s="302">
        <v>1</v>
      </c>
      <c r="Q91" s="303">
        <v>440</v>
      </c>
      <c r="R91" s="303">
        <v>950</v>
      </c>
      <c r="S91" s="302">
        <v>18</v>
      </c>
      <c r="T91" s="303">
        <v>9089</v>
      </c>
      <c r="U91" s="303">
        <v>12100</v>
      </c>
      <c r="V91" s="321" t="s">
        <v>1649</v>
      </c>
      <c r="W91" s="321" t="s">
        <v>1649</v>
      </c>
      <c r="X91" s="321" t="s">
        <v>1649</v>
      </c>
      <c r="Y91" s="321" t="s">
        <v>1649</v>
      </c>
      <c r="Z91" s="321" t="s">
        <v>1649</v>
      </c>
      <c r="AA91" s="321" t="s">
        <v>1649</v>
      </c>
      <c r="AB91" s="321" t="s">
        <v>1649</v>
      </c>
      <c r="AC91" s="321" t="s">
        <v>1649</v>
      </c>
      <c r="AD91" s="321" t="s">
        <v>1649</v>
      </c>
      <c r="AE91" s="321" t="s">
        <v>1649</v>
      </c>
      <c r="AF91" s="321" t="s">
        <v>1649</v>
      </c>
      <c r="AG91" s="321" t="s">
        <v>1649</v>
      </c>
      <c r="AH91" s="300" t="s">
        <v>1613</v>
      </c>
      <c r="AI91" s="321" t="s">
        <v>1649</v>
      </c>
      <c r="AJ91" s="321" t="s">
        <v>1649</v>
      </c>
      <c r="AK91" s="321" t="s">
        <v>1649</v>
      </c>
      <c r="AL91" s="321" t="s">
        <v>1649</v>
      </c>
      <c r="AM91" s="321" t="s">
        <v>1649</v>
      </c>
      <c r="AN91" s="321" t="s">
        <v>1649</v>
      </c>
      <c r="AO91" s="321" t="s">
        <v>1649</v>
      </c>
      <c r="AP91" s="321" t="s">
        <v>1649</v>
      </c>
      <c r="AQ91" s="321" t="s">
        <v>1649</v>
      </c>
      <c r="AR91" s="321" t="s">
        <v>1649</v>
      </c>
      <c r="AS91" s="321" t="s">
        <v>1649</v>
      </c>
      <c r="AT91" s="321" t="s">
        <v>1649</v>
      </c>
      <c r="AU91" s="301"/>
    </row>
    <row r="92" spans="1:47" ht="13.5" thickBot="1" x14ac:dyDescent="0.25">
      <c r="A92" s="48" t="s">
        <v>362</v>
      </c>
      <c r="B92" s="291" t="s">
        <v>361</v>
      </c>
      <c r="C92" s="298" t="s">
        <v>17</v>
      </c>
      <c r="D92" s="302">
        <v>20</v>
      </c>
      <c r="E92" s="303">
        <v>18000</v>
      </c>
      <c r="F92" s="303">
        <v>25000</v>
      </c>
      <c r="G92" s="299" t="s">
        <v>1613</v>
      </c>
      <c r="H92" s="299" t="s">
        <v>1613</v>
      </c>
      <c r="I92" s="299" t="s">
        <v>1613</v>
      </c>
      <c r="J92" s="299" t="s">
        <v>1613</v>
      </c>
      <c r="K92" s="299" t="s">
        <v>1613</v>
      </c>
      <c r="L92" s="299" t="s">
        <v>1613</v>
      </c>
      <c r="M92" s="299" t="s">
        <v>1613</v>
      </c>
      <c r="N92" s="299" t="s">
        <v>1613</v>
      </c>
      <c r="O92" s="299" t="s">
        <v>1613</v>
      </c>
      <c r="P92" s="299" t="s">
        <v>1613</v>
      </c>
      <c r="Q92" s="299" t="s">
        <v>1613</v>
      </c>
      <c r="R92" s="299" t="s">
        <v>1613</v>
      </c>
      <c r="S92" s="302">
        <v>3</v>
      </c>
      <c r="T92" s="303">
        <v>2000</v>
      </c>
      <c r="U92" s="303">
        <v>3000</v>
      </c>
      <c r="V92" s="321" t="s">
        <v>1648</v>
      </c>
      <c r="W92" s="321" t="s">
        <v>1649</v>
      </c>
      <c r="X92" s="321" t="s">
        <v>1649</v>
      </c>
      <c r="Y92" s="321" t="s">
        <v>1649</v>
      </c>
      <c r="Z92" s="321" t="s">
        <v>1649</v>
      </c>
      <c r="AA92" s="321" t="s">
        <v>1648</v>
      </c>
      <c r="AB92" s="321" t="s">
        <v>1648</v>
      </c>
      <c r="AC92" s="321" t="s">
        <v>1648</v>
      </c>
      <c r="AD92" s="321" t="s">
        <v>1649</v>
      </c>
      <c r="AE92" s="321" t="s">
        <v>1649</v>
      </c>
      <c r="AF92" s="321" t="s">
        <v>1649</v>
      </c>
      <c r="AG92" s="321" t="s">
        <v>1649</v>
      </c>
      <c r="AH92" s="300" t="s">
        <v>1613</v>
      </c>
      <c r="AI92" s="321" t="s">
        <v>1649</v>
      </c>
      <c r="AJ92" s="321" t="s">
        <v>1649</v>
      </c>
      <c r="AK92" s="321" t="s">
        <v>1649</v>
      </c>
      <c r="AL92" s="321" t="s">
        <v>1649</v>
      </c>
      <c r="AM92" s="321" t="s">
        <v>1649</v>
      </c>
      <c r="AN92" s="321" t="s">
        <v>1649</v>
      </c>
      <c r="AO92" s="321" t="s">
        <v>1649</v>
      </c>
      <c r="AP92" s="321" t="s">
        <v>1649</v>
      </c>
      <c r="AQ92" s="321" t="s">
        <v>1649</v>
      </c>
      <c r="AR92" s="321" t="s">
        <v>1649</v>
      </c>
      <c r="AS92" s="321" t="s">
        <v>1649</v>
      </c>
      <c r="AT92" s="321" t="s">
        <v>1649</v>
      </c>
      <c r="AU92" s="301" t="s">
        <v>1613</v>
      </c>
    </row>
    <row r="93" spans="1:47" ht="13.5" thickBot="1" x14ac:dyDescent="0.25">
      <c r="A93" s="48" t="s">
        <v>366</v>
      </c>
      <c r="B93" s="291" t="s">
        <v>365</v>
      </c>
      <c r="C93" s="298" t="s">
        <v>17</v>
      </c>
      <c r="D93" s="304"/>
      <c r="E93" s="305"/>
      <c r="F93" s="305"/>
      <c r="G93" s="304"/>
      <c r="H93" s="305"/>
      <c r="I93" s="305"/>
      <c r="J93" s="304"/>
      <c r="K93" s="305"/>
      <c r="L93" s="305"/>
      <c r="M93" s="304"/>
      <c r="N93" s="305"/>
      <c r="O93" s="305"/>
      <c r="P93" s="304"/>
      <c r="Q93" s="305"/>
      <c r="R93" s="305"/>
      <c r="S93" s="302">
        <v>18</v>
      </c>
      <c r="T93" s="303">
        <v>6000</v>
      </c>
      <c r="U93" s="303">
        <v>15000</v>
      </c>
      <c r="V93" s="321" t="s">
        <v>1649</v>
      </c>
      <c r="W93" s="321" t="s">
        <v>1649</v>
      </c>
      <c r="X93" s="321" t="s">
        <v>1649</v>
      </c>
      <c r="Y93" s="321" t="s">
        <v>1649</v>
      </c>
      <c r="Z93" s="321" t="s">
        <v>1649</v>
      </c>
      <c r="AA93" s="321" t="s">
        <v>1648</v>
      </c>
      <c r="AB93" s="321" t="s">
        <v>1648</v>
      </c>
      <c r="AC93" s="321" t="s">
        <v>1648</v>
      </c>
      <c r="AD93" s="321" t="s">
        <v>1649</v>
      </c>
      <c r="AE93" s="321" t="s">
        <v>1649</v>
      </c>
      <c r="AF93" s="321" t="s">
        <v>1649</v>
      </c>
      <c r="AG93" s="321" t="s">
        <v>1649</v>
      </c>
      <c r="AH93" s="300"/>
      <c r="AI93" s="321" t="s">
        <v>1649</v>
      </c>
      <c r="AJ93" s="321" t="s">
        <v>1649</v>
      </c>
      <c r="AK93" s="321" t="s">
        <v>1649</v>
      </c>
      <c r="AL93" s="321" t="s">
        <v>1649</v>
      </c>
      <c r="AM93" s="321" t="s">
        <v>1649</v>
      </c>
      <c r="AN93" s="321" t="s">
        <v>1648</v>
      </c>
      <c r="AO93" s="321" t="s">
        <v>1648</v>
      </c>
      <c r="AP93" s="321" t="s">
        <v>1648</v>
      </c>
      <c r="AQ93" s="321" t="s">
        <v>1649</v>
      </c>
      <c r="AR93" s="321" t="s">
        <v>1649</v>
      </c>
      <c r="AS93" s="321" t="s">
        <v>1649</v>
      </c>
      <c r="AT93" s="321" t="s">
        <v>1649</v>
      </c>
      <c r="AU93" s="301"/>
    </row>
    <row r="94" spans="1:47" ht="13.5" thickBot="1" x14ac:dyDescent="0.25">
      <c r="A94" s="48" t="s">
        <v>372</v>
      </c>
      <c r="B94" s="291" t="s">
        <v>371</v>
      </c>
      <c r="C94" s="298" t="s">
        <v>17</v>
      </c>
      <c r="D94" s="302">
        <v>33</v>
      </c>
      <c r="E94" s="303">
        <v>20592</v>
      </c>
      <c r="F94" s="303">
        <v>20592</v>
      </c>
      <c r="G94" s="299" t="s">
        <v>1613</v>
      </c>
      <c r="H94" s="299" t="s">
        <v>1613</v>
      </c>
      <c r="I94" s="299" t="s">
        <v>1613</v>
      </c>
      <c r="J94" s="299" t="s">
        <v>1613</v>
      </c>
      <c r="K94" s="299" t="s">
        <v>1613</v>
      </c>
      <c r="L94" s="299" t="s">
        <v>1613</v>
      </c>
      <c r="M94" s="302">
        <v>33</v>
      </c>
      <c r="N94" s="303">
        <v>15870</v>
      </c>
      <c r="O94" s="303">
        <v>18876</v>
      </c>
      <c r="P94" s="299" t="s">
        <v>1613</v>
      </c>
      <c r="Q94" s="299" t="s">
        <v>1613</v>
      </c>
      <c r="R94" s="299" t="s">
        <v>1613</v>
      </c>
      <c r="S94" s="299" t="s">
        <v>1613</v>
      </c>
      <c r="T94" s="299" t="s">
        <v>1613</v>
      </c>
      <c r="U94" s="299" t="s">
        <v>1613</v>
      </c>
      <c r="V94" s="321" t="s">
        <v>1649</v>
      </c>
      <c r="W94" s="321" t="s">
        <v>1649</v>
      </c>
      <c r="X94" s="321" t="s">
        <v>1649</v>
      </c>
      <c r="Y94" s="321" t="s">
        <v>1649</v>
      </c>
      <c r="Z94" s="321" t="s">
        <v>1649</v>
      </c>
      <c r="AA94" s="321" t="s">
        <v>1649</v>
      </c>
      <c r="AB94" s="321" t="s">
        <v>1648</v>
      </c>
      <c r="AC94" s="321" t="s">
        <v>1648</v>
      </c>
      <c r="AD94" s="321" t="s">
        <v>1649</v>
      </c>
      <c r="AE94" s="321" t="s">
        <v>1649</v>
      </c>
      <c r="AF94" s="321" t="s">
        <v>1649</v>
      </c>
      <c r="AG94" s="321" t="s">
        <v>1649</v>
      </c>
      <c r="AH94" s="300" t="s">
        <v>1613</v>
      </c>
      <c r="AI94" s="321" t="s">
        <v>1649</v>
      </c>
      <c r="AJ94" s="321" t="s">
        <v>1649</v>
      </c>
      <c r="AK94" s="321" t="s">
        <v>1649</v>
      </c>
      <c r="AL94" s="321" t="s">
        <v>1649</v>
      </c>
      <c r="AM94" s="321" t="s">
        <v>1649</v>
      </c>
      <c r="AN94" s="321" t="s">
        <v>1649</v>
      </c>
      <c r="AO94" s="321" t="s">
        <v>1649</v>
      </c>
      <c r="AP94" s="321" t="s">
        <v>1648</v>
      </c>
      <c r="AQ94" s="321" t="s">
        <v>1649</v>
      </c>
      <c r="AR94" s="321" t="s">
        <v>1649</v>
      </c>
      <c r="AS94" s="321" t="s">
        <v>1649</v>
      </c>
      <c r="AT94" s="321" t="s">
        <v>1649</v>
      </c>
      <c r="AU94" s="301" t="s">
        <v>1613</v>
      </c>
    </row>
    <row r="95" spans="1:47" ht="13.5" thickBot="1" x14ac:dyDescent="0.25">
      <c r="A95" s="48" t="s">
        <v>376</v>
      </c>
      <c r="B95" s="291" t="s">
        <v>375</v>
      </c>
      <c r="C95" s="298" t="s">
        <v>17</v>
      </c>
      <c r="D95" s="302">
        <v>20</v>
      </c>
      <c r="E95" s="303">
        <v>10400</v>
      </c>
      <c r="F95" s="303">
        <v>13000</v>
      </c>
      <c r="G95" s="299" t="s">
        <v>1613</v>
      </c>
      <c r="H95" s="299" t="s">
        <v>1613</v>
      </c>
      <c r="I95" s="299" t="s">
        <v>1613</v>
      </c>
      <c r="J95" s="299" t="s">
        <v>1613</v>
      </c>
      <c r="K95" s="299" t="s">
        <v>1613</v>
      </c>
      <c r="L95" s="299" t="s">
        <v>1613</v>
      </c>
      <c r="M95" s="299" t="s">
        <v>1613</v>
      </c>
      <c r="N95" s="299" t="s">
        <v>1613</v>
      </c>
      <c r="O95" s="299" t="s">
        <v>1613</v>
      </c>
      <c r="P95" s="299" t="s">
        <v>1613</v>
      </c>
      <c r="Q95" s="299" t="s">
        <v>1613</v>
      </c>
      <c r="R95" s="299" t="s">
        <v>1613</v>
      </c>
      <c r="S95" s="302">
        <v>20</v>
      </c>
      <c r="T95" s="303">
        <v>10000</v>
      </c>
      <c r="U95" s="303">
        <v>12000</v>
      </c>
      <c r="V95" s="321" t="s">
        <v>1649</v>
      </c>
      <c r="W95" s="321" t="s">
        <v>1649</v>
      </c>
      <c r="X95" s="321" t="s">
        <v>1649</v>
      </c>
      <c r="Y95" s="321" t="s">
        <v>1649</v>
      </c>
      <c r="Z95" s="321" t="s">
        <v>1649</v>
      </c>
      <c r="AA95" s="321" t="s">
        <v>1649</v>
      </c>
      <c r="AB95" s="321" t="s">
        <v>1649</v>
      </c>
      <c r="AC95" s="321" t="s">
        <v>1649</v>
      </c>
      <c r="AD95" s="321" t="s">
        <v>1649</v>
      </c>
      <c r="AE95" s="321" t="s">
        <v>1649</v>
      </c>
      <c r="AF95" s="321" t="s">
        <v>1649</v>
      </c>
      <c r="AG95" s="321" t="s">
        <v>1649</v>
      </c>
      <c r="AH95" s="300" t="s">
        <v>1613</v>
      </c>
      <c r="AI95" s="321" t="s">
        <v>1649</v>
      </c>
      <c r="AJ95" s="321" t="s">
        <v>1649</v>
      </c>
      <c r="AK95" s="321" t="s">
        <v>1649</v>
      </c>
      <c r="AL95" s="321" t="s">
        <v>1649</v>
      </c>
      <c r="AM95" s="321" t="s">
        <v>1649</v>
      </c>
      <c r="AN95" s="321" t="s">
        <v>1649</v>
      </c>
      <c r="AO95" s="321" t="s">
        <v>1649</v>
      </c>
      <c r="AP95" s="321" t="s">
        <v>1649</v>
      </c>
      <c r="AQ95" s="321" t="s">
        <v>1649</v>
      </c>
      <c r="AR95" s="321" t="s">
        <v>1649</v>
      </c>
      <c r="AS95" s="321" t="s">
        <v>1649</v>
      </c>
      <c r="AT95" s="321" t="s">
        <v>1649</v>
      </c>
      <c r="AU95" s="301" t="s">
        <v>1613</v>
      </c>
    </row>
    <row r="96" spans="1:47" ht="13.5" thickBot="1" x14ac:dyDescent="0.25">
      <c r="A96" s="48" t="s">
        <v>382</v>
      </c>
      <c r="B96" s="291" t="s">
        <v>381</v>
      </c>
      <c r="C96" s="298" t="s">
        <v>17</v>
      </c>
      <c r="D96" s="299" t="s">
        <v>1613</v>
      </c>
      <c r="E96" s="299" t="s">
        <v>1613</v>
      </c>
      <c r="F96" s="299" t="s">
        <v>1613</v>
      </c>
      <c r="G96" s="299" t="s">
        <v>1613</v>
      </c>
      <c r="H96" s="299" t="s">
        <v>1613</v>
      </c>
      <c r="I96" s="299" t="s">
        <v>1613</v>
      </c>
      <c r="J96" s="299" t="s">
        <v>1613</v>
      </c>
      <c r="K96" s="299" t="s">
        <v>1613</v>
      </c>
      <c r="L96" s="299" t="s">
        <v>1613</v>
      </c>
      <c r="M96" s="299" t="s">
        <v>1613</v>
      </c>
      <c r="N96" s="299" t="s">
        <v>1613</v>
      </c>
      <c r="O96" s="299" t="s">
        <v>1613</v>
      </c>
      <c r="P96" s="299" t="s">
        <v>1613</v>
      </c>
      <c r="Q96" s="299" t="s">
        <v>1613</v>
      </c>
      <c r="R96" s="299" t="s">
        <v>1613</v>
      </c>
      <c r="S96" s="302">
        <v>18</v>
      </c>
      <c r="T96" s="303">
        <v>9880</v>
      </c>
      <c r="U96" s="303">
        <v>16548</v>
      </c>
      <c r="V96" s="321" t="s">
        <v>1649</v>
      </c>
      <c r="W96" s="321" t="s">
        <v>1649</v>
      </c>
      <c r="X96" s="321" t="s">
        <v>1649</v>
      </c>
      <c r="Y96" s="321" t="s">
        <v>1649</v>
      </c>
      <c r="Z96" s="321" t="s">
        <v>1649</v>
      </c>
      <c r="AA96" s="321" t="s">
        <v>1649</v>
      </c>
      <c r="AB96" s="321" t="s">
        <v>1649</v>
      </c>
      <c r="AC96" s="321" t="s">
        <v>1649</v>
      </c>
      <c r="AD96" s="321" t="s">
        <v>1649</v>
      </c>
      <c r="AE96" s="321" t="s">
        <v>1649</v>
      </c>
      <c r="AF96" s="321" t="s">
        <v>1649</v>
      </c>
      <c r="AG96" s="321" t="s">
        <v>1649</v>
      </c>
      <c r="AH96" s="300" t="s">
        <v>1613</v>
      </c>
      <c r="AI96" s="321" t="s">
        <v>1649</v>
      </c>
      <c r="AJ96" s="321" t="s">
        <v>1649</v>
      </c>
      <c r="AK96" s="321" t="s">
        <v>1649</v>
      </c>
      <c r="AL96" s="321" t="s">
        <v>1649</v>
      </c>
      <c r="AM96" s="321" t="s">
        <v>1649</v>
      </c>
      <c r="AN96" s="321" t="s">
        <v>1649</v>
      </c>
      <c r="AO96" s="321" t="s">
        <v>1649</v>
      </c>
      <c r="AP96" s="321" t="s">
        <v>1649</v>
      </c>
      <c r="AQ96" s="321" t="s">
        <v>1649</v>
      </c>
      <c r="AR96" s="321" t="s">
        <v>1649</v>
      </c>
      <c r="AS96" s="321" t="s">
        <v>1649</v>
      </c>
      <c r="AT96" s="321" t="s">
        <v>1649</v>
      </c>
      <c r="AU96" s="301" t="s">
        <v>1613</v>
      </c>
    </row>
    <row r="97" spans="1:47" ht="13.5" thickBot="1" x14ac:dyDescent="0.25">
      <c r="A97" s="48" t="s">
        <v>388</v>
      </c>
      <c r="B97" s="291" t="s">
        <v>387</v>
      </c>
      <c r="C97" s="298" t="s">
        <v>17</v>
      </c>
      <c r="D97" s="304"/>
      <c r="E97" s="305"/>
      <c r="F97" s="305"/>
      <c r="G97" s="299" t="s">
        <v>1613</v>
      </c>
      <c r="H97" s="299" t="s">
        <v>1613</v>
      </c>
      <c r="I97" s="299" t="s">
        <v>1613</v>
      </c>
      <c r="J97" s="299" t="s">
        <v>1613</v>
      </c>
      <c r="K97" s="299" t="s">
        <v>1613</v>
      </c>
      <c r="L97" s="299" t="s">
        <v>1613</v>
      </c>
      <c r="M97" s="299" t="s">
        <v>1613</v>
      </c>
      <c r="N97" s="299" t="s">
        <v>1613</v>
      </c>
      <c r="O97" s="299" t="s">
        <v>1613</v>
      </c>
      <c r="P97" s="299" t="s">
        <v>1613</v>
      </c>
      <c r="Q97" s="299" t="s">
        <v>1613</v>
      </c>
      <c r="R97" s="299" t="s">
        <v>1613</v>
      </c>
      <c r="S97" s="302">
        <v>9</v>
      </c>
      <c r="T97" s="303">
        <v>2509</v>
      </c>
      <c r="U97" s="303">
        <v>11440</v>
      </c>
      <c r="V97" s="321" t="s">
        <v>1648</v>
      </c>
      <c r="W97" s="321" t="s">
        <v>1648</v>
      </c>
      <c r="X97" s="321" t="s">
        <v>1648</v>
      </c>
      <c r="Y97" s="321" t="s">
        <v>1648</v>
      </c>
      <c r="Z97" s="321" t="s">
        <v>1648</v>
      </c>
      <c r="AA97" s="321" t="s">
        <v>1648</v>
      </c>
      <c r="AB97" s="321" t="s">
        <v>1648</v>
      </c>
      <c r="AC97" s="321" t="s">
        <v>1648</v>
      </c>
      <c r="AD97" s="321" t="s">
        <v>1649</v>
      </c>
      <c r="AE97" s="321" t="s">
        <v>1649</v>
      </c>
      <c r="AF97" s="321" t="s">
        <v>1648</v>
      </c>
      <c r="AG97" s="321" t="s">
        <v>1648</v>
      </c>
      <c r="AH97" s="300"/>
      <c r="AI97" s="321" t="s">
        <v>1649</v>
      </c>
      <c r="AJ97" s="321" t="s">
        <v>1649</v>
      </c>
      <c r="AK97" s="321" t="s">
        <v>1649</v>
      </c>
      <c r="AL97" s="321" t="s">
        <v>1649</v>
      </c>
      <c r="AM97" s="321" t="s">
        <v>1649</v>
      </c>
      <c r="AN97" s="321" t="s">
        <v>1649</v>
      </c>
      <c r="AO97" s="321" t="s">
        <v>1649</v>
      </c>
      <c r="AP97" s="321" t="s">
        <v>1649</v>
      </c>
      <c r="AQ97" s="321" t="s">
        <v>1649</v>
      </c>
      <c r="AR97" s="321" t="s">
        <v>1649</v>
      </c>
      <c r="AS97" s="321" t="s">
        <v>1649</v>
      </c>
      <c r="AT97" s="321" t="s">
        <v>1649</v>
      </c>
      <c r="AU97" s="301"/>
    </row>
    <row r="98" spans="1:47" ht="13.5" thickBot="1" x14ac:dyDescent="0.25">
      <c r="A98" s="48" t="s">
        <v>392</v>
      </c>
      <c r="B98" s="291" t="s">
        <v>391</v>
      </c>
      <c r="C98" s="298" t="s">
        <v>17</v>
      </c>
      <c r="D98" s="302">
        <v>21</v>
      </c>
      <c r="E98" s="303">
        <v>12768</v>
      </c>
      <c r="F98" s="303">
        <v>12768</v>
      </c>
      <c r="G98" s="304"/>
      <c r="H98" s="305"/>
      <c r="I98" s="305"/>
      <c r="J98" s="304"/>
      <c r="K98" s="305"/>
      <c r="L98" s="305"/>
      <c r="M98" s="304"/>
      <c r="N98" s="305"/>
      <c r="O98" s="305"/>
      <c r="P98" s="304"/>
      <c r="Q98" s="305"/>
      <c r="R98" s="305"/>
      <c r="S98" s="302">
        <v>14</v>
      </c>
      <c r="T98" s="303">
        <v>7457</v>
      </c>
      <c r="U98" s="303">
        <v>7457</v>
      </c>
      <c r="V98" s="321" t="s">
        <v>1649</v>
      </c>
      <c r="W98" s="321" t="s">
        <v>1649</v>
      </c>
      <c r="X98" s="321" t="s">
        <v>1649</v>
      </c>
      <c r="Y98" s="321" t="s">
        <v>1649</v>
      </c>
      <c r="Z98" s="321" t="s">
        <v>1649</v>
      </c>
      <c r="AA98" s="321" t="s">
        <v>1648</v>
      </c>
      <c r="AB98" s="321" t="s">
        <v>1648</v>
      </c>
      <c r="AC98" s="321" t="s">
        <v>1648</v>
      </c>
      <c r="AD98" s="321" t="s">
        <v>1649</v>
      </c>
      <c r="AE98" s="321" t="s">
        <v>1649</v>
      </c>
      <c r="AF98" s="321" t="s">
        <v>1649</v>
      </c>
      <c r="AG98" s="321" t="s">
        <v>1649</v>
      </c>
      <c r="AH98" s="300" t="s">
        <v>1613</v>
      </c>
      <c r="AI98" s="321" t="s">
        <v>1649</v>
      </c>
      <c r="AJ98" s="321" t="s">
        <v>1649</v>
      </c>
      <c r="AK98" s="321" t="s">
        <v>1649</v>
      </c>
      <c r="AL98" s="321" t="s">
        <v>1649</v>
      </c>
      <c r="AM98" s="321" t="s">
        <v>1649</v>
      </c>
      <c r="AN98" s="321" t="s">
        <v>1648</v>
      </c>
      <c r="AO98" s="321" t="s">
        <v>1648</v>
      </c>
      <c r="AP98" s="321" t="s">
        <v>1648</v>
      </c>
      <c r="AQ98" s="321" t="s">
        <v>1649</v>
      </c>
      <c r="AR98" s="321" t="s">
        <v>1649</v>
      </c>
      <c r="AS98" s="321" t="s">
        <v>1649</v>
      </c>
      <c r="AT98" s="321" t="s">
        <v>1649</v>
      </c>
      <c r="AU98" s="301" t="s">
        <v>1613</v>
      </c>
    </row>
    <row r="99" spans="1:47" ht="13.5" thickBot="1" x14ac:dyDescent="0.25">
      <c r="A99" s="48" t="s">
        <v>396</v>
      </c>
      <c r="B99" s="291" t="s">
        <v>395</v>
      </c>
      <c r="C99" s="298" t="s">
        <v>17</v>
      </c>
      <c r="D99" s="304"/>
      <c r="E99" s="305"/>
      <c r="F99" s="305"/>
      <c r="G99" s="304"/>
      <c r="H99" s="305"/>
      <c r="I99" s="305"/>
      <c r="J99" s="304"/>
      <c r="K99" s="305"/>
      <c r="L99" s="305"/>
      <c r="M99" s="304"/>
      <c r="N99" s="305"/>
      <c r="O99" s="305"/>
      <c r="P99" s="304"/>
      <c r="Q99" s="305"/>
      <c r="R99" s="305"/>
      <c r="S99" s="302">
        <v>10</v>
      </c>
      <c r="T99" s="303">
        <v>4000</v>
      </c>
      <c r="U99" s="303">
        <v>8000</v>
      </c>
      <c r="V99" s="321" t="s">
        <v>1649</v>
      </c>
      <c r="W99" s="321" t="s">
        <v>1649</v>
      </c>
      <c r="X99" s="321" t="s">
        <v>1649</v>
      </c>
      <c r="Y99" s="321" t="s">
        <v>1648</v>
      </c>
      <c r="Z99" s="321" t="s">
        <v>1649</v>
      </c>
      <c r="AA99" s="321" t="s">
        <v>1648</v>
      </c>
      <c r="AB99" s="321" t="s">
        <v>1649</v>
      </c>
      <c r="AC99" s="321" t="s">
        <v>1649</v>
      </c>
      <c r="AD99" s="321" t="s">
        <v>1648</v>
      </c>
      <c r="AE99" s="321" t="s">
        <v>1649</v>
      </c>
      <c r="AF99" s="321" t="s">
        <v>1648</v>
      </c>
      <c r="AG99" s="321" t="s">
        <v>1649</v>
      </c>
      <c r="AH99" s="300"/>
      <c r="AI99" s="321" t="s">
        <v>1649</v>
      </c>
      <c r="AJ99" s="321" t="s">
        <v>1649</v>
      </c>
      <c r="AK99" s="321" t="s">
        <v>1649</v>
      </c>
      <c r="AL99" s="321" t="s">
        <v>1648</v>
      </c>
      <c r="AM99" s="321" t="s">
        <v>1649</v>
      </c>
      <c r="AN99" s="321" t="s">
        <v>1649</v>
      </c>
      <c r="AO99" s="321" t="s">
        <v>1649</v>
      </c>
      <c r="AP99" s="321" t="s">
        <v>1649</v>
      </c>
      <c r="AQ99" s="321" t="s">
        <v>1648</v>
      </c>
      <c r="AR99" s="321" t="s">
        <v>1649</v>
      </c>
      <c r="AS99" s="321" t="s">
        <v>1648</v>
      </c>
      <c r="AT99" s="321" t="s">
        <v>1649</v>
      </c>
      <c r="AU99" s="301"/>
    </row>
    <row r="100" spans="1:47" ht="13.5" thickBot="1" x14ac:dyDescent="0.25">
      <c r="A100" s="48" t="s">
        <v>398</v>
      </c>
      <c r="B100" s="291" t="s">
        <v>397</v>
      </c>
      <c r="C100" s="298" t="s">
        <v>17</v>
      </c>
      <c r="D100" s="304"/>
      <c r="E100" s="305"/>
      <c r="F100" s="305"/>
      <c r="G100" s="302">
        <v>40</v>
      </c>
      <c r="H100" s="303">
        <v>20467</v>
      </c>
      <c r="I100" s="303">
        <v>21091</v>
      </c>
      <c r="J100" s="302">
        <v>35</v>
      </c>
      <c r="K100" s="303">
        <v>17363</v>
      </c>
      <c r="L100" s="303">
        <v>18164</v>
      </c>
      <c r="M100" s="304"/>
      <c r="N100" s="305"/>
      <c r="O100" s="305"/>
      <c r="P100" s="304"/>
      <c r="Q100" s="305"/>
      <c r="R100" s="305"/>
      <c r="S100" s="302">
        <v>20</v>
      </c>
      <c r="T100" s="303">
        <v>10026</v>
      </c>
      <c r="U100" s="303">
        <v>10327</v>
      </c>
      <c r="V100" s="321" t="s">
        <v>1649</v>
      </c>
      <c r="W100" s="321" t="s">
        <v>1649</v>
      </c>
      <c r="X100" s="321" t="s">
        <v>1649</v>
      </c>
      <c r="Y100" s="321" t="s">
        <v>1649</v>
      </c>
      <c r="Z100" s="321" t="s">
        <v>1649</v>
      </c>
      <c r="AA100" s="321" t="s">
        <v>1648</v>
      </c>
      <c r="AB100" s="321" t="s">
        <v>1648</v>
      </c>
      <c r="AC100" s="321" t="s">
        <v>1648</v>
      </c>
      <c r="AD100" s="321" t="s">
        <v>1649</v>
      </c>
      <c r="AE100" s="321" t="s">
        <v>1649</v>
      </c>
      <c r="AF100" s="321" t="s">
        <v>1649</v>
      </c>
      <c r="AG100" s="321" t="s">
        <v>1649</v>
      </c>
      <c r="AH100" s="165" t="s">
        <v>3567</v>
      </c>
      <c r="AI100" s="321" t="s">
        <v>1649</v>
      </c>
      <c r="AJ100" s="321" t="s">
        <v>1649</v>
      </c>
      <c r="AK100" s="321" t="s">
        <v>1649</v>
      </c>
      <c r="AL100" s="321" t="s">
        <v>1649</v>
      </c>
      <c r="AM100" s="321" t="s">
        <v>1649</v>
      </c>
      <c r="AN100" s="321" t="s">
        <v>1649</v>
      </c>
      <c r="AO100" s="321" t="s">
        <v>1649</v>
      </c>
      <c r="AP100" s="321" t="s">
        <v>1648</v>
      </c>
      <c r="AQ100" s="321" t="s">
        <v>1649</v>
      </c>
      <c r="AR100" s="321" t="s">
        <v>1649</v>
      </c>
      <c r="AS100" s="321" t="s">
        <v>1649</v>
      </c>
      <c r="AT100" s="321" t="s">
        <v>1649</v>
      </c>
      <c r="AU100" s="307" t="s">
        <v>3567</v>
      </c>
    </row>
    <row r="101" spans="1:47" ht="13.5" thickBot="1" x14ac:dyDescent="0.25">
      <c r="A101" s="48" t="s">
        <v>400</v>
      </c>
      <c r="B101" s="291" t="s">
        <v>399</v>
      </c>
      <c r="C101" s="298" t="s">
        <v>17</v>
      </c>
      <c r="D101" s="299" t="s">
        <v>1613</v>
      </c>
      <c r="E101" s="299" t="s">
        <v>1613</v>
      </c>
      <c r="F101" s="299" t="s">
        <v>1613</v>
      </c>
      <c r="G101" s="299" t="s">
        <v>1613</v>
      </c>
      <c r="H101" s="299" t="s">
        <v>1613</v>
      </c>
      <c r="I101" s="299" t="s">
        <v>1613</v>
      </c>
      <c r="J101" s="302">
        <v>23</v>
      </c>
      <c r="K101" s="303">
        <v>12500</v>
      </c>
      <c r="L101" s="303">
        <v>15500</v>
      </c>
      <c r="M101" s="302">
        <v>15</v>
      </c>
      <c r="N101" s="303">
        <v>8500</v>
      </c>
      <c r="O101" s="303">
        <v>10000</v>
      </c>
      <c r="P101" s="299" t="s">
        <v>1613</v>
      </c>
      <c r="Q101" s="299" t="s">
        <v>1613</v>
      </c>
      <c r="R101" s="299" t="s">
        <v>1613</v>
      </c>
      <c r="S101" s="302">
        <v>8</v>
      </c>
      <c r="T101" s="303">
        <v>3700</v>
      </c>
      <c r="U101" s="303">
        <v>5000</v>
      </c>
      <c r="V101" s="321" t="s">
        <v>1649</v>
      </c>
      <c r="W101" s="321" t="s">
        <v>1649</v>
      </c>
      <c r="X101" s="321" t="s">
        <v>1649</v>
      </c>
      <c r="Y101" s="321" t="s">
        <v>1649</v>
      </c>
      <c r="Z101" s="321" t="s">
        <v>1649</v>
      </c>
      <c r="AA101" s="321" t="s">
        <v>1649</v>
      </c>
      <c r="AB101" s="321" t="s">
        <v>1649</v>
      </c>
      <c r="AC101" s="321" t="s">
        <v>1649</v>
      </c>
      <c r="AD101" s="321" t="s">
        <v>1649</v>
      </c>
      <c r="AE101" s="321" t="s">
        <v>1649</v>
      </c>
      <c r="AF101" s="321" t="s">
        <v>1649</v>
      </c>
      <c r="AG101" s="321" t="s">
        <v>1649</v>
      </c>
      <c r="AH101" s="300" t="s">
        <v>1613</v>
      </c>
      <c r="AI101" s="321" t="s">
        <v>1649</v>
      </c>
      <c r="AJ101" s="321" t="s">
        <v>1649</v>
      </c>
      <c r="AK101" s="321" t="s">
        <v>1649</v>
      </c>
      <c r="AL101" s="321" t="s">
        <v>1649</v>
      </c>
      <c r="AM101" s="321" t="s">
        <v>1649</v>
      </c>
      <c r="AN101" s="321" t="s">
        <v>1649</v>
      </c>
      <c r="AO101" s="321" t="s">
        <v>1649</v>
      </c>
      <c r="AP101" s="321" t="s">
        <v>1649</v>
      </c>
      <c r="AQ101" s="321" t="s">
        <v>1649</v>
      </c>
      <c r="AR101" s="321" t="s">
        <v>1649</v>
      </c>
      <c r="AS101" s="321" t="s">
        <v>1649</v>
      </c>
      <c r="AT101" s="321" t="s">
        <v>1649</v>
      </c>
      <c r="AU101" s="301" t="s">
        <v>1613</v>
      </c>
    </row>
    <row r="102" spans="1:47" ht="13.5" thickBot="1" x14ac:dyDescent="0.25">
      <c r="A102" s="48" t="s">
        <v>414</v>
      </c>
      <c r="B102" s="291" t="s">
        <v>413</v>
      </c>
      <c r="C102" s="298" t="s">
        <v>17</v>
      </c>
      <c r="D102" s="304"/>
      <c r="E102" s="305"/>
      <c r="F102" s="305"/>
      <c r="G102" s="299" t="s">
        <v>1613</v>
      </c>
      <c r="H102" s="299" t="s">
        <v>1613</v>
      </c>
      <c r="I102" s="299" t="s">
        <v>1613</v>
      </c>
      <c r="J102" s="302">
        <v>30</v>
      </c>
      <c r="K102" s="303">
        <v>24570</v>
      </c>
      <c r="L102" s="303">
        <v>24570</v>
      </c>
      <c r="M102" s="302">
        <v>18</v>
      </c>
      <c r="N102" s="303">
        <v>12168</v>
      </c>
      <c r="O102" s="303">
        <v>12168</v>
      </c>
      <c r="P102" s="304"/>
      <c r="Q102" s="305"/>
      <c r="R102" s="305"/>
      <c r="S102" s="302">
        <v>10</v>
      </c>
      <c r="T102" s="303">
        <v>5200</v>
      </c>
      <c r="U102" s="303">
        <v>5200</v>
      </c>
      <c r="V102" s="321" t="s">
        <v>1649</v>
      </c>
      <c r="W102" s="321" t="s">
        <v>1649</v>
      </c>
      <c r="X102" s="321" t="s">
        <v>1649</v>
      </c>
      <c r="Y102" s="321" t="s">
        <v>1649</v>
      </c>
      <c r="Z102" s="321" t="s">
        <v>1649</v>
      </c>
      <c r="AA102" s="321" t="s">
        <v>1648</v>
      </c>
      <c r="AB102" s="321" t="s">
        <v>1648</v>
      </c>
      <c r="AC102" s="321" t="s">
        <v>1648</v>
      </c>
      <c r="AD102" s="321" t="s">
        <v>1648</v>
      </c>
      <c r="AE102" s="321" t="s">
        <v>1649</v>
      </c>
      <c r="AF102" s="321" t="s">
        <v>1649</v>
      </c>
      <c r="AG102" s="321" t="s">
        <v>1649</v>
      </c>
      <c r="AH102" s="300" t="s">
        <v>1613</v>
      </c>
      <c r="AI102" s="321" t="s">
        <v>1649</v>
      </c>
      <c r="AJ102" s="321" t="s">
        <v>1649</v>
      </c>
      <c r="AK102" s="321" t="s">
        <v>1649</v>
      </c>
      <c r="AL102" s="321" t="s">
        <v>1649</v>
      </c>
      <c r="AM102" s="321" t="s">
        <v>1649</v>
      </c>
      <c r="AN102" s="321" t="s">
        <v>1649</v>
      </c>
      <c r="AO102" s="321" t="s">
        <v>1649</v>
      </c>
      <c r="AP102" s="321" t="s">
        <v>1649</v>
      </c>
      <c r="AQ102" s="321" t="s">
        <v>1648</v>
      </c>
      <c r="AR102" s="321" t="s">
        <v>1649</v>
      </c>
      <c r="AS102" s="321" t="s">
        <v>1649</v>
      </c>
      <c r="AT102" s="321" t="s">
        <v>1649</v>
      </c>
      <c r="AU102" s="301" t="s">
        <v>1613</v>
      </c>
    </row>
    <row r="103" spans="1:47" ht="13.5" thickBot="1" x14ac:dyDescent="0.25">
      <c r="A103" s="48" t="s">
        <v>427</v>
      </c>
      <c r="B103" s="291" t="s">
        <v>426</v>
      </c>
      <c r="C103" s="298" t="s">
        <v>17</v>
      </c>
      <c r="D103" s="302">
        <v>18</v>
      </c>
      <c r="E103" s="303">
        <v>12084</v>
      </c>
      <c r="F103" s="303">
        <v>13207</v>
      </c>
      <c r="G103" s="302">
        <v>25</v>
      </c>
      <c r="H103" s="303">
        <v>17300</v>
      </c>
      <c r="I103" s="303">
        <v>18200</v>
      </c>
      <c r="J103" s="302">
        <v>20</v>
      </c>
      <c r="K103" s="303">
        <v>13197</v>
      </c>
      <c r="L103" s="303">
        <v>14560</v>
      </c>
      <c r="M103" s="302">
        <v>20</v>
      </c>
      <c r="N103" s="303">
        <v>11752</v>
      </c>
      <c r="O103" s="303">
        <v>12105</v>
      </c>
      <c r="P103" s="299" t="s">
        <v>1613</v>
      </c>
      <c r="Q103" s="299" t="s">
        <v>1613</v>
      </c>
      <c r="R103" s="299" t="s">
        <v>1613</v>
      </c>
      <c r="S103" s="302">
        <v>20</v>
      </c>
      <c r="T103" s="303">
        <v>15725</v>
      </c>
      <c r="U103" s="303">
        <v>16193</v>
      </c>
      <c r="V103" s="321" t="s">
        <v>1649</v>
      </c>
      <c r="W103" s="321" t="s">
        <v>1649</v>
      </c>
      <c r="X103" s="321" t="s">
        <v>1649</v>
      </c>
      <c r="Y103" s="321" t="s">
        <v>1649</v>
      </c>
      <c r="Z103" s="321" t="s">
        <v>1649</v>
      </c>
      <c r="AA103" s="321" t="s">
        <v>1649</v>
      </c>
      <c r="AB103" s="321" t="s">
        <v>1649</v>
      </c>
      <c r="AC103" s="321" t="s">
        <v>1649</v>
      </c>
      <c r="AD103" s="321" t="s">
        <v>1649</v>
      </c>
      <c r="AE103" s="321" t="s">
        <v>1649</v>
      </c>
      <c r="AF103" s="321" t="s">
        <v>1649</v>
      </c>
      <c r="AG103" s="321" t="s">
        <v>1649</v>
      </c>
      <c r="AH103" s="300" t="s">
        <v>1613</v>
      </c>
      <c r="AI103" s="321" t="s">
        <v>1649</v>
      </c>
      <c r="AJ103" s="321" t="s">
        <v>1649</v>
      </c>
      <c r="AK103" s="321" t="s">
        <v>1649</v>
      </c>
      <c r="AL103" s="321" t="s">
        <v>1649</v>
      </c>
      <c r="AM103" s="321" t="s">
        <v>1649</v>
      </c>
      <c r="AN103" s="321" t="s">
        <v>1649</v>
      </c>
      <c r="AO103" s="321" t="s">
        <v>1648</v>
      </c>
      <c r="AP103" s="321" t="s">
        <v>1648</v>
      </c>
      <c r="AQ103" s="321" t="s">
        <v>1649</v>
      </c>
      <c r="AR103" s="321" t="s">
        <v>1649</v>
      </c>
      <c r="AS103" s="321" t="s">
        <v>1649</v>
      </c>
      <c r="AT103" s="321" t="s">
        <v>1649</v>
      </c>
      <c r="AU103" s="307" t="s">
        <v>3660</v>
      </c>
    </row>
    <row r="104" spans="1:47" ht="13.5" thickBot="1" x14ac:dyDescent="0.25">
      <c r="A104" s="48" t="s">
        <v>429</v>
      </c>
      <c r="B104" s="291" t="s">
        <v>428</v>
      </c>
      <c r="C104" s="298" t="s">
        <v>17</v>
      </c>
      <c r="D104" s="302">
        <v>36</v>
      </c>
      <c r="E104" s="303">
        <v>31487</v>
      </c>
      <c r="F104" s="303">
        <v>31487</v>
      </c>
      <c r="G104" s="299" t="s">
        <v>1613</v>
      </c>
      <c r="H104" s="299" t="s">
        <v>1613</v>
      </c>
      <c r="I104" s="299" t="s">
        <v>1613</v>
      </c>
      <c r="J104" s="302">
        <v>20</v>
      </c>
      <c r="K104" s="303">
        <v>16692</v>
      </c>
      <c r="L104" s="303">
        <v>16692</v>
      </c>
      <c r="M104" s="299" t="s">
        <v>1613</v>
      </c>
      <c r="N104" s="299" t="s">
        <v>1613</v>
      </c>
      <c r="O104" s="299" t="s">
        <v>1613</v>
      </c>
      <c r="P104" s="299" t="s">
        <v>1613</v>
      </c>
      <c r="Q104" s="299" t="s">
        <v>1613</v>
      </c>
      <c r="R104" s="299" t="s">
        <v>1613</v>
      </c>
      <c r="S104" s="299" t="s">
        <v>1613</v>
      </c>
      <c r="T104" s="299" t="s">
        <v>1613</v>
      </c>
      <c r="U104" s="299" t="s">
        <v>1613</v>
      </c>
      <c r="V104" s="321" t="s">
        <v>1648</v>
      </c>
      <c r="W104" s="321" t="s">
        <v>1649</v>
      </c>
      <c r="X104" s="321" t="s">
        <v>1649</v>
      </c>
      <c r="Y104" s="321" t="s">
        <v>1649</v>
      </c>
      <c r="Z104" s="321" t="s">
        <v>1649</v>
      </c>
      <c r="AA104" s="321" t="s">
        <v>1649</v>
      </c>
      <c r="AB104" s="321" t="s">
        <v>1649</v>
      </c>
      <c r="AC104" s="321" t="s">
        <v>1648</v>
      </c>
      <c r="AD104" s="321" t="s">
        <v>1649</v>
      </c>
      <c r="AE104" s="321" t="s">
        <v>1649</v>
      </c>
      <c r="AF104" s="321" t="s">
        <v>1648</v>
      </c>
      <c r="AG104" s="321" t="s">
        <v>1649</v>
      </c>
      <c r="AH104" s="300" t="s">
        <v>1613</v>
      </c>
      <c r="AI104" s="321" t="s">
        <v>1649</v>
      </c>
      <c r="AJ104" s="321" t="s">
        <v>1649</v>
      </c>
      <c r="AK104" s="321" t="s">
        <v>1649</v>
      </c>
      <c r="AL104" s="321" t="s">
        <v>1649</v>
      </c>
      <c r="AM104" s="321" t="s">
        <v>1649</v>
      </c>
      <c r="AN104" s="321" t="s">
        <v>1649</v>
      </c>
      <c r="AO104" s="321" t="s">
        <v>1649</v>
      </c>
      <c r="AP104" s="321" t="s">
        <v>1648</v>
      </c>
      <c r="AQ104" s="321" t="s">
        <v>1649</v>
      </c>
      <c r="AR104" s="321" t="s">
        <v>1649</v>
      </c>
      <c r="AS104" s="321" t="s">
        <v>1649</v>
      </c>
      <c r="AT104" s="321" t="s">
        <v>1649</v>
      </c>
      <c r="AU104" s="301" t="s">
        <v>1613</v>
      </c>
    </row>
    <row r="105" spans="1:47" ht="13.5" thickBot="1" x14ac:dyDescent="0.25">
      <c r="A105" s="48" t="s">
        <v>450</v>
      </c>
      <c r="B105" s="291" t="s">
        <v>449</v>
      </c>
      <c r="C105" s="298" t="s">
        <v>17</v>
      </c>
      <c r="D105" s="302">
        <v>16</v>
      </c>
      <c r="E105" s="303">
        <v>8550</v>
      </c>
      <c r="F105" s="303">
        <v>10296</v>
      </c>
      <c r="G105" s="299" t="s">
        <v>1613</v>
      </c>
      <c r="H105" s="299" t="s">
        <v>1613</v>
      </c>
      <c r="I105" s="299" t="s">
        <v>1613</v>
      </c>
      <c r="J105" s="299" t="s">
        <v>1613</v>
      </c>
      <c r="K105" s="299" t="s">
        <v>1613</v>
      </c>
      <c r="L105" s="299" t="s">
        <v>1613</v>
      </c>
      <c r="M105" s="302">
        <v>16</v>
      </c>
      <c r="N105" s="303">
        <v>7800</v>
      </c>
      <c r="O105" s="303">
        <v>9360</v>
      </c>
      <c r="P105" s="299" t="s">
        <v>1613</v>
      </c>
      <c r="Q105" s="299" t="s">
        <v>1613</v>
      </c>
      <c r="R105" s="299" t="s">
        <v>1613</v>
      </c>
      <c r="S105" s="302">
        <v>13</v>
      </c>
      <c r="T105" s="303">
        <v>6240</v>
      </c>
      <c r="U105" s="303">
        <v>7800</v>
      </c>
      <c r="V105" s="321" t="s">
        <v>1649</v>
      </c>
      <c r="W105" s="321" t="s">
        <v>1649</v>
      </c>
      <c r="X105" s="321" t="s">
        <v>1649</v>
      </c>
      <c r="Y105" s="321" t="s">
        <v>1649</v>
      </c>
      <c r="Z105" s="321" t="s">
        <v>1649</v>
      </c>
      <c r="AA105" s="321" t="s">
        <v>1649</v>
      </c>
      <c r="AB105" s="321" t="s">
        <v>1649</v>
      </c>
      <c r="AC105" s="321" t="s">
        <v>1649</v>
      </c>
      <c r="AD105" s="321" t="s">
        <v>1649</v>
      </c>
      <c r="AE105" s="321" t="s">
        <v>1649</v>
      </c>
      <c r="AF105" s="321" t="s">
        <v>1649</v>
      </c>
      <c r="AG105" s="321" t="s">
        <v>1649</v>
      </c>
      <c r="AH105" s="300" t="s">
        <v>1613</v>
      </c>
      <c r="AI105" s="321" t="s">
        <v>1649</v>
      </c>
      <c r="AJ105" s="321" t="s">
        <v>1649</v>
      </c>
      <c r="AK105" s="321" t="s">
        <v>1649</v>
      </c>
      <c r="AL105" s="321" t="s">
        <v>1649</v>
      </c>
      <c r="AM105" s="321" t="s">
        <v>1649</v>
      </c>
      <c r="AN105" s="321" t="s">
        <v>1648</v>
      </c>
      <c r="AO105" s="321" t="s">
        <v>1648</v>
      </c>
      <c r="AP105" s="321" t="s">
        <v>1648</v>
      </c>
      <c r="AQ105" s="321" t="s">
        <v>1649</v>
      </c>
      <c r="AR105" s="321" t="s">
        <v>1649</v>
      </c>
      <c r="AS105" s="321" t="s">
        <v>1649</v>
      </c>
      <c r="AT105" s="321" t="s">
        <v>1649</v>
      </c>
      <c r="AU105" s="307" t="s">
        <v>3574</v>
      </c>
    </row>
    <row r="106" spans="1:47" ht="13.5" thickBot="1" x14ac:dyDescent="0.25">
      <c r="A106" s="48" t="s">
        <v>456</v>
      </c>
      <c r="B106" s="291" t="s">
        <v>455</v>
      </c>
      <c r="C106" s="298" t="s">
        <v>17</v>
      </c>
      <c r="D106" s="304"/>
      <c r="E106" s="305"/>
      <c r="F106" s="305"/>
      <c r="G106" s="304"/>
      <c r="H106" s="305"/>
      <c r="I106" s="305"/>
      <c r="J106" s="304"/>
      <c r="K106" s="305"/>
      <c r="L106" s="305"/>
      <c r="M106" s="304"/>
      <c r="N106" s="305"/>
      <c r="O106" s="305"/>
      <c r="P106" s="304"/>
      <c r="Q106" s="305"/>
      <c r="R106" s="305"/>
      <c r="S106" s="302">
        <v>11</v>
      </c>
      <c r="T106" s="303">
        <v>4950</v>
      </c>
      <c r="U106" s="303">
        <v>4950</v>
      </c>
      <c r="V106" s="321" t="s">
        <v>1649</v>
      </c>
      <c r="W106" s="321" t="s">
        <v>1649</v>
      </c>
      <c r="X106" s="321" t="s">
        <v>1649</v>
      </c>
      <c r="Y106" s="321" t="s">
        <v>1649</v>
      </c>
      <c r="Z106" s="321" t="s">
        <v>1649</v>
      </c>
      <c r="AA106" s="321" t="s">
        <v>1649</v>
      </c>
      <c r="AB106" s="321" t="s">
        <v>1649</v>
      </c>
      <c r="AC106" s="321" t="s">
        <v>1649</v>
      </c>
      <c r="AD106" s="321" t="s">
        <v>1649</v>
      </c>
      <c r="AE106" s="321" t="s">
        <v>1649</v>
      </c>
      <c r="AF106" s="321" t="s">
        <v>1649</v>
      </c>
      <c r="AG106" s="321" t="s">
        <v>1649</v>
      </c>
      <c r="AH106" s="300"/>
      <c r="AI106" s="321" t="s">
        <v>1649</v>
      </c>
      <c r="AJ106" s="321" t="s">
        <v>1649</v>
      </c>
      <c r="AK106" s="321" t="s">
        <v>1649</v>
      </c>
      <c r="AL106" s="321" t="s">
        <v>1649</v>
      </c>
      <c r="AM106" s="321" t="s">
        <v>1649</v>
      </c>
      <c r="AN106" s="321" t="s">
        <v>1649</v>
      </c>
      <c r="AO106" s="321" t="s">
        <v>1649</v>
      </c>
      <c r="AP106" s="321" t="s">
        <v>1649</v>
      </c>
      <c r="AQ106" s="321" t="s">
        <v>1649</v>
      </c>
      <c r="AR106" s="321" t="s">
        <v>1649</v>
      </c>
      <c r="AS106" s="321" t="s">
        <v>1648</v>
      </c>
      <c r="AT106" s="321" t="s">
        <v>1649</v>
      </c>
      <c r="AU106" s="301"/>
    </row>
    <row r="107" spans="1:47" ht="13.5" thickBot="1" x14ac:dyDescent="0.25">
      <c r="A107" s="48" t="s">
        <v>462</v>
      </c>
      <c r="B107" s="291" t="s">
        <v>461</v>
      </c>
      <c r="C107" s="298" t="s">
        <v>17</v>
      </c>
      <c r="D107" s="304"/>
      <c r="E107" s="305"/>
      <c r="F107" s="305"/>
      <c r="G107" s="302">
        <v>16</v>
      </c>
      <c r="H107" s="303">
        <v>6240</v>
      </c>
      <c r="I107" s="303">
        <v>14560</v>
      </c>
      <c r="J107" s="302">
        <v>35</v>
      </c>
      <c r="K107" s="303">
        <v>23480</v>
      </c>
      <c r="L107" s="303">
        <v>25480</v>
      </c>
      <c r="M107" s="302">
        <v>20</v>
      </c>
      <c r="N107" s="303">
        <v>6864</v>
      </c>
      <c r="O107" s="303">
        <v>8008</v>
      </c>
      <c r="P107" s="304"/>
      <c r="Q107" s="305"/>
      <c r="R107" s="305"/>
      <c r="S107" s="304"/>
      <c r="T107" s="305"/>
      <c r="U107" s="305"/>
      <c r="V107" s="321" t="s">
        <v>1648</v>
      </c>
      <c r="W107" s="321" t="s">
        <v>1649</v>
      </c>
      <c r="X107" s="321" t="s">
        <v>1649</v>
      </c>
      <c r="Y107" s="321" t="s">
        <v>1649</v>
      </c>
      <c r="Z107" s="321" t="s">
        <v>1649</v>
      </c>
      <c r="AA107" s="321" t="s">
        <v>1648</v>
      </c>
      <c r="AB107" s="321" t="s">
        <v>1648</v>
      </c>
      <c r="AC107" s="321" t="s">
        <v>1648</v>
      </c>
      <c r="AD107" s="321" t="s">
        <v>1649</v>
      </c>
      <c r="AE107" s="321" t="s">
        <v>1649</v>
      </c>
      <c r="AF107" s="321" t="s">
        <v>1649</v>
      </c>
      <c r="AG107" s="321" t="s">
        <v>1649</v>
      </c>
      <c r="AH107" s="165" t="s">
        <v>3661</v>
      </c>
      <c r="AI107" s="321" t="s">
        <v>1649</v>
      </c>
      <c r="AJ107" s="321" t="s">
        <v>1649</v>
      </c>
      <c r="AK107" s="321" t="s">
        <v>1649</v>
      </c>
      <c r="AL107" s="321" t="s">
        <v>1649</v>
      </c>
      <c r="AM107" s="321" t="s">
        <v>1649</v>
      </c>
      <c r="AN107" s="321" t="s">
        <v>1649</v>
      </c>
      <c r="AO107" s="321" t="s">
        <v>1648</v>
      </c>
      <c r="AP107" s="321" t="s">
        <v>1648</v>
      </c>
      <c r="AQ107" s="321" t="s">
        <v>1649</v>
      </c>
      <c r="AR107" s="321" t="s">
        <v>1649</v>
      </c>
      <c r="AS107" s="321" t="s">
        <v>1649</v>
      </c>
      <c r="AT107" s="321" t="s">
        <v>1649</v>
      </c>
      <c r="AU107" s="307" t="s">
        <v>3662</v>
      </c>
    </row>
    <row r="108" spans="1:47" ht="13.5" thickBot="1" x14ac:dyDescent="0.25">
      <c r="A108" s="48" t="s">
        <v>466</v>
      </c>
      <c r="B108" s="291" t="s">
        <v>465</v>
      </c>
      <c r="C108" s="298" t="s">
        <v>17</v>
      </c>
      <c r="D108" s="299" t="s">
        <v>1613</v>
      </c>
      <c r="E108" s="299" t="s">
        <v>1613</v>
      </c>
      <c r="F108" s="299" t="s">
        <v>1613</v>
      </c>
      <c r="G108" s="299" t="s">
        <v>1613</v>
      </c>
      <c r="H108" s="299" t="s">
        <v>1613</v>
      </c>
      <c r="I108" s="299" t="s">
        <v>1613</v>
      </c>
      <c r="J108" s="299" t="s">
        <v>1613</v>
      </c>
      <c r="K108" s="299" t="s">
        <v>1613</v>
      </c>
      <c r="L108" s="299" t="s">
        <v>1613</v>
      </c>
      <c r="M108" s="299" t="s">
        <v>1613</v>
      </c>
      <c r="N108" s="299" t="s">
        <v>1613</v>
      </c>
      <c r="O108" s="299" t="s">
        <v>1613</v>
      </c>
      <c r="P108" s="299" t="s">
        <v>1613</v>
      </c>
      <c r="Q108" s="299" t="s">
        <v>1613</v>
      </c>
      <c r="R108" s="299" t="s">
        <v>1613</v>
      </c>
      <c r="S108" s="302">
        <v>20</v>
      </c>
      <c r="T108" s="303">
        <v>8000</v>
      </c>
      <c r="U108" s="303">
        <v>11960</v>
      </c>
      <c r="V108" s="321" t="s">
        <v>1649</v>
      </c>
      <c r="W108" s="321" t="s">
        <v>1649</v>
      </c>
      <c r="X108" s="321" t="s">
        <v>1649</v>
      </c>
      <c r="Y108" s="321" t="s">
        <v>1649</v>
      </c>
      <c r="Z108" s="321" t="s">
        <v>1649</v>
      </c>
      <c r="AA108" s="321" t="s">
        <v>1649</v>
      </c>
      <c r="AB108" s="321" t="s">
        <v>1649</v>
      </c>
      <c r="AC108" s="321" t="s">
        <v>1649</v>
      </c>
      <c r="AD108" s="321" t="s">
        <v>1649</v>
      </c>
      <c r="AE108" s="321" t="s">
        <v>1649</v>
      </c>
      <c r="AF108" s="321" t="s">
        <v>1649</v>
      </c>
      <c r="AG108" s="321" t="s">
        <v>1649</v>
      </c>
      <c r="AH108" s="300" t="s">
        <v>1613</v>
      </c>
      <c r="AI108" s="321" t="s">
        <v>1649</v>
      </c>
      <c r="AJ108" s="321" t="s">
        <v>1649</v>
      </c>
      <c r="AK108" s="321" t="s">
        <v>1649</v>
      </c>
      <c r="AL108" s="321" t="s">
        <v>1649</v>
      </c>
      <c r="AM108" s="321" t="s">
        <v>1649</v>
      </c>
      <c r="AN108" s="321" t="s">
        <v>1649</v>
      </c>
      <c r="AO108" s="321" t="s">
        <v>1649</v>
      </c>
      <c r="AP108" s="321" t="s">
        <v>1649</v>
      </c>
      <c r="AQ108" s="321" t="s">
        <v>1649</v>
      </c>
      <c r="AR108" s="321" t="s">
        <v>1649</v>
      </c>
      <c r="AS108" s="321" t="s">
        <v>1649</v>
      </c>
      <c r="AT108" s="321" t="s">
        <v>1649</v>
      </c>
      <c r="AU108" s="301" t="s">
        <v>1613</v>
      </c>
    </row>
    <row r="109" spans="1:47" ht="13.5" thickBot="1" x14ac:dyDescent="0.25">
      <c r="A109" s="48" t="s">
        <v>478</v>
      </c>
      <c r="B109" s="291" t="s">
        <v>477</v>
      </c>
      <c r="C109" s="298" t="s">
        <v>17</v>
      </c>
      <c r="D109" s="304"/>
      <c r="E109" s="305"/>
      <c r="F109" s="305"/>
      <c r="G109" s="304"/>
      <c r="H109" s="305"/>
      <c r="I109" s="305"/>
      <c r="J109" s="304"/>
      <c r="K109" s="303">
        <v>11750</v>
      </c>
      <c r="L109" s="303">
        <v>11750</v>
      </c>
      <c r="M109" s="302">
        <v>34</v>
      </c>
      <c r="N109" s="303">
        <v>10000</v>
      </c>
      <c r="O109" s="303">
        <v>10000</v>
      </c>
      <c r="P109" s="304"/>
      <c r="Q109" s="305"/>
      <c r="R109" s="305"/>
      <c r="S109" s="302">
        <v>20</v>
      </c>
      <c r="T109" s="303">
        <v>8450</v>
      </c>
      <c r="U109" s="303">
        <v>7450</v>
      </c>
      <c r="V109" s="321" t="s">
        <v>1648</v>
      </c>
      <c r="W109" s="321" t="s">
        <v>1649</v>
      </c>
      <c r="X109" s="321" t="s">
        <v>1649</v>
      </c>
      <c r="Y109" s="321" t="s">
        <v>1649</v>
      </c>
      <c r="Z109" s="321" t="s">
        <v>1649</v>
      </c>
      <c r="AA109" s="321" t="s">
        <v>1648</v>
      </c>
      <c r="AB109" s="321" t="s">
        <v>1648</v>
      </c>
      <c r="AC109" s="321" t="s">
        <v>1648</v>
      </c>
      <c r="AD109" s="321" t="s">
        <v>1649</v>
      </c>
      <c r="AE109" s="321" t="s">
        <v>1649</v>
      </c>
      <c r="AF109" s="321" t="s">
        <v>1648</v>
      </c>
      <c r="AG109" s="321" t="s">
        <v>1649</v>
      </c>
      <c r="AH109" s="300"/>
      <c r="AI109" s="321" t="s">
        <v>1649</v>
      </c>
      <c r="AJ109" s="321" t="s">
        <v>1649</v>
      </c>
      <c r="AK109" s="321" t="s">
        <v>1649</v>
      </c>
      <c r="AL109" s="321" t="s">
        <v>1649</v>
      </c>
      <c r="AM109" s="321" t="s">
        <v>1649</v>
      </c>
      <c r="AN109" s="321" t="s">
        <v>1648</v>
      </c>
      <c r="AO109" s="321" t="s">
        <v>1648</v>
      </c>
      <c r="AP109" s="321" t="s">
        <v>1648</v>
      </c>
      <c r="AQ109" s="321" t="s">
        <v>1649</v>
      </c>
      <c r="AR109" s="321" t="s">
        <v>1649</v>
      </c>
      <c r="AS109" s="321" t="s">
        <v>1648</v>
      </c>
      <c r="AT109" s="321" t="s">
        <v>1649</v>
      </c>
      <c r="AU109" s="301"/>
    </row>
    <row r="110" spans="1:47" ht="13.5" thickBot="1" x14ac:dyDescent="0.25">
      <c r="A110" s="48" t="s">
        <v>480</v>
      </c>
      <c r="B110" s="291" t="s">
        <v>479</v>
      </c>
      <c r="C110" s="298" t="s">
        <v>17</v>
      </c>
      <c r="D110" s="299" t="s">
        <v>1613</v>
      </c>
      <c r="E110" s="299" t="s">
        <v>1613</v>
      </c>
      <c r="F110" s="299" t="s">
        <v>1613</v>
      </c>
      <c r="G110" s="299" t="s">
        <v>1613</v>
      </c>
      <c r="H110" s="299" t="s">
        <v>1613</v>
      </c>
      <c r="I110" s="299" t="s">
        <v>1613</v>
      </c>
      <c r="J110" s="302">
        <v>16</v>
      </c>
      <c r="K110" s="303">
        <v>7000</v>
      </c>
      <c r="L110" s="303">
        <v>12000</v>
      </c>
      <c r="M110" s="302">
        <v>12</v>
      </c>
      <c r="N110" s="303">
        <v>3000</v>
      </c>
      <c r="O110" s="303">
        <v>8000</v>
      </c>
      <c r="P110" s="299" t="s">
        <v>1613</v>
      </c>
      <c r="Q110" s="299" t="s">
        <v>1613</v>
      </c>
      <c r="R110" s="299" t="s">
        <v>1613</v>
      </c>
      <c r="S110" s="299" t="s">
        <v>1613</v>
      </c>
      <c r="T110" s="299" t="s">
        <v>1613</v>
      </c>
      <c r="U110" s="299" t="s">
        <v>1613</v>
      </c>
      <c r="V110" s="321" t="s">
        <v>1649</v>
      </c>
      <c r="W110" s="321" t="s">
        <v>1649</v>
      </c>
      <c r="X110" s="321" t="s">
        <v>1649</v>
      </c>
      <c r="Y110" s="321" t="s">
        <v>1649</v>
      </c>
      <c r="Z110" s="321" t="s">
        <v>1649</v>
      </c>
      <c r="AA110" s="321" t="s">
        <v>1649</v>
      </c>
      <c r="AB110" s="321" t="s">
        <v>1649</v>
      </c>
      <c r="AC110" s="321" t="s">
        <v>1649</v>
      </c>
      <c r="AD110" s="321" t="s">
        <v>1649</v>
      </c>
      <c r="AE110" s="321" t="s">
        <v>1649</v>
      </c>
      <c r="AF110" s="321" t="s">
        <v>1649</v>
      </c>
      <c r="AG110" s="321" t="s">
        <v>1649</v>
      </c>
      <c r="AH110" s="300" t="s">
        <v>1613</v>
      </c>
      <c r="AI110" s="321" t="s">
        <v>1649</v>
      </c>
      <c r="AJ110" s="321" t="s">
        <v>1649</v>
      </c>
      <c r="AK110" s="321" t="s">
        <v>1649</v>
      </c>
      <c r="AL110" s="321" t="s">
        <v>1649</v>
      </c>
      <c r="AM110" s="321" t="s">
        <v>1649</v>
      </c>
      <c r="AN110" s="321" t="s">
        <v>1649</v>
      </c>
      <c r="AO110" s="321" t="s">
        <v>1648</v>
      </c>
      <c r="AP110" s="321" t="s">
        <v>1648</v>
      </c>
      <c r="AQ110" s="321" t="s">
        <v>1649</v>
      </c>
      <c r="AR110" s="321" t="s">
        <v>1649</v>
      </c>
      <c r="AS110" s="321" t="s">
        <v>1649</v>
      </c>
      <c r="AT110" s="321" t="s">
        <v>1649</v>
      </c>
      <c r="AU110" s="301" t="s">
        <v>1613</v>
      </c>
    </row>
    <row r="111" spans="1:47" ht="13.5" thickBot="1" x14ac:dyDescent="0.25">
      <c r="A111" s="48" t="s">
        <v>488</v>
      </c>
      <c r="B111" s="291" t="s">
        <v>487</v>
      </c>
      <c r="C111" s="298" t="s">
        <v>17</v>
      </c>
      <c r="D111" s="302">
        <v>22</v>
      </c>
      <c r="E111" s="303">
        <v>10400</v>
      </c>
      <c r="F111" s="303">
        <v>10400</v>
      </c>
      <c r="G111" s="299" t="s">
        <v>1613</v>
      </c>
      <c r="H111" s="299" t="s">
        <v>1613</v>
      </c>
      <c r="I111" s="299" t="s">
        <v>1613</v>
      </c>
      <c r="J111" s="302">
        <v>26</v>
      </c>
      <c r="K111" s="303">
        <v>13000</v>
      </c>
      <c r="L111" s="303">
        <v>13000</v>
      </c>
      <c r="M111" s="299" t="s">
        <v>1613</v>
      </c>
      <c r="N111" s="299" t="s">
        <v>1613</v>
      </c>
      <c r="O111" s="299" t="s">
        <v>1613</v>
      </c>
      <c r="P111" s="299" t="s">
        <v>1613</v>
      </c>
      <c r="Q111" s="299" t="s">
        <v>1613</v>
      </c>
      <c r="R111" s="299" t="s">
        <v>1613</v>
      </c>
      <c r="S111" s="299" t="s">
        <v>1613</v>
      </c>
      <c r="T111" s="299" t="s">
        <v>1613</v>
      </c>
      <c r="U111" s="299" t="s">
        <v>1613</v>
      </c>
      <c r="V111" s="321" t="s">
        <v>1649</v>
      </c>
      <c r="W111" s="321" t="s">
        <v>1649</v>
      </c>
      <c r="X111" s="321" t="s">
        <v>1649</v>
      </c>
      <c r="Y111" s="321" t="s">
        <v>1649</v>
      </c>
      <c r="Z111" s="321" t="s">
        <v>1649</v>
      </c>
      <c r="AA111" s="321" t="s">
        <v>1649</v>
      </c>
      <c r="AB111" s="321" t="s">
        <v>1649</v>
      </c>
      <c r="AC111" s="321" t="s">
        <v>1649</v>
      </c>
      <c r="AD111" s="321" t="s">
        <v>1649</v>
      </c>
      <c r="AE111" s="321" t="s">
        <v>1649</v>
      </c>
      <c r="AF111" s="321" t="s">
        <v>1649</v>
      </c>
      <c r="AG111" s="321" t="s">
        <v>1649</v>
      </c>
      <c r="AH111" s="300" t="s">
        <v>1613</v>
      </c>
      <c r="AI111" s="321" t="s">
        <v>1649</v>
      </c>
      <c r="AJ111" s="321" t="s">
        <v>1649</v>
      </c>
      <c r="AK111" s="321" t="s">
        <v>1649</v>
      </c>
      <c r="AL111" s="321" t="s">
        <v>1649</v>
      </c>
      <c r="AM111" s="321" t="s">
        <v>1649</v>
      </c>
      <c r="AN111" s="321" t="s">
        <v>1649</v>
      </c>
      <c r="AO111" s="321" t="s">
        <v>1649</v>
      </c>
      <c r="AP111" s="321" t="s">
        <v>1649</v>
      </c>
      <c r="AQ111" s="321" t="s">
        <v>1649</v>
      </c>
      <c r="AR111" s="321" t="s">
        <v>1649</v>
      </c>
      <c r="AS111" s="321" t="s">
        <v>1649</v>
      </c>
      <c r="AT111" s="321" t="s">
        <v>1649</v>
      </c>
      <c r="AU111" s="301" t="s">
        <v>1613</v>
      </c>
    </row>
    <row r="112" spans="1:47" ht="13.5" thickBot="1" x14ac:dyDescent="0.25">
      <c r="A112" s="48" t="s">
        <v>490</v>
      </c>
      <c r="B112" s="291" t="s">
        <v>489</v>
      </c>
      <c r="C112" s="298" t="s">
        <v>17</v>
      </c>
      <c r="D112" s="304"/>
      <c r="E112" s="305"/>
      <c r="F112" s="305"/>
      <c r="G112" s="304"/>
      <c r="H112" s="305"/>
      <c r="I112" s="305"/>
      <c r="J112" s="304"/>
      <c r="K112" s="305"/>
      <c r="L112" s="305"/>
      <c r="M112" s="304"/>
      <c r="N112" s="305"/>
      <c r="O112" s="305"/>
      <c r="P112" s="304"/>
      <c r="Q112" s="305"/>
      <c r="R112" s="305"/>
      <c r="S112" s="302">
        <v>35</v>
      </c>
      <c r="T112" s="303">
        <v>31377</v>
      </c>
      <c r="U112" s="303">
        <v>34860</v>
      </c>
      <c r="V112" s="321" t="s">
        <v>1649</v>
      </c>
      <c r="W112" s="321" t="s">
        <v>1649</v>
      </c>
      <c r="X112" s="321" t="s">
        <v>1649</v>
      </c>
      <c r="Y112" s="321" t="s">
        <v>1649</v>
      </c>
      <c r="Z112" s="321" t="s">
        <v>1649</v>
      </c>
      <c r="AA112" s="321" t="s">
        <v>1649</v>
      </c>
      <c r="AB112" s="321" t="s">
        <v>1649</v>
      </c>
      <c r="AC112" s="321" t="s">
        <v>1649</v>
      </c>
      <c r="AD112" s="321" t="s">
        <v>1649</v>
      </c>
      <c r="AE112" s="321" t="s">
        <v>1649</v>
      </c>
      <c r="AF112" s="321" t="s">
        <v>1649</v>
      </c>
      <c r="AG112" s="321" t="s">
        <v>1649</v>
      </c>
      <c r="AH112" s="300" t="s">
        <v>1613</v>
      </c>
      <c r="AI112" s="321" t="s">
        <v>1649</v>
      </c>
      <c r="AJ112" s="321" t="s">
        <v>1649</v>
      </c>
      <c r="AK112" s="321" t="s">
        <v>1649</v>
      </c>
      <c r="AL112" s="321" t="s">
        <v>1648</v>
      </c>
      <c r="AM112" s="321" t="s">
        <v>1649</v>
      </c>
      <c r="AN112" s="321" t="s">
        <v>1648</v>
      </c>
      <c r="AO112" s="321" t="s">
        <v>1649</v>
      </c>
      <c r="AP112" s="321" t="s">
        <v>1648</v>
      </c>
      <c r="AQ112" s="321" t="s">
        <v>1649</v>
      </c>
      <c r="AR112" s="321" t="s">
        <v>1648</v>
      </c>
      <c r="AS112" s="321" t="s">
        <v>1648</v>
      </c>
      <c r="AT112" s="321" t="s">
        <v>1648</v>
      </c>
      <c r="AU112" s="301" t="s">
        <v>1613</v>
      </c>
    </row>
    <row r="113" spans="1:47" ht="13.5" thickBot="1" x14ac:dyDescent="0.25">
      <c r="A113" s="48" t="s">
        <v>494</v>
      </c>
      <c r="B113" s="291" t="s">
        <v>493</v>
      </c>
      <c r="C113" s="298" t="s">
        <v>17</v>
      </c>
      <c r="D113" s="302">
        <v>20</v>
      </c>
      <c r="E113" s="303">
        <v>2875</v>
      </c>
      <c r="F113" s="303">
        <v>10373</v>
      </c>
      <c r="G113" s="304"/>
      <c r="H113" s="305"/>
      <c r="I113" s="305"/>
      <c r="J113" s="304"/>
      <c r="K113" s="305"/>
      <c r="L113" s="305"/>
      <c r="M113" s="304"/>
      <c r="N113" s="305"/>
      <c r="O113" s="305"/>
      <c r="P113" s="304"/>
      <c r="Q113" s="305"/>
      <c r="R113" s="305"/>
      <c r="S113" s="304"/>
      <c r="T113" s="303">
        <v>2875</v>
      </c>
      <c r="U113" s="303">
        <v>9000</v>
      </c>
      <c r="V113" s="321" t="s">
        <v>1649</v>
      </c>
      <c r="W113" s="321" t="s">
        <v>1649</v>
      </c>
      <c r="X113" s="321" t="s">
        <v>1649</v>
      </c>
      <c r="Y113" s="321" t="s">
        <v>1649</v>
      </c>
      <c r="Z113" s="321" t="s">
        <v>1649</v>
      </c>
      <c r="AA113" s="321" t="s">
        <v>1649</v>
      </c>
      <c r="AB113" s="321" t="s">
        <v>1649</v>
      </c>
      <c r="AC113" s="321" t="s">
        <v>1649</v>
      </c>
      <c r="AD113" s="321" t="s">
        <v>1649</v>
      </c>
      <c r="AE113" s="321" t="s">
        <v>1649</v>
      </c>
      <c r="AF113" s="321" t="s">
        <v>1649</v>
      </c>
      <c r="AG113" s="321" t="s">
        <v>1649</v>
      </c>
      <c r="AH113" s="300" t="s">
        <v>1613</v>
      </c>
      <c r="AI113" s="321" t="s">
        <v>1649</v>
      </c>
      <c r="AJ113" s="321" t="s">
        <v>1649</v>
      </c>
      <c r="AK113" s="321" t="s">
        <v>1649</v>
      </c>
      <c r="AL113" s="321" t="s">
        <v>1649</v>
      </c>
      <c r="AM113" s="321" t="s">
        <v>1649</v>
      </c>
      <c r="AN113" s="321" t="s">
        <v>1649</v>
      </c>
      <c r="AO113" s="321" t="s">
        <v>1649</v>
      </c>
      <c r="AP113" s="321" t="s">
        <v>1649</v>
      </c>
      <c r="AQ113" s="321" t="s">
        <v>1649</v>
      </c>
      <c r="AR113" s="321" t="s">
        <v>1649</v>
      </c>
      <c r="AS113" s="321" t="s">
        <v>1649</v>
      </c>
      <c r="AT113" s="321" t="s">
        <v>1649</v>
      </c>
      <c r="AU113" s="301" t="s">
        <v>1613</v>
      </c>
    </row>
    <row r="114" spans="1:47" ht="13.5" thickBot="1" x14ac:dyDescent="0.25">
      <c r="A114" s="48" t="s">
        <v>512</v>
      </c>
      <c r="B114" s="291" t="s">
        <v>511</v>
      </c>
      <c r="C114" s="298" t="s">
        <v>17</v>
      </c>
      <c r="D114" s="304"/>
      <c r="E114" s="305"/>
      <c r="F114" s="305"/>
      <c r="G114" s="304"/>
      <c r="H114" s="305"/>
      <c r="I114" s="305"/>
      <c r="J114" s="304"/>
      <c r="K114" s="305"/>
      <c r="L114" s="305"/>
      <c r="M114" s="304"/>
      <c r="N114" s="305"/>
      <c r="O114" s="305"/>
      <c r="P114" s="304"/>
      <c r="Q114" s="305"/>
      <c r="R114" s="305"/>
      <c r="S114" s="302">
        <v>30</v>
      </c>
      <c r="T114" s="303">
        <v>2828</v>
      </c>
      <c r="U114" s="303">
        <v>25213</v>
      </c>
      <c r="V114" s="321" t="s">
        <v>1649</v>
      </c>
      <c r="W114" s="321" t="s">
        <v>1649</v>
      </c>
      <c r="X114" s="321" t="s">
        <v>1649</v>
      </c>
      <c r="Y114" s="321" t="s">
        <v>1649</v>
      </c>
      <c r="Z114" s="321" t="s">
        <v>1649</v>
      </c>
      <c r="AA114" s="321" t="s">
        <v>1648</v>
      </c>
      <c r="AB114" s="321" t="s">
        <v>1648</v>
      </c>
      <c r="AC114" s="321" t="s">
        <v>1648</v>
      </c>
      <c r="AD114" s="321" t="s">
        <v>1649</v>
      </c>
      <c r="AE114" s="321" t="s">
        <v>1649</v>
      </c>
      <c r="AF114" s="321" t="s">
        <v>1649</v>
      </c>
      <c r="AG114" s="321" t="s">
        <v>1649</v>
      </c>
      <c r="AH114" s="300"/>
      <c r="AI114" s="321" t="s">
        <v>1649</v>
      </c>
      <c r="AJ114" s="321" t="s">
        <v>1649</v>
      </c>
      <c r="AK114" s="321" t="s">
        <v>1649</v>
      </c>
      <c r="AL114" s="321" t="s">
        <v>1649</v>
      </c>
      <c r="AM114" s="321" t="s">
        <v>1649</v>
      </c>
      <c r="AN114" s="321" t="s">
        <v>1649</v>
      </c>
      <c r="AO114" s="321" t="s">
        <v>1648</v>
      </c>
      <c r="AP114" s="321" t="s">
        <v>1649</v>
      </c>
      <c r="AQ114" s="321" t="s">
        <v>1649</v>
      </c>
      <c r="AR114" s="321" t="s">
        <v>1649</v>
      </c>
      <c r="AS114" s="321" t="s">
        <v>1649</v>
      </c>
      <c r="AT114" s="321" t="s">
        <v>1649</v>
      </c>
      <c r="AU114" s="301" t="s">
        <v>1613</v>
      </c>
    </row>
    <row r="115" spans="1:47" ht="13.5" thickBot="1" x14ac:dyDescent="0.25">
      <c r="A115" s="48" t="s">
        <v>514</v>
      </c>
      <c r="B115" s="291" t="s">
        <v>513</v>
      </c>
      <c r="C115" s="298" t="s">
        <v>17</v>
      </c>
      <c r="D115" s="302">
        <v>32</v>
      </c>
      <c r="E115" s="303">
        <v>19000</v>
      </c>
      <c r="F115" s="303">
        <v>25000</v>
      </c>
      <c r="G115" s="299" t="s">
        <v>1613</v>
      </c>
      <c r="H115" s="299" t="s">
        <v>1613</v>
      </c>
      <c r="I115" s="299" t="s">
        <v>1613</v>
      </c>
      <c r="J115" s="299" t="s">
        <v>1613</v>
      </c>
      <c r="K115" s="299" t="s">
        <v>1613</v>
      </c>
      <c r="L115" s="299" t="s">
        <v>1613</v>
      </c>
      <c r="M115" s="302">
        <v>37</v>
      </c>
      <c r="N115" s="303">
        <v>25000</v>
      </c>
      <c r="O115" s="303">
        <v>31000</v>
      </c>
      <c r="P115" s="302">
        <v>14</v>
      </c>
      <c r="Q115" s="303">
        <v>12000</v>
      </c>
      <c r="R115" s="303">
        <v>18000</v>
      </c>
      <c r="S115" s="302">
        <v>37</v>
      </c>
      <c r="T115" s="303">
        <v>15000</v>
      </c>
      <c r="U115" s="303">
        <v>25000</v>
      </c>
      <c r="V115" s="321" t="s">
        <v>1648</v>
      </c>
      <c r="W115" s="321" t="s">
        <v>1648</v>
      </c>
      <c r="X115" s="321" t="s">
        <v>1649</v>
      </c>
      <c r="Y115" s="321" t="s">
        <v>1649</v>
      </c>
      <c r="Z115" s="321" t="s">
        <v>1648</v>
      </c>
      <c r="AA115" s="321" t="s">
        <v>1648</v>
      </c>
      <c r="AB115" s="321" t="s">
        <v>1648</v>
      </c>
      <c r="AC115" s="321" t="s">
        <v>1648</v>
      </c>
      <c r="AD115" s="321" t="s">
        <v>1648</v>
      </c>
      <c r="AE115" s="321" t="s">
        <v>1649</v>
      </c>
      <c r="AF115" s="321" t="s">
        <v>1648</v>
      </c>
      <c r="AG115" s="321" t="s">
        <v>1649</v>
      </c>
      <c r="AH115" s="300" t="s">
        <v>1613</v>
      </c>
      <c r="AI115" s="321" t="s">
        <v>1649</v>
      </c>
      <c r="AJ115" s="321" t="s">
        <v>1649</v>
      </c>
      <c r="AK115" s="321" t="s">
        <v>1649</v>
      </c>
      <c r="AL115" s="321" t="s">
        <v>1649</v>
      </c>
      <c r="AM115" s="321" t="s">
        <v>1649</v>
      </c>
      <c r="AN115" s="321" t="s">
        <v>1649</v>
      </c>
      <c r="AO115" s="321" t="s">
        <v>1648</v>
      </c>
      <c r="AP115" s="321" t="s">
        <v>1648</v>
      </c>
      <c r="AQ115" s="321" t="s">
        <v>1649</v>
      </c>
      <c r="AR115" s="321" t="s">
        <v>1649</v>
      </c>
      <c r="AS115" s="321" t="s">
        <v>1649</v>
      </c>
      <c r="AT115" s="321" t="s">
        <v>1649</v>
      </c>
      <c r="AU115" s="301" t="s">
        <v>1613</v>
      </c>
    </row>
    <row r="116" spans="1:47" ht="13.5" thickBot="1" x14ac:dyDescent="0.25">
      <c r="A116" s="48" t="s">
        <v>526</v>
      </c>
      <c r="B116" s="291" t="s">
        <v>525</v>
      </c>
      <c r="C116" s="298" t="s">
        <v>17</v>
      </c>
      <c r="D116" s="302">
        <v>38</v>
      </c>
      <c r="E116" s="303">
        <v>18000</v>
      </c>
      <c r="F116" s="303">
        <v>25000</v>
      </c>
      <c r="G116" s="302">
        <v>1</v>
      </c>
      <c r="H116" s="303">
        <v>100</v>
      </c>
      <c r="I116" s="303">
        <v>100</v>
      </c>
      <c r="J116" s="302">
        <v>1</v>
      </c>
      <c r="K116" s="303">
        <v>100</v>
      </c>
      <c r="L116" s="303">
        <v>100</v>
      </c>
      <c r="M116" s="302">
        <v>1</v>
      </c>
      <c r="N116" s="303">
        <v>100</v>
      </c>
      <c r="O116" s="303">
        <v>100</v>
      </c>
      <c r="P116" s="302">
        <v>1</v>
      </c>
      <c r="Q116" s="303">
        <v>100</v>
      </c>
      <c r="R116" s="303">
        <v>100</v>
      </c>
      <c r="S116" s="302">
        <v>20</v>
      </c>
      <c r="T116" s="303">
        <v>10000</v>
      </c>
      <c r="U116" s="303">
        <v>16000</v>
      </c>
      <c r="V116" s="321" t="s">
        <v>1649</v>
      </c>
      <c r="W116" s="321" t="s">
        <v>1649</v>
      </c>
      <c r="X116" s="321" t="s">
        <v>1649</v>
      </c>
      <c r="Y116" s="321" t="s">
        <v>1649</v>
      </c>
      <c r="Z116" s="321" t="s">
        <v>1649</v>
      </c>
      <c r="AA116" s="321" t="s">
        <v>1649</v>
      </c>
      <c r="AB116" s="321" t="s">
        <v>1648</v>
      </c>
      <c r="AC116" s="321" t="s">
        <v>1649</v>
      </c>
      <c r="AD116" s="321" t="s">
        <v>1649</v>
      </c>
      <c r="AE116" s="321" t="s">
        <v>1649</v>
      </c>
      <c r="AF116" s="321" t="s">
        <v>1649</v>
      </c>
      <c r="AG116" s="321" t="s">
        <v>1649</v>
      </c>
      <c r="AH116" s="300"/>
      <c r="AI116" s="321" t="s">
        <v>1649</v>
      </c>
      <c r="AJ116" s="321" t="s">
        <v>1649</v>
      </c>
      <c r="AK116" s="321" t="s">
        <v>1649</v>
      </c>
      <c r="AL116" s="321" t="s">
        <v>1649</v>
      </c>
      <c r="AM116" s="321" t="s">
        <v>1649</v>
      </c>
      <c r="AN116" s="321" t="s">
        <v>1649</v>
      </c>
      <c r="AO116" s="321" t="s">
        <v>1648</v>
      </c>
      <c r="AP116" s="321" t="s">
        <v>1649</v>
      </c>
      <c r="AQ116" s="321" t="s">
        <v>1649</v>
      </c>
      <c r="AR116" s="321" t="s">
        <v>1649</v>
      </c>
      <c r="AS116" s="321" t="s">
        <v>1649</v>
      </c>
      <c r="AT116" s="321" t="s">
        <v>1649</v>
      </c>
      <c r="AU116" s="301"/>
    </row>
    <row r="117" spans="1:47" ht="13.5" thickBot="1" x14ac:dyDescent="0.25">
      <c r="A117" s="48" t="s">
        <v>528</v>
      </c>
      <c r="B117" s="291" t="s">
        <v>527</v>
      </c>
      <c r="C117" s="298" t="s">
        <v>17</v>
      </c>
      <c r="D117" s="304"/>
      <c r="E117" s="305"/>
      <c r="F117" s="305"/>
      <c r="G117" s="304"/>
      <c r="H117" s="305"/>
      <c r="I117" s="305"/>
      <c r="J117" s="304"/>
      <c r="K117" s="305"/>
      <c r="L117" s="305"/>
      <c r="M117" s="302">
        <v>40</v>
      </c>
      <c r="N117" s="303">
        <v>29120</v>
      </c>
      <c r="O117" s="303">
        <v>31200</v>
      </c>
      <c r="P117" s="302">
        <v>28</v>
      </c>
      <c r="Q117" s="303">
        <v>11750</v>
      </c>
      <c r="R117" s="303">
        <v>20400</v>
      </c>
      <c r="S117" s="302">
        <v>30</v>
      </c>
      <c r="T117" s="303">
        <v>15600</v>
      </c>
      <c r="U117" s="303">
        <v>18720</v>
      </c>
      <c r="V117" s="321" t="s">
        <v>1649</v>
      </c>
      <c r="W117" s="321" t="s">
        <v>1649</v>
      </c>
      <c r="X117" s="321" t="s">
        <v>1649</v>
      </c>
      <c r="Y117" s="321" t="s">
        <v>1649</v>
      </c>
      <c r="Z117" s="321" t="s">
        <v>1649</v>
      </c>
      <c r="AA117" s="321" t="s">
        <v>1648</v>
      </c>
      <c r="AB117" s="321" t="s">
        <v>1648</v>
      </c>
      <c r="AC117" s="321" t="s">
        <v>1648</v>
      </c>
      <c r="AD117" s="321" t="s">
        <v>1649</v>
      </c>
      <c r="AE117" s="321" t="s">
        <v>1649</v>
      </c>
      <c r="AF117" s="321" t="s">
        <v>1648</v>
      </c>
      <c r="AG117" s="321" t="s">
        <v>1649</v>
      </c>
      <c r="AH117" s="165" t="s">
        <v>3663</v>
      </c>
      <c r="AI117" s="321" t="s">
        <v>1649</v>
      </c>
      <c r="AJ117" s="321" t="s">
        <v>1649</v>
      </c>
      <c r="AK117" s="321" t="s">
        <v>1649</v>
      </c>
      <c r="AL117" s="321" t="s">
        <v>1649</v>
      </c>
      <c r="AM117" s="321" t="s">
        <v>1649</v>
      </c>
      <c r="AN117" s="321" t="s">
        <v>1648</v>
      </c>
      <c r="AO117" s="321" t="s">
        <v>1648</v>
      </c>
      <c r="AP117" s="321" t="s">
        <v>1648</v>
      </c>
      <c r="AQ117" s="321" t="s">
        <v>1649</v>
      </c>
      <c r="AR117" s="321" t="s">
        <v>1649</v>
      </c>
      <c r="AS117" s="321" t="s">
        <v>1649</v>
      </c>
      <c r="AT117" s="321" t="s">
        <v>1649</v>
      </c>
      <c r="AU117" s="307" t="s">
        <v>3663</v>
      </c>
    </row>
    <row r="118" spans="1:47" ht="13.5" thickBot="1" x14ac:dyDescent="0.25">
      <c r="A118" s="48" t="s">
        <v>532</v>
      </c>
      <c r="B118" s="291" t="s">
        <v>531</v>
      </c>
      <c r="C118" s="298" t="s">
        <v>17</v>
      </c>
      <c r="D118" s="304"/>
      <c r="E118" s="305"/>
      <c r="F118" s="305"/>
      <c r="G118" s="302">
        <v>18</v>
      </c>
      <c r="H118" s="303">
        <v>8424</v>
      </c>
      <c r="I118" s="303">
        <v>9360</v>
      </c>
      <c r="J118" s="304"/>
      <c r="K118" s="305"/>
      <c r="L118" s="305"/>
      <c r="M118" s="304"/>
      <c r="N118" s="305"/>
      <c r="O118" s="305"/>
      <c r="P118" s="304"/>
      <c r="Q118" s="305"/>
      <c r="R118" s="305"/>
      <c r="S118" s="304"/>
      <c r="T118" s="305"/>
      <c r="U118" s="305"/>
      <c r="V118" s="321" t="s">
        <v>1649</v>
      </c>
      <c r="W118" s="321" t="s">
        <v>1649</v>
      </c>
      <c r="X118" s="321" t="s">
        <v>1649</v>
      </c>
      <c r="Y118" s="321" t="s">
        <v>1649</v>
      </c>
      <c r="Z118" s="321" t="s">
        <v>1649</v>
      </c>
      <c r="AA118" s="321" t="s">
        <v>1648</v>
      </c>
      <c r="AB118" s="321" t="s">
        <v>1648</v>
      </c>
      <c r="AC118" s="321" t="s">
        <v>1648</v>
      </c>
      <c r="AD118" s="321" t="s">
        <v>1649</v>
      </c>
      <c r="AE118" s="321" t="s">
        <v>1649</v>
      </c>
      <c r="AF118" s="321" t="s">
        <v>1649</v>
      </c>
      <c r="AG118" s="321" t="s">
        <v>1649</v>
      </c>
      <c r="AH118" s="300" t="s">
        <v>1613</v>
      </c>
      <c r="AI118" s="321" t="s">
        <v>1649</v>
      </c>
      <c r="AJ118" s="321" t="s">
        <v>1649</v>
      </c>
      <c r="AK118" s="321" t="s">
        <v>1649</v>
      </c>
      <c r="AL118" s="321" t="s">
        <v>1649</v>
      </c>
      <c r="AM118" s="321" t="s">
        <v>1649</v>
      </c>
      <c r="AN118" s="321" t="s">
        <v>1649</v>
      </c>
      <c r="AO118" s="321" t="s">
        <v>1649</v>
      </c>
      <c r="AP118" s="321" t="s">
        <v>1649</v>
      </c>
      <c r="AQ118" s="321" t="s">
        <v>1648</v>
      </c>
      <c r="AR118" s="321" t="s">
        <v>1649</v>
      </c>
      <c r="AS118" s="321" t="s">
        <v>1649</v>
      </c>
      <c r="AT118" s="321" t="s">
        <v>1649</v>
      </c>
      <c r="AU118" s="301" t="s">
        <v>1613</v>
      </c>
    </row>
    <row r="119" spans="1:47" ht="13.5" thickBot="1" x14ac:dyDescent="0.25">
      <c r="A119" s="48" t="s">
        <v>540</v>
      </c>
      <c r="B119" s="291" t="s">
        <v>539</v>
      </c>
      <c r="C119" s="298" t="s">
        <v>17</v>
      </c>
      <c r="D119" s="302">
        <v>24</v>
      </c>
      <c r="E119" s="303">
        <v>18500</v>
      </c>
      <c r="F119" s="303">
        <v>26000</v>
      </c>
      <c r="G119" s="299" t="s">
        <v>1613</v>
      </c>
      <c r="H119" s="299" t="s">
        <v>1613</v>
      </c>
      <c r="I119" s="299" t="s">
        <v>1613</v>
      </c>
      <c r="J119" s="299" t="s">
        <v>1613</v>
      </c>
      <c r="K119" s="299" t="s">
        <v>1613</v>
      </c>
      <c r="L119" s="299" t="s">
        <v>1613</v>
      </c>
      <c r="M119" s="299" t="s">
        <v>1613</v>
      </c>
      <c r="N119" s="299" t="s">
        <v>1613</v>
      </c>
      <c r="O119" s="299" t="s">
        <v>1613</v>
      </c>
      <c r="P119" s="299" t="s">
        <v>1613</v>
      </c>
      <c r="Q119" s="299" t="s">
        <v>1613</v>
      </c>
      <c r="R119" s="299" t="s">
        <v>1613</v>
      </c>
      <c r="S119" s="302">
        <v>24</v>
      </c>
      <c r="T119" s="303">
        <v>13100</v>
      </c>
      <c r="U119" s="303">
        <v>29000</v>
      </c>
      <c r="V119" s="321" t="s">
        <v>1649</v>
      </c>
      <c r="W119" s="321" t="s">
        <v>1649</v>
      </c>
      <c r="X119" s="321" t="s">
        <v>1649</v>
      </c>
      <c r="Y119" s="321" t="s">
        <v>1649</v>
      </c>
      <c r="Z119" s="321" t="s">
        <v>1649</v>
      </c>
      <c r="AA119" s="321" t="s">
        <v>1648</v>
      </c>
      <c r="AB119" s="321" t="s">
        <v>1648</v>
      </c>
      <c r="AC119" s="321" t="s">
        <v>1648</v>
      </c>
      <c r="AD119" s="321" t="s">
        <v>1649</v>
      </c>
      <c r="AE119" s="321" t="s">
        <v>1649</v>
      </c>
      <c r="AF119" s="321" t="s">
        <v>1649</v>
      </c>
      <c r="AG119" s="321" t="s">
        <v>1649</v>
      </c>
      <c r="AH119" s="300" t="s">
        <v>1613</v>
      </c>
      <c r="AI119" s="321" t="s">
        <v>1649</v>
      </c>
      <c r="AJ119" s="321" t="s">
        <v>1649</v>
      </c>
      <c r="AK119" s="321" t="s">
        <v>1649</v>
      </c>
      <c r="AL119" s="321" t="s">
        <v>1649</v>
      </c>
      <c r="AM119" s="321" t="s">
        <v>1649</v>
      </c>
      <c r="AN119" s="321" t="s">
        <v>1648</v>
      </c>
      <c r="AO119" s="321" t="s">
        <v>1648</v>
      </c>
      <c r="AP119" s="321" t="s">
        <v>1648</v>
      </c>
      <c r="AQ119" s="321" t="s">
        <v>1649</v>
      </c>
      <c r="AR119" s="321" t="s">
        <v>1649</v>
      </c>
      <c r="AS119" s="321" t="s">
        <v>1649</v>
      </c>
      <c r="AT119" s="321" t="s">
        <v>1649</v>
      </c>
      <c r="AU119" s="301" t="s">
        <v>1613</v>
      </c>
    </row>
    <row r="120" spans="1:47" ht="13.5" thickBot="1" x14ac:dyDescent="0.25">
      <c r="A120" s="48" t="s">
        <v>560</v>
      </c>
      <c r="B120" s="291" t="s">
        <v>559</v>
      </c>
      <c r="C120" s="298" t="s">
        <v>17</v>
      </c>
      <c r="D120" s="302">
        <v>30</v>
      </c>
      <c r="E120" s="306" t="s">
        <v>1660</v>
      </c>
      <c r="F120" s="306" t="s">
        <v>1660</v>
      </c>
      <c r="G120" s="299" t="s">
        <v>1613</v>
      </c>
      <c r="H120" s="299" t="s">
        <v>1613</v>
      </c>
      <c r="I120" s="299" t="s">
        <v>1613</v>
      </c>
      <c r="J120" s="302">
        <v>21</v>
      </c>
      <c r="K120" s="306" t="s">
        <v>1660</v>
      </c>
      <c r="L120" s="306" t="s">
        <v>1660</v>
      </c>
      <c r="M120" s="299" t="s">
        <v>1613</v>
      </c>
      <c r="N120" s="299" t="s">
        <v>1613</v>
      </c>
      <c r="O120" s="299" t="s">
        <v>1613</v>
      </c>
      <c r="P120" s="299" t="s">
        <v>1613</v>
      </c>
      <c r="Q120" s="299" t="s">
        <v>1613</v>
      </c>
      <c r="R120" s="299" t="s">
        <v>1613</v>
      </c>
      <c r="S120" s="304"/>
      <c r="T120" s="299" t="s">
        <v>1613</v>
      </c>
      <c r="U120" s="299" t="s">
        <v>1613</v>
      </c>
      <c r="V120" s="321" t="s">
        <v>1649</v>
      </c>
      <c r="W120" s="321" t="s">
        <v>1649</v>
      </c>
      <c r="X120" s="321" t="s">
        <v>1649</v>
      </c>
      <c r="Y120" s="321" t="s">
        <v>1649</v>
      </c>
      <c r="Z120" s="321" t="s">
        <v>1649</v>
      </c>
      <c r="AA120" s="321" t="s">
        <v>1649</v>
      </c>
      <c r="AB120" s="321" t="s">
        <v>1649</v>
      </c>
      <c r="AC120" s="321" t="s">
        <v>1649</v>
      </c>
      <c r="AD120" s="321" t="s">
        <v>1649</v>
      </c>
      <c r="AE120" s="321" t="s">
        <v>1649</v>
      </c>
      <c r="AF120" s="321" t="s">
        <v>1649</v>
      </c>
      <c r="AG120" s="321" t="s">
        <v>1649</v>
      </c>
      <c r="AH120" s="300" t="s">
        <v>1613</v>
      </c>
      <c r="AI120" s="321" t="s">
        <v>1649</v>
      </c>
      <c r="AJ120" s="321" t="s">
        <v>1649</v>
      </c>
      <c r="AK120" s="321" t="s">
        <v>1649</v>
      </c>
      <c r="AL120" s="321" t="s">
        <v>1649</v>
      </c>
      <c r="AM120" s="321" t="s">
        <v>1649</v>
      </c>
      <c r="AN120" s="321" t="s">
        <v>1649</v>
      </c>
      <c r="AO120" s="321" t="s">
        <v>1649</v>
      </c>
      <c r="AP120" s="321" t="s">
        <v>1649</v>
      </c>
      <c r="AQ120" s="321" t="s">
        <v>1649</v>
      </c>
      <c r="AR120" s="321" t="s">
        <v>1649</v>
      </c>
      <c r="AS120" s="321" t="s">
        <v>1649</v>
      </c>
      <c r="AT120" s="321" t="s">
        <v>1649</v>
      </c>
      <c r="AU120" s="301" t="s">
        <v>1613</v>
      </c>
    </row>
    <row r="121" spans="1:47" ht="13.5" thickBot="1" x14ac:dyDescent="0.25">
      <c r="A121" s="48" t="s">
        <v>566</v>
      </c>
      <c r="B121" s="291" t="s">
        <v>565</v>
      </c>
      <c r="C121" s="298" t="s">
        <v>17</v>
      </c>
      <c r="D121" s="304"/>
      <c r="E121" s="305"/>
      <c r="F121" s="305"/>
      <c r="G121" s="304"/>
      <c r="H121" s="305"/>
      <c r="I121" s="305"/>
      <c r="J121" s="304"/>
      <c r="K121" s="305"/>
      <c r="L121" s="305"/>
      <c r="M121" s="304"/>
      <c r="N121" s="305"/>
      <c r="O121" s="305"/>
      <c r="P121" s="302">
        <v>10</v>
      </c>
      <c r="Q121" s="303">
        <v>7000</v>
      </c>
      <c r="R121" s="303">
        <v>9000</v>
      </c>
      <c r="S121" s="302">
        <v>25</v>
      </c>
      <c r="T121" s="303">
        <v>6000</v>
      </c>
      <c r="U121" s="303">
        <v>11000</v>
      </c>
      <c r="V121" s="321" t="s">
        <v>1649</v>
      </c>
      <c r="W121" s="321" t="s">
        <v>1649</v>
      </c>
      <c r="X121" s="321" t="s">
        <v>1649</v>
      </c>
      <c r="Y121" s="321" t="s">
        <v>1649</v>
      </c>
      <c r="Z121" s="321" t="s">
        <v>1649</v>
      </c>
      <c r="AA121" s="321" t="s">
        <v>1649</v>
      </c>
      <c r="AB121" s="321" t="s">
        <v>1649</v>
      </c>
      <c r="AC121" s="321" t="s">
        <v>1649</v>
      </c>
      <c r="AD121" s="321" t="s">
        <v>1649</v>
      </c>
      <c r="AE121" s="321" t="s">
        <v>1649</v>
      </c>
      <c r="AF121" s="321" t="s">
        <v>1649</v>
      </c>
      <c r="AG121" s="321" t="s">
        <v>1649</v>
      </c>
      <c r="AH121" s="300" t="s">
        <v>1613</v>
      </c>
      <c r="AI121" s="321" t="s">
        <v>1649</v>
      </c>
      <c r="AJ121" s="321" t="s">
        <v>1649</v>
      </c>
      <c r="AK121" s="321" t="s">
        <v>1649</v>
      </c>
      <c r="AL121" s="321" t="s">
        <v>1649</v>
      </c>
      <c r="AM121" s="321" t="s">
        <v>1649</v>
      </c>
      <c r="AN121" s="321" t="s">
        <v>1649</v>
      </c>
      <c r="AO121" s="321" t="s">
        <v>1649</v>
      </c>
      <c r="AP121" s="321" t="s">
        <v>1649</v>
      </c>
      <c r="AQ121" s="321" t="s">
        <v>1649</v>
      </c>
      <c r="AR121" s="321" t="s">
        <v>1649</v>
      </c>
      <c r="AS121" s="321" t="s">
        <v>1649</v>
      </c>
      <c r="AT121" s="321" t="s">
        <v>1649</v>
      </c>
      <c r="AU121" s="301" t="s">
        <v>1613</v>
      </c>
    </row>
    <row r="122" spans="1:47" ht="13.5" thickBot="1" x14ac:dyDescent="0.25">
      <c r="A122" s="48" t="s">
        <v>572</v>
      </c>
      <c r="B122" s="291" t="s">
        <v>571</v>
      </c>
      <c r="C122" s="298" t="s">
        <v>17</v>
      </c>
      <c r="D122" s="299" t="s">
        <v>1613</v>
      </c>
      <c r="E122" s="299" t="s">
        <v>1613</v>
      </c>
      <c r="F122" s="299" t="s">
        <v>1613</v>
      </c>
      <c r="G122" s="299" t="s">
        <v>1613</v>
      </c>
      <c r="H122" s="299" t="s">
        <v>1613</v>
      </c>
      <c r="I122" s="299" t="s">
        <v>1613</v>
      </c>
      <c r="J122" s="299" t="s">
        <v>1613</v>
      </c>
      <c r="K122" s="299" t="s">
        <v>1613</v>
      </c>
      <c r="L122" s="299" t="s">
        <v>1613</v>
      </c>
      <c r="M122" s="299" t="s">
        <v>1613</v>
      </c>
      <c r="N122" s="299" t="s">
        <v>1613</v>
      </c>
      <c r="O122" s="299" t="s">
        <v>1613</v>
      </c>
      <c r="P122" s="299" t="s">
        <v>1613</v>
      </c>
      <c r="Q122" s="299" t="s">
        <v>1613</v>
      </c>
      <c r="R122" s="299" t="s">
        <v>1613</v>
      </c>
      <c r="S122" s="299" t="s">
        <v>1613</v>
      </c>
      <c r="T122" s="299" t="s">
        <v>1613</v>
      </c>
      <c r="U122" s="299" t="s">
        <v>1613</v>
      </c>
      <c r="V122" s="321" t="s">
        <v>1649</v>
      </c>
      <c r="W122" s="321" t="s">
        <v>1649</v>
      </c>
      <c r="X122" s="321" t="s">
        <v>1649</v>
      </c>
      <c r="Y122" s="321" t="s">
        <v>1649</v>
      </c>
      <c r="Z122" s="321" t="s">
        <v>1649</v>
      </c>
      <c r="AA122" s="321" t="s">
        <v>1649</v>
      </c>
      <c r="AB122" s="321" t="s">
        <v>1649</v>
      </c>
      <c r="AC122" s="321" t="s">
        <v>1649</v>
      </c>
      <c r="AD122" s="321" t="s">
        <v>1649</v>
      </c>
      <c r="AE122" s="321" t="s">
        <v>1649</v>
      </c>
      <c r="AF122" s="321" t="s">
        <v>1649</v>
      </c>
      <c r="AG122" s="321" t="s">
        <v>1649</v>
      </c>
      <c r="AH122" s="300" t="s">
        <v>1613</v>
      </c>
      <c r="AI122" s="321" t="s">
        <v>1649</v>
      </c>
      <c r="AJ122" s="321" t="s">
        <v>1649</v>
      </c>
      <c r="AK122" s="321" t="s">
        <v>1649</v>
      </c>
      <c r="AL122" s="321" t="s">
        <v>1649</v>
      </c>
      <c r="AM122" s="321" t="s">
        <v>1649</v>
      </c>
      <c r="AN122" s="321" t="s">
        <v>1649</v>
      </c>
      <c r="AO122" s="321" t="s">
        <v>1648</v>
      </c>
      <c r="AP122" s="321" t="s">
        <v>1648</v>
      </c>
      <c r="AQ122" s="321" t="s">
        <v>1649</v>
      </c>
      <c r="AR122" s="321" t="s">
        <v>1649</v>
      </c>
      <c r="AS122" s="321" t="s">
        <v>1648</v>
      </c>
      <c r="AT122" s="321" t="s">
        <v>1649</v>
      </c>
      <c r="AU122" s="301" t="s">
        <v>1613</v>
      </c>
    </row>
    <row r="123" spans="1:47" ht="13.5" thickBot="1" x14ac:dyDescent="0.25">
      <c r="A123" s="48" t="s">
        <v>582</v>
      </c>
      <c r="B123" s="291" t="s">
        <v>581</v>
      </c>
      <c r="C123" s="298" t="s">
        <v>17</v>
      </c>
      <c r="D123" s="304"/>
      <c r="E123" s="305"/>
      <c r="F123" s="305"/>
      <c r="G123" s="299" t="s">
        <v>1613</v>
      </c>
      <c r="H123" s="299" t="s">
        <v>1613</v>
      </c>
      <c r="I123" s="299" t="s">
        <v>1613</v>
      </c>
      <c r="J123" s="302">
        <v>40</v>
      </c>
      <c r="K123" s="303">
        <v>30000</v>
      </c>
      <c r="L123" s="303">
        <v>34000</v>
      </c>
      <c r="M123" s="302">
        <v>40</v>
      </c>
      <c r="N123" s="303">
        <v>28500</v>
      </c>
      <c r="O123" s="303">
        <v>34000</v>
      </c>
      <c r="P123" s="299" t="s">
        <v>1613</v>
      </c>
      <c r="Q123" s="299" t="s">
        <v>1613</v>
      </c>
      <c r="R123" s="299" t="s">
        <v>1613</v>
      </c>
      <c r="S123" s="302">
        <v>24</v>
      </c>
      <c r="T123" s="303">
        <v>12096</v>
      </c>
      <c r="U123" s="303">
        <v>13824</v>
      </c>
      <c r="V123" s="321" t="s">
        <v>1648</v>
      </c>
      <c r="W123" s="321" t="s">
        <v>1649</v>
      </c>
      <c r="X123" s="321" t="s">
        <v>1649</v>
      </c>
      <c r="Y123" s="321" t="s">
        <v>1649</v>
      </c>
      <c r="Z123" s="321" t="s">
        <v>1649</v>
      </c>
      <c r="AA123" s="321" t="s">
        <v>1648</v>
      </c>
      <c r="AB123" s="321" t="s">
        <v>1648</v>
      </c>
      <c r="AC123" s="321" t="s">
        <v>1648</v>
      </c>
      <c r="AD123" s="321" t="s">
        <v>1649</v>
      </c>
      <c r="AE123" s="321" t="s">
        <v>1649</v>
      </c>
      <c r="AF123" s="321" t="s">
        <v>1649</v>
      </c>
      <c r="AG123" s="321" t="s">
        <v>1649</v>
      </c>
      <c r="AH123" s="300"/>
      <c r="AI123" s="321" t="s">
        <v>1649</v>
      </c>
      <c r="AJ123" s="321" t="s">
        <v>1649</v>
      </c>
      <c r="AK123" s="321" t="s">
        <v>1649</v>
      </c>
      <c r="AL123" s="321" t="s">
        <v>1649</v>
      </c>
      <c r="AM123" s="321" t="s">
        <v>1649</v>
      </c>
      <c r="AN123" s="321" t="s">
        <v>1649</v>
      </c>
      <c r="AO123" s="321" t="s">
        <v>1649</v>
      </c>
      <c r="AP123" s="321" t="s">
        <v>1649</v>
      </c>
      <c r="AQ123" s="321" t="s">
        <v>1649</v>
      </c>
      <c r="AR123" s="321" t="s">
        <v>1649</v>
      </c>
      <c r="AS123" s="321" t="s">
        <v>1649</v>
      </c>
      <c r="AT123" s="321" t="s">
        <v>1649</v>
      </c>
      <c r="AU123" s="301"/>
    </row>
    <row r="124" spans="1:47" ht="13.5" thickBot="1" x14ac:dyDescent="0.25">
      <c r="A124" s="48" t="s">
        <v>586</v>
      </c>
      <c r="B124" s="291" t="s">
        <v>585</v>
      </c>
      <c r="C124" s="298" t="s">
        <v>17</v>
      </c>
      <c r="D124" s="304"/>
      <c r="E124" s="299" t="s">
        <v>1613</v>
      </c>
      <c r="F124" s="299" t="s">
        <v>1613</v>
      </c>
      <c r="G124" s="299" t="s">
        <v>1613</v>
      </c>
      <c r="H124" s="299" t="s">
        <v>1613</v>
      </c>
      <c r="I124" s="299" t="s">
        <v>1613</v>
      </c>
      <c r="J124" s="299" t="s">
        <v>1613</v>
      </c>
      <c r="K124" s="299" t="s">
        <v>1613</v>
      </c>
      <c r="L124" s="299" t="s">
        <v>1613</v>
      </c>
      <c r="M124" s="299" t="s">
        <v>1613</v>
      </c>
      <c r="N124" s="299" t="s">
        <v>1613</v>
      </c>
      <c r="O124" s="299" t="s">
        <v>1613</v>
      </c>
      <c r="P124" s="299" t="s">
        <v>1613</v>
      </c>
      <c r="Q124" s="299" t="s">
        <v>1613</v>
      </c>
      <c r="R124" s="299" t="s">
        <v>1613</v>
      </c>
      <c r="S124" s="302">
        <v>6</v>
      </c>
      <c r="T124" s="303">
        <v>2000</v>
      </c>
      <c r="U124" s="303">
        <v>10000</v>
      </c>
      <c r="V124" s="321" t="s">
        <v>1649</v>
      </c>
      <c r="W124" s="321" t="s">
        <v>1649</v>
      </c>
      <c r="X124" s="321" t="s">
        <v>1649</v>
      </c>
      <c r="Y124" s="321" t="s">
        <v>1649</v>
      </c>
      <c r="Z124" s="321" t="s">
        <v>1649</v>
      </c>
      <c r="AA124" s="321" t="s">
        <v>1649</v>
      </c>
      <c r="AB124" s="321" t="s">
        <v>1649</v>
      </c>
      <c r="AC124" s="321" t="s">
        <v>1649</v>
      </c>
      <c r="AD124" s="321" t="s">
        <v>1649</v>
      </c>
      <c r="AE124" s="321" t="s">
        <v>1649</v>
      </c>
      <c r="AF124" s="321" t="s">
        <v>1649</v>
      </c>
      <c r="AG124" s="321" t="s">
        <v>1649</v>
      </c>
      <c r="AH124" s="300" t="s">
        <v>1613</v>
      </c>
      <c r="AI124" s="321" t="s">
        <v>1649</v>
      </c>
      <c r="AJ124" s="321" t="s">
        <v>1649</v>
      </c>
      <c r="AK124" s="321" t="s">
        <v>1649</v>
      </c>
      <c r="AL124" s="321" t="s">
        <v>1649</v>
      </c>
      <c r="AM124" s="321" t="s">
        <v>1649</v>
      </c>
      <c r="AN124" s="321" t="s">
        <v>1649</v>
      </c>
      <c r="AO124" s="321" t="s">
        <v>1649</v>
      </c>
      <c r="AP124" s="321" t="s">
        <v>1649</v>
      </c>
      <c r="AQ124" s="321" t="s">
        <v>1649</v>
      </c>
      <c r="AR124" s="321" t="s">
        <v>1649</v>
      </c>
      <c r="AS124" s="321" t="s">
        <v>1649</v>
      </c>
      <c r="AT124" s="321" t="s">
        <v>1649</v>
      </c>
      <c r="AU124" s="301" t="s">
        <v>1613</v>
      </c>
    </row>
    <row r="125" spans="1:47" ht="13.5" thickBot="1" x14ac:dyDescent="0.25">
      <c r="A125" s="48" t="s">
        <v>592</v>
      </c>
      <c r="B125" s="291" t="s">
        <v>591</v>
      </c>
      <c r="C125" s="298" t="s">
        <v>17</v>
      </c>
      <c r="D125" s="299" t="s">
        <v>1613</v>
      </c>
      <c r="E125" s="299" t="s">
        <v>1613</v>
      </c>
      <c r="F125" s="299" t="s">
        <v>1613</v>
      </c>
      <c r="G125" s="299" t="s">
        <v>1613</v>
      </c>
      <c r="H125" s="299" t="s">
        <v>1613</v>
      </c>
      <c r="I125" s="299" t="s">
        <v>1613</v>
      </c>
      <c r="J125" s="299" t="s">
        <v>1613</v>
      </c>
      <c r="K125" s="299" t="s">
        <v>1613</v>
      </c>
      <c r="L125" s="299" t="s">
        <v>1613</v>
      </c>
      <c r="M125" s="302">
        <v>10</v>
      </c>
      <c r="N125" s="303">
        <v>7600</v>
      </c>
      <c r="O125" s="303">
        <v>10000</v>
      </c>
      <c r="P125" s="302">
        <v>2</v>
      </c>
      <c r="Q125" s="303">
        <v>500</v>
      </c>
      <c r="R125" s="303">
        <v>1500</v>
      </c>
      <c r="S125" s="302">
        <v>4</v>
      </c>
      <c r="T125" s="303">
        <v>2000</v>
      </c>
      <c r="U125" s="303">
        <v>5000</v>
      </c>
      <c r="V125" s="321" t="s">
        <v>1649</v>
      </c>
      <c r="W125" s="321" t="s">
        <v>1649</v>
      </c>
      <c r="X125" s="321" t="s">
        <v>1649</v>
      </c>
      <c r="Y125" s="321" t="s">
        <v>1649</v>
      </c>
      <c r="Z125" s="321" t="s">
        <v>1649</v>
      </c>
      <c r="AA125" s="321" t="s">
        <v>1649</v>
      </c>
      <c r="AB125" s="321" t="s">
        <v>1648</v>
      </c>
      <c r="AC125" s="321" t="s">
        <v>1648</v>
      </c>
      <c r="AD125" s="321" t="s">
        <v>1649</v>
      </c>
      <c r="AE125" s="321" t="s">
        <v>1649</v>
      </c>
      <c r="AF125" s="321" t="s">
        <v>1649</v>
      </c>
      <c r="AG125" s="321" t="s">
        <v>1649</v>
      </c>
      <c r="AH125" s="300" t="s">
        <v>1613</v>
      </c>
      <c r="AI125" s="321" t="s">
        <v>1649</v>
      </c>
      <c r="AJ125" s="321" t="s">
        <v>1649</v>
      </c>
      <c r="AK125" s="321" t="s">
        <v>1649</v>
      </c>
      <c r="AL125" s="321" t="s">
        <v>1649</v>
      </c>
      <c r="AM125" s="321" t="s">
        <v>1649</v>
      </c>
      <c r="AN125" s="321" t="s">
        <v>1649</v>
      </c>
      <c r="AO125" s="321" t="s">
        <v>1648</v>
      </c>
      <c r="AP125" s="321" t="s">
        <v>1648</v>
      </c>
      <c r="AQ125" s="321" t="s">
        <v>1649</v>
      </c>
      <c r="AR125" s="321" t="s">
        <v>1649</v>
      </c>
      <c r="AS125" s="321" t="s">
        <v>1649</v>
      </c>
      <c r="AT125" s="321" t="s">
        <v>1649</v>
      </c>
      <c r="AU125" s="301" t="s">
        <v>1613</v>
      </c>
    </row>
    <row r="126" spans="1:47" ht="13.5" thickBot="1" x14ac:dyDescent="0.25">
      <c r="A126" s="48" t="s">
        <v>600</v>
      </c>
      <c r="B126" s="291" t="s">
        <v>599</v>
      </c>
      <c r="C126" s="298" t="s">
        <v>17</v>
      </c>
      <c r="D126" s="302">
        <v>23</v>
      </c>
      <c r="E126" s="303">
        <v>14386</v>
      </c>
      <c r="F126" s="303">
        <v>14386</v>
      </c>
      <c r="G126" s="302">
        <v>22</v>
      </c>
      <c r="H126" s="303">
        <v>5277</v>
      </c>
      <c r="I126" s="303">
        <v>5277</v>
      </c>
      <c r="J126" s="299" t="s">
        <v>1613</v>
      </c>
      <c r="K126" s="299" t="s">
        <v>1613</v>
      </c>
      <c r="L126" s="299" t="s">
        <v>1613</v>
      </c>
      <c r="M126" s="299" t="s">
        <v>1613</v>
      </c>
      <c r="N126" s="299" t="s">
        <v>1613</v>
      </c>
      <c r="O126" s="299" t="s">
        <v>1613</v>
      </c>
      <c r="P126" s="299" t="s">
        <v>1613</v>
      </c>
      <c r="Q126" s="299" t="s">
        <v>1613</v>
      </c>
      <c r="R126" s="299" t="s">
        <v>1613</v>
      </c>
      <c r="S126" s="302">
        <v>22</v>
      </c>
      <c r="T126" s="303">
        <v>8017</v>
      </c>
      <c r="U126" s="303">
        <v>8017</v>
      </c>
      <c r="V126" s="321" t="s">
        <v>1649</v>
      </c>
      <c r="W126" s="321" t="s">
        <v>1649</v>
      </c>
      <c r="X126" s="321" t="s">
        <v>1649</v>
      </c>
      <c r="Y126" s="321" t="s">
        <v>1649</v>
      </c>
      <c r="Z126" s="321" t="s">
        <v>1649</v>
      </c>
      <c r="AA126" s="321" t="s">
        <v>1648</v>
      </c>
      <c r="AB126" s="321" t="s">
        <v>1648</v>
      </c>
      <c r="AC126" s="321" t="s">
        <v>1648</v>
      </c>
      <c r="AD126" s="321" t="s">
        <v>1649</v>
      </c>
      <c r="AE126" s="321" t="s">
        <v>1649</v>
      </c>
      <c r="AF126" s="321" t="s">
        <v>1649</v>
      </c>
      <c r="AG126" s="321" t="s">
        <v>1649</v>
      </c>
      <c r="AH126" s="165" t="s">
        <v>3592</v>
      </c>
      <c r="AI126" s="321" t="s">
        <v>1649</v>
      </c>
      <c r="AJ126" s="321" t="s">
        <v>1649</v>
      </c>
      <c r="AK126" s="321" t="s">
        <v>1649</v>
      </c>
      <c r="AL126" s="321" t="s">
        <v>1649</v>
      </c>
      <c r="AM126" s="321" t="s">
        <v>1649</v>
      </c>
      <c r="AN126" s="321" t="s">
        <v>1649</v>
      </c>
      <c r="AO126" s="321" t="s">
        <v>1649</v>
      </c>
      <c r="AP126" s="321" t="s">
        <v>1649</v>
      </c>
      <c r="AQ126" s="321" t="s">
        <v>1649</v>
      </c>
      <c r="AR126" s="321" t="s">
        <v>1649</v>
      </c>
      <c r="AS126" s="321" t="s">
        <v>1649</v>
      </c>
      <c r="AT126" s="321" t="s">
        <v>1649</v>
      </c>
      <c r="AU126" s="301" t="s">
        <v>1613</v>
      </c>
    </row>
    <row r="127" spans="1:47" ht="13.5" thickBot="1" x14ac:dyDescent="0.25">
      <c r="A127" s="48" t="s">
        <v>606</v>
      </c>
      <c r="B127" s="291" t="s">
        <v>605</v>
      </c>
      <c r="C127" s="298" t="s">
        <v>17</v>
      </c>
      <c r="D127" s="302">
        <v>24</v>
      </c>
      <c r="E127" s="303">
        <v>11000</v>
      </c>
      <c r="F127" s="303">
        <v>17000</v>
      </c>
      <c r="G127" s="304"/>
      <c r="H127" s="305"/>
      <c r="I127" s="305"/>
      <c r="J127" s="304"/>
      <c r="K127" s="305"/>
      <c r="L127" s="305"/>
      <c r="M127" s="304"/>
      <c r="N127" s="305"/>
      <c r="O127" s="305"/>
      <c r="P127" s="304"/>
      <c r="Q127" s="305"/>
      <c r="R127" s="305"/>
      <c r="S127" s="302">
        <v>11</v>
      </c>
      <c r="T127" s="303">
        <v>4160</v>
      </c>
      <c r="U127" s="303">
        <v>8600</v>
      </c>
      <c r="V127" s="321" t="s">
        <v>1649</v>
      </c>
      <c r="W127" s="321" t="s">
        <v>1649</v>
      </c>
      <c r="X127" s="321" t="s">
        <v>1649</v>
      </c>
      <c r="Y127" s="321" t="s">
        <v>1649</v>
      </c>
      <c r="Z127" s="321" t="s">
        <v>1649</v>
      </c>
      <c r="AA127" s="321" t="s">
        <v>1649</v>
      </c>
      <c r="AB127" s="321" t="s">
        <v>1649</v>
      </c>
      <c r="AC127" s="321" t="s">
        <v>1649</v>
      </c>
      <c r="AD127" s="321" t="s">
        <v>1649</v>
      </c>
      <c r="AE127" s="321" t="s">
        <v>1649</v>
      </c>
      <c r="AF127" s="321" t="s">
        <v>1649</v>
      </c>
      <c r="AG127" s="321" t="s">
        <v>1649</v>
      </c>
      <c r="AH127" s="300" t="s">
        <v>1613</v>
      </c>
      <c r="AI127" s="321" t="s">
        <v>1649</v>
      </c>
      <c r="AJ127" s="321" t="s">
        <v>1649</v>
      </c>
      <c r="AK127" s="321" t="s">
        <v>1649</v>
      </c>
      <c r="AL127" s="321" t="s">
        <v>1649</v>
      </c>
      <c r="AM127" s="321" t="s">
        <v>1649</v>
      </c>
      <c r="AN127" s="321" t="s">
        <v>1648</v>
      </c>
      <c r="AO127" s="321" t="s">
        <v>1649</v>
      </c>
      <c r="AP127" s="321" t="s">
        <v>1649</v>
      </c>
      <c r="AQ127" s="321" t="s">
        <v>1649</v>
      </c>
      <c r="AR127" s="321" t="s">
        <v>1649</v>
      </c>
      <c r="AS127" s="321" t="s">
        <v>1648</v>
      </c>
      <c r="AT127" s="321" t="s">
        <v>1649</v>
      </c>
      <c r="AU127" s="301" t="s">
        <v>1613</v>
      </c>
    </row>
    <row r="128" spans="1:47" ht="13.5" thickBot="1" x14ac:dyDescent="0.25">
      <c r="A128" s="48" t="s">
        <v>608</v>
      </c>
      <c r="B128" s="291" t="s">
        <v>607</v>
      </c>
      <c r="C128" s="298" t="s">
        <v>17</v>
      </c>
      <c r="D128" s="304"/>
      <c r="E128" s="303">
        <v>20000</v>
      </c>
      <c r="F128" s="303">
        <v>30000</v>
      </c>
      <c r="G128" s="304"/>
      <c r="H128" s="305"/>
      <c r="I128" s="305"/>
      <c r="J128" s="304"/>
      <c r="K128" s="305"/>
      <c r="L128" s="305"/>
      <c r="M128" s="302">
        <v>40</v>
      </c>
      <c r="N128" s="303">
        <v>20000</v>
      </c>
      <c r="O128" s="303">
        <v>30000</v>
      </c>
      <c r="P128" s="304"/>
      <c r="Q128" s="305"/>
      <c r="R128" s="305"/>
      <c r="S128" s="302">
        <v>30</v>
      </c>
      <c r="T128" s="303">
        <v>9800</v>
      </c>
      <c r="U128" s="303">
        <v>15000</v>
      </c>
      <c r="V128" s="321" t="s">
        <v>1648</v>
      </c>
      <c r="W128" s="321" t="s">
        <v>1648</v>
      </c>
      <c r="X128" s="321" t="s">
        <v>1649</v>
      </c>
      <c r="Y128" s="321" t="s">
        <v>1649</v>
      </c>
      <c r="Z128" s="321" t="s">
        <v>1648</v>
      </c>
      <c r="AA128" s="321" t="s">
        <v>1649</v>
      </c>
      <c r="AB128" s="321" t="s">
        <v>1648</v>
      </c>
      <c r="AC128" s="321" t="s">
        <v>1648</v>
      </c>
      <c r="AD128" s="321" t="s">
        <v>1649</v>
      </c>
      <c r="AE128" s="321" t="s">
        <v>1649</v>
      </c>
      <c r="AF128" s="321" t="s">
        <v>1648</v>
      </c>
      <c r="AG128" s="321" t="s">
        <v>1649</v>
      </c>
      <c r="AH128" s="300"/>
      <c r="AI128" s="321" t="s">
        <v>1649</v>
      </c>
      <c r="AJ128" s="321" t="s">
        <v>1649</v>
      </c>
      <c r="AK128" s="321" t="s">
        <v>1649</v>
      </c>
      <c r="AL128" s="321" t="s">
        <v>1649</v>
      </c>
      <c r="AM128" s="321" t="s">
        <v>1649</v>
      </c>
      <c r="AN128" s="321" t="s">
        <v>1649</v>
      </c>
      <c r="AO128" s="321" t="s">
        <v>1649</v>
      </c>
      <c r="AP128" s="321" t="s">
        <v>1649</v>
      </c>
      <c r="AQ128" s="321" t="s">
        <v>1649</v>
      </c>
      <c r="AR128" s="321" t="s">
        <v>1649</v>
      </c>
      <c r="AS128" s="321" t="s">
        <v>1649</v>
      </c>
      <c r="AT128" s="321" t="s">
        <v>1649</v>
      </c>
      <c r="AU128" s="301"/>
    </row>
    <row r="129" spans="1:47" ht="13.5" thickBot="1" x14ac:dyDescent="0.25">
      <c r="A129" s="48" t="s">
        <v>614</v>
      </c>
      <c r="B129" s="291" t="s">
        <v>613</v>
      </c>
      <c r="C129" s="298" t="s">
        <v>17</v>
      </c>
      <c r="D129" s="299" t="s">
        <v>1613</v>
      </c>
      <c r="E129" s="299" t="s">
        <v>1613</v>
      </c>
      <c r="F129" s="299" t="s">
        <v>1613</v>
      </c>
      <c r="G129" s="299" t="s">
        <v>1613</v>
      </c>
      <c r="H129" s="299" t="s">
        <v>1613</v>
      </c>
      <c r="I129" s="299" t="s">
        <v>1613</v>
      </c>
      <c r="J129" s="299" t="s">
        <v>1613</v>
      </c>
      <c r="K129" s="299" t="s">
        <v>1613</v>
      </c>
      <c r="L129" s="299" t="s">
        <v>1613</v>
      </c>
      <c r="M129" s="299" t="s">
        <v>1613</v>
      </c>
      <c r="N129" s="299" t="s">
        <v>1613</v>
      </c>
      <c r="O129" s="299" t="s">
        <v>1613</v>
      </c>
      <c r="P129" s="299" t="s">
        <v>1613</v>
      </c>
      <c r="Q129" s="299" t="s">
        <v>1613</v>
      </c>
      <c r="R129" s="299" t="s">
        <v>1613</v>
      </c>
      <c r="S129" s="302">
        <v>24</v>
      </c>
      <c r="T129" s="303">
        <v>12480</v>
      </c>
      <c r="U129" s="303">
        <v>14102</v>
      </c>
      <c r="V129" s="321" t="s">
        <v>1649</v>
      </c>
      <c r="W129" s="321" t="s">
        <v>1649</v>
      </c>
      <c r="X129" s="321" t="s">
        <v>1649</v>
      </c>
      <c r="Y129" s="321" t="s">
        <v>1649</v>
      </c>
      <c r="Z129" s="321" t="s">
        <v>1649</v>
      </c>
      <c r="AA129" s="321" t="s">
        <v>1648</v>
      </c>
      <c r="AB129" s="321" t="s">
        <v>1648</v>
      </c>
      <c r="AC129" s="321" t="s">
        <v>1648</v>
      </c>
      <c r="AD129" s="321" t="s">
        <v>1649</v>
      </c>
      <c r="AE129" s="321" t="s">
        <v>1649</v>
      </c>
      <c r="AF129" s="321" t="s">
        <v>1648</v>
      </c>
      <c r="AG129" s="321" t="s">
        <v>1649</v>
      </c>
      <c r="AH129" s="300" t="s">
        <v>1613</v>
      </c>
      <c r="AI129" s="321" t="s">
        <v>1649</v>
      </c>
      <c r="AJ129" s="321" t="s">
        <v>1649</v>
      </c>
      <c r="AK129" s="321" t="s">
        <v>1649</v>
      </c>
      <c r="AL129" s="321" t="s">
        <v>1649</v>
      </c>
      <c r="AM129" s="321" t="s">
        <v>1649</v>
      </c>
      <c r="AN129" s="321" t="s">
        <v>1649</v>
      </c>
      <c r="AO129" s="321" t="s">
        <v>1649</v>
      </c>
      <c r="AP129" s="321" t="s">
        <v>1649</v>
      </c>
      <c r="AQ129" s="321" t="s">
        <v>1649</v>
      </c>
      <c r="AR129" s="321" t="s">
        <v>1649</v>
      </c>
      <c r="AS129" s="321" t="s">
        <v>1649</v>
      </c>
      <c r="AT129" s="321" t="s">
        <v>1649</v>
      </c>
      <c r="AU129" s="301" t="s">
        <v>1613</v>
      </c>
    </row>
    <row r="130" spans="1:47" ht="13.5" thickBot="1" x14ac:dyDescent="0.25">
      <c r="A130" s="48" t="s">
        <v>620</v>
      </c>
      <c r="B130" s="291" t="s">
        <v>619</v>
      </c>
      <c r="C130" s="298" t="s">
        <v>17</v>
      </c>
      <c r="D130" s="299" t="s">
        <v>1613</v>
      </c>
      <c r="E130" s="299" t="s">
        <v>1613</v>
      </c>
      <c r="F130" s="299" t="s">
        <v>1613</v>
      </c>
      <c r="G130" s="299" t="s">
        <v>1613</v>
      </c>
      <c r="H130" s="299" t="s">
        <v>1613</v>
      </c>
      <c r="I130" s="299" t="s">
        <v>1613</v>
      </c>
      <c r="J130" s="299" t="s">
        <v>1613</v>
      </c>
      <c r="K130" s="299" t="s">
        <v>1613</v>
      </c>
      <c r="L130" s="299" t="s">
        <v>1613</v>
      </c>
      <c r="M130" s="299" t="s">
        <v>1613</v>
      </c>
      <c r="N130" s="299" t="s">
        <v>1613</v>
      </c>
      <c r="O130" s="299" t="s">
        <v>1613</v>
      </c>
      <c r="P130" s="299" t="s">
        <v>1613</v>
      </c>
      <c r="Q130" s="299" t="s">
        <v>1613</v>
      </c>
      <c r="R130" s="299" t="s">
        <v>1613</v>
      </c>
      <c r="S130" s="299" t="s">
        <v>1613</v>
      </c>
      <c r="T130" s="299" t="s">
        <v>1613</v>
      </c>
      <c r="U130" s="299" t="s">
        <v>1613</v>
      </c>
      <c r="V130" s="321" t="s">
        <v>1649</v>
      </c>
      <c r="W130" s="321" t="s">
        <v>1649</v>
      </c>
      <c r="X130" s="321" t="s">
        <v>1649</v>
      </c>
      <c r="Y130" s="321" t="s">
        <v>1649</v>
      </c>
      <c r="Z130" s="321" t="s">
        <v>1649</v>
      </c>
      <c r="AA130" s="321" t="s">
        <v>1649</v>
      </c>
      <c r="AB130" s="321" t="s">
        <v>1648</v>
      </c>
      <c r="AC130" s="321" t="s">
        <v>1648</v>
      </c>
      <c r="AD130" s="321" t="s">
        <v>1649</v>
      </c>
      <c r="AE130" s="321" t="s">
        <v>1649</v>
      </c>
      <c r="AF130" s="321" t="s">
        <v>1649</v>
      </c>
      <c r="AG130" s="321" t="s">
        <v>1649</v>
      </c>
      <c r="AH130" s="300" t="s">
        <v>1613</v>
      </c>
      <c r="AI130" s="321" t="s">
        <v>1649</v>
      </c>
      <c r="AJ130" s="321" t="s">
        <v>1649</v>
      </c>
      <c r="AK130" s="321" t="s">
        <v>1649</v>
      </c>
      <c r="AL130" s="321" t="s">
        <v>1649</v>
      </c>
      <c r="AM130" s="321" t="s">
        <v>1649</v>
      </c>
      <c r="AN130" s="321" t="s">
        <v>1649</v>
      </c>
      <c r="AO130" s="321" t="s">
        <v>1648</v>
      </c>
      <c r="AP130" s="321" t="s">
        <v>1648</v>
      </c>
      <c r="AQ130" s="321" t="s">
        <v>1649</v>
      </c>
      <c r="AR130" s="321" t="s">
        <v>1649</v>
      </c>
      <c r="AS130" s="321" t="s">
        <v>1649</v>
      </c>
      <c r="AT130" s="321" t="s">
        <v>1649</v>
      </c>
      <c r="AU130" s="301" t="s">
        <v>1613</v>
      </c>
    </row>
    <row r="131" spans="1:47" ht="13.5" thickBot="1" x14ac:dyDescent="0.25">
      <c r="A131" s="48" t="s">
        <v>632</v>
      </c>
      <c r="B131" s="291" t="s">
        <v>631</v>
      </c>
      <c r="C131" s="298" t="s">
        <v>17</v>
      </c>
      <c r="D131" s="299" t="s">
        <v>1613</v>
      </c>
      <c r="E131" s="299" t="s">
        <v>1613</v>
      </c>
      <c r="F131" s="299" t="s">
        <v>1613</v>
      </c>
      <c r="G131" s="299" t="s">
        <v>1613</v>
      </c>
      <c r="H131" s="299" t="s">
        <v>1613</v>
      </c>
      <c r="I131" s="299" t="s">
        <v>1613</v>
      </c>
      <c r="J131" s="299" t="s">
        <v>1613</v>
      </c>
      <c r="K131" s="299" t="s">
        <v>1613</v>
      </c>
      <c r="L131" s="299" t="s">
        <v>1613</v>
      </c>
      <c r="M131" s="299" t="s">
        <v>1613</v>
      </c>
      <c r="N131" s="299" t="s">
        <v>1613</v>
      </c>
      <c r="O131" s="299" t="s">
        <v>1613</v>
      </c>
      <c r="P131" s="299" t="s">
        <v>1613</v>
      </c>
      <c r="Q131" s="299" t="s">
        <v>1613</v>
      </c>
      <c r="R131" s="299" t="s">
        <v>1613</v>
      </c>
      <c r="S131" s="302">
        <v>20</v>
      </c>
      <c r="T131" s="303">
        <v>9880</v>
      </c>
      <c r="U131" s="303">
        <v>13520</v>
      </c>
      <c r="V131" s="321" t="s">
        <v>1649</v>
      </c>
      <c r="W131" s="321" t="s">
        <v>1649</v>
      </c>
      <c r="X131" s="321" t="s">
        <v>1649</v>
      </c>
      <c r="Y131" s="321" t="s">
        <v>1649</v>
      </c>
      <c r="Z131" s="321" t="s">
        <v>1649</v>
      </c>
      <c r="AA131" s="321" t="s">
        <v>1648</v>
      </c>
      <c r="AB131" s="321" t="s">
        <v>1648</v>
      </c>
      <c r="AC131" s="321" t="s">
        <v>1648</v>
      </c>
      <c r="AD131" s="321" t="s">
        <v>1649</v>
      </c>
      <c r="AE131" s="321" t="s">
        <v>1649</v>
      </c>
      <c r="AF131" s="321" t="s">
        <v>1648</v>
      </c>
      <c r="AG131" s="321" t="s">
        <v>1649</v>
      </c>
      <c r="AH131" s="300" t="s">
        <v>1613</v>
      </c>
      <c r="AI131" s="321" t="s">
        <v>1649</v>
      </c>
      <c r="AJ131" s="321" t="s">
        <v>1649</v>
      </c>
      <c r="AK131" s="321" t="s">
        <v>1649</v>
      </c>
      <c r="AL131" s="321" t="s">
        <v>1649</v>
      </c>
      <c r="AM131" s="321" t="s">
        <v>1649</v>
      </c>
      <c r="AN131" s="321" t="s">
        <v>1649</v>
      </c>
      <c r="AO131" s="321" t="s">
        <v>1649</v>
      </c>
      <c r="AP131" s="321" t="s">
        <v>1648</v>
      </c>
      <c r="AQ131" s="321" t="s">
        <v>1649</v>
      </c>
      <c r="AR131" s="321" t="s">
        <v>1649</v>
      </c>
      <c r="AS131" s="321" t="s">
        <v>1648</v>
      </c>
      <c r="AT131" s="321" t="s">
        <v>1649</v>
      </c>
      <c r="AU131" s="301" t="s">
        <v>1613</v>
      </c>
    </row>
    <row r="132" spans="1:47" ht="13.5" thickBot="1" x14ac:dyDescent="0.25">
      <c r="A132" s="48" t="s">
        <v>644</v>
      </c>
      <c r="B132" s="291" t="s">
        <v>643</v>
      </c>
      <c r="C132" s="298" t="s">
        <v>17</v>
      </c>
      <c r="D132" s="299" t="s">
        <v>1613</v>
      </c>
      <c r="E132" s="299" t="s">
        <v>1613</v>
      </c>
      <c r="F132" s="299" t="s">
        <v>1613</v>
      </c>
      <c r="G132" s="302">
        <v>28</v>
      </c>
      <c r="H132" s="303">
        <v>15000</v>
      </c>
      <c r="I132" s="303">
        <v>18000</v>
      </c>
      <c r="J132" s="299" t="s">
        <v>1613</v>
      </c>
      <c r="K132" s="299" t="s">
        <v>1613</v>
      </c>
      <c r="L132" s="299" t="s">
        <v>1613</v>
      </c>
      <c r="M132" s="299" t="s">
        <v>1613</v>
      </c>
      <c r="N132" s="299" t="s">
        <v>1613</v>
      </c>
      <c r="O132" s="299" t="s">
        <v>1613</v>
      </c>
      <c r="P132" s="299" t="s">
        <v>1613</v>
      </c>
      <c r="Q132" s="299" t="s">
        <v>1613</v>
      </c>
      <c r="R132" s="299" t="s">
        <v>1613</v>
      </c>
      <c r="S132" s="302">
        <v>35</v>
      </c>
      <c r="T132" s="303">
        <v>16000</v>
      </c>
      <c r="U132" s="303">
        <v>23000</v>
      </c>
      <c r="V132" s="321" t="s">
        <v>1649</v>
      </c>
      <c r="W132" s="321" t="s">
        <v>1649</v>
      </c>
      <c r="X132" s="321" t="s">
        <v>1649</v>
      </c>
      <c r="Y132" s="321" t="s">
        <v>1649</v>
      </c>
      <c r="Z132" s="321" t="s">
        <v>1649</v>
      </c>
      <c r="AA132" s="321" t="s">
        <v>1649</v>
      </c>
      <c r="AB132" s="321" t="s">
        <v>1648</v>
      </c>
      <c r="AC132" s="321" t="s">
        <v>1648</v>
      </c>
      <c r="AD132" s="321" t="s">
        <v>1649</v>
      </c>
      <c r="AE132" s="321" t="s">
        <v>1649</v>
      </c>
      <c r="AF132" s="321" t="s">
        <v>1648</v>
      </c>
      <c r="AG132" s="321" t="s">
        <v>1649</v>
      </c>
      <c r="AH132" s="300" t="s">
        <v>1613</v>
      </c>
      <c r="AI132" s="321" t="s">
        <v>1649</v>
      </c>
      <c r="AJ132" s="321" t="s">
        <v>1649</v>
      </c>
      <c r="AK132" s="321" t="s">
        <v>1649</v>
      </c>
      <c r="AL132" s="321" t="s">
        <v>1649</v>
      </c>
      <c r="AM132" s="321" t="s">
        <v>1649</v>
      </c>
      <c r="AN132" s="321" t="s">
        <v>1649</v>
      </c>
      <c r="AO132" s="321" t="s">
        <v>1649</v>
      </c>
      <c r="AP132" s="321" t="s">
        <v>1649</v>
      </c>
      <c r="AQ132" s="321" t="s">
        <v>1649</v>
      </c>
      <c r="AR132" s="321" t="s">
        <v>1649</v>
      </c>
      <c r="AS132" s="321" t="s">
        <v>1649</v>
      </c>
      <c r="AT132" s="321" t="s">
        <v>1649</v>
      </c>
      <c r="AU132" s="301" t="s">
        <v>1613</v>
      </c>
    </row>
    <row r="133" spans="1:47" ht="13.5" thickBot="1" x14ac:dyDescent="0.25">
      <c r="A133" s="48" t="s">
        <v>658</v>
      </c>
      <c r="B133" s="291" t="s">
        <v>657</v>
      </c>
      <c r="C133" s="298" t="s">
        <v>17</v>
      </c>
      <c r="D133" s="304"/>
      <c r="E133" s="305"/>
      <c r="F133" s="305"/>
      <c r="G133" s="304"/>
      <c r="H133" s="305"/>
      <c r="I133" s="305"/>
      <c r="J133" s="304"/>
      <c r="K133" s="305"/>
      <c r="L133" s="305"/>
      <c r="M133" s="304"/>
      <c r="N133" s="305"/>
      <c r="O133" s="305"/>
      <c r="P133" s="304"/>
      <c r="Q133" s="305"/>
      <c r="R133" s="305"/>
      <c r="S133" s="302">
        <v>18</v>
      </c>
      <c r="T133" s="303">
        <v>10080</v>
      </c>
      <c r="U133" s="303">
        <v>12168</v>
      </c>
      <c r="V133" s="321" t="s">
        <v>1649</v>
      </c>
      <c r="W133" s="321" t="s">
        <v>1649</v>
      </c>
      <c r="X133" s="321" t="s">
        <v>1649</v>
      </c>
      <c r="Y133" s="321" t="s">
        <v>1649</v>
      </c>
      <c r="Z133" s="321" t="s">
        <v>1649</v>
      </c>
      <c r="AA133" s="321" t="s">
        <v>1649</v>
      </c>
      <c r="AB133" s="321" t="s">
        <v>1649</v>
      </c>
      <c r="AC133" s="321" t="s">
        <v>1649</v>
      </c>
      <c r="AD133" s="321" t="s">
        <v>1649</v>
      </c>
      <c r="AE133" s="321" t="s">
        <v>1648</v>
      </c>
      <c r="AF133" s="321" t="s">
        <v>1649</v>
      </c>
      <c r="AG133" s="321" t="s">
        <v>1649</v>
      </c>
      <c r="AH133" s="300" t="s">
        <v>1613</v>
      </c>
      <c r="AI133" s="321" t="s">
        <v>1649</v>
      </c>
      <c r="AJ133" s="321" t="s">
        <v>1649</v>
      </c>
      <c r="AK133" s="321" t="s">
        <v>1649</v>
      </c>
      <c r="AL133" s="321" t="s">
        <v>1649</v>
      </c>
      <c r="AM133" s="321" t="s">
        <v>1649</v>
      </c>
      <c r="AN133" s="321" t="s">
        <v>1649</v>
      </c>
      <c r="AO133" s="321" t="s">
        <v>1648</v>
      </c>
      <c r="AP133" s="321" t="s">
        <v>1648</v>
      </c>
      <c r="AQ133" s="321" t="s">
        <v>1649</v>
      </c>
      <c r="AR133" s="321" t="s">
        <v>1649</v>
      </c>
      <c r="AS133" s="321" t="s">
        <v>1649</v>
      </c>
      <c r="AT133" s="321" t="s">
        <v>1649</v>
      </c>
      <c r="AU133" s="301" t="s">
        <v>1613</v>
      </c>
    </row>
    <row r="134" spans="1:47" ht="13.5" thickBot="1" x14ac:dyDescent="0.25">
      <c r="A134" s="48" t="s">
        <v>668</v>
      </c>
      <c r="B134" s="291" t="s">
        <v>667</v>
      </c>
      <c r="C134" s="298" t="s">
        <v>17</v>
      </c>
      <c r="D134" s="304"/>
      <c r="E134" s="305"/>
      <c r="F134" s="305"/>
      <c r="G134" s="302">
        <v>35</v>
      </c>
      <c r="H134" s="303">
        <v>20000</v>
      </c>
      <c r="I134" s="303">
        <v>22000</v>
      </c>
      <c r="J134" s="304"/>
      <c r="K134" s="305"/>
      <c r="L134" s="305"/>
      <c r="M134" s="302">
        <v>15</v>
      </c>
      <c r="N134" s="303">
        <v>7800</v>
      </c>
      <c r="O134" s="303">
        <v>9000</v>
      </c>
      <c r="P134" s="304"/>
      <c r="Q134" s="305"/>
      <c r="R134" s="305"/>
      <c r="S134" s="302">
        <v>15</v>
      </c>
      <c r="T134" s="303">
        <v>7000</v>
      </c>
      <c r="U134" s="303">
        <v>7800</v>
      </c>
      <c r="V134" s="321" t="s">
        <v>1649</v>
      </c>
      <c r="W134" s="321" t="s">
        <v>1649</v>
      </c>
      <c r="X134" s="321" t="s">
        <v>1649</v>
      </c>
      <c r="Y134" s="321" t="s">
        <v>1649</v>
      </c>
      <c r="Z134" s="321" t="s">
        <v>1649</v>
      </c>
      <c r="AA134" s="321" t="s">
        <v>1648</v>
      </c>
      <c r="AB134" s="321" t="s">
        <v>1648</v>
      </c>
      <c r="AC134" s="321" t="s">
        <v>1648</v>
      </c>
      <c r="AD134" s="321" t="s">
        <v>1649</v>
      </c>
      <c r="AE134" s="321" t="s">
        <v>1649</v>
      </c>
      <c r="AF134" s="321" t="s">
        <v>1649</v>
      </c>
      <c r="AG134" s="321" t="s">
        <v>1648</v>
      </c>
      <c r="AH134" s="165" t="s">
        <v>3603</v>
      </c>
      <c r="AI134" s="321" t="s">
        <v>1649</v>
      </c>
      <c r="AJ134" s="321" t="s">
        <v>1649</v>
      </c>
      <c r="AK134" s="321" t="s">
        <v>1649</v>
      </c>
      <c r="AL134" s="321" t="s">
        <v>1649</v>
      </c>
      <c r="AM134" s="321" t="s">
        <v>1649</v>
      </c>
      <c r="AN134" s="321" t="s">
        <v>1649</v>
      </c>
      <c r="AO134" s="321" t="s">
        <v>1649</v>
      </c>
      <c r="AP134" s="321" t="s">
        <v>1649</v>
      </c>
      <c r="AQ134" s="321" t="s">
        <v>1649</v>
      </c>
      <c r="AR134" s="321" t="s">
        <v>1649</v>
      </c>
      <c r="AS134" s="321" t="s">
        <v>1649</v>
      </c>
      <c r="AT134" s="321" t="s">
        <v>1648</v>
      </c>
      <c r="AU134" s="307" t="s">
        <v>3603</v>
      </c>
    </row>
    <row r="135" spans="1:47" ht="13.5" thickBot="1" x14ac:dyDescent="0.25">
      <c r="A135" s="48" t="s">
        <v>672</v>
      </c>
      <c r="B135" s="291" t="s">
        <v>671</v>
      </c>
      <c r="C135" s="298" t="s">
        <v>17</v>
      </c>
      <c r="D135" s="302">
        <v>36</v>
      </c>
      <c r="E135" s="303">
        <v>25328</v>
      </c>
      <c r="F135" s="303">
        <v>25328</v>
      </c>
      <c r="G135" s="299" t="s">
        <v>1613</v>
      </c>
      <c r="H135" s="299" t="s">
        <v>1613</v>
      </c>
      <c r="I135" s="299" t="s">
        <v>1613</v>
      </c>
      <c r="J135" s="299" t="s">
        <v>1613</v>
      </c>
      <c r="K135" s="299" t="s">
        <v>1613</v>
      </c>
      <c r="L135" s="299" t="s">
        <v>1613</v>
      </c>
      <c r="M135" s="299" t="s">
        <v>1613</v>
      </c>
      <c r="N135" s="299" t="s">
        <v>1613</v>
      </c>
      <c r="O135" s="299" t="s">
        <v>1613</v>
      </c>
      <c r="P135" s="299" t="s">
        <v>1613</v>
      </c>
      <c r="Q135" s="299" t="s">
        <v>1613</v>
      </c>
      <c r="R135" s="299" t="s">
        <v>1613</v>
      </c>
      <c r="S135" s="302">
        <v>12</v>
      </c>
      <c r="T135" s="303">
        <v>4524</v>
      </c>
      <c r="U135" s="303">
        <v>15395</v>
      </c>
      <c r="V135" s="321" t="s">
        <v>1648</v>
      </c>
      <c r="W135" s="321" t="s">
        <v>1649</v>
      </c>
      <c r="X135" s="321" t="s">
        <v>1649</v>
      </c>
      <c r="Y135" s="321" t="s">
        <v>1649</v>
      </c>
      <c r="Z135" s="321" t="s">
        <v>1649</v>
      </c>
      <c r="AA135" s="321" t="s">
        <v>1648</v>
      </c>
      <c r="AB135" s="321" t="s">
        <v>1648</v>
      </c>
      <c r="AC135" s="321" t="s">
        <v>1648</v>
      </c>
      <c r="AD135" s="321" t="s">
        <v>1649</v>
      </c>
      <c r="AE135" s="321" t="s">
        <v>1648</v>
      </c>
      <c r="AF135" s="321" t="s">
        <v>1648</v>
      </c>
      <c r="AG135" s="321" t="s">
        <v>1649</v>
      </c>
      <c r="AH135" s="300" t="s">
        <v>1613</v>
      </c>
      <c r="AI135" s="321" t="s">
        <v>1649</v>
      </c>
      <c r="AJ135" s="321" t="s">
        <v>1649</v>
      </c>
      <c r="AK135" s="321" t="s">
        <v>1649</v>
      </c>
      <c r="AL135" s="321" t="s">
        <v>1649</v>
      </c>
      <c r="AM135" s="321" t="s">
        <v>1649</v>
      </c>
      <c r="AN135" s="321" t="s">
        <v>1648</v>
      </c>
      <c r="AO135" s="321" t="s">
        <v>1648</v>
      </c>
      <c r="AP135" s="321" t="s">
        <v>1649</v>
      </c>
      <c r="AQ135" s="321" t="s">
        <v>1649</v>
      </c>
      <c r="AR135" s="321" t="s">
        <v>1648</v>
      </c>
      <c r="AS135" s="321" t="s">
        <v>1648</v>
      </c>
      <c r="AT135" s="321" t="s">
        <v>1649</v>
      </c>
      <c r="AU135" s="301" t="s">
        <v>1613</v>
      </c>
    </row>
    <row r="136" spans="1:47" ht="13.5" thickBot="1" x14ac:dyDescent="0.25">
      <c r="A136" s="48" t="s">
        <v>678</v>
      </c>
      <c r="B136" s="291" t="s">
        <v>677</v>
      </c>
      <c r="C136" s="298" t="s">
        <v>17</v>
      </c>
      <c r="D136" s="302">
        <v>29</v>
      </c>
      <c r="E136" s="303">
        <v>13000</v>
      </c>
      <c r="F136" s="303">
        <v>18000</v>
      </c>
      <c r="G136" s="304"/>
      <c r="H136" s="305"/>
      <c r="I136" s="305"/>
      <c r="J136" s="304"/>
      <c r="K136" s="305"/>
      <c r="L136" s="305"/>
      <c r="M136" s="304"/>
      <c r="N136" s="305"/>
      <c r="O136" s="305"/>
      <c r="P136" s="304"/>
      <c r="Q136" s="305"/>
      <c r="R136" s="305"/>
      <c r="S136" s="302">
        <v>10</v>
      </c>
      <c r="T136" s="303">
        <v>3000</v>
      </c>
      <c r="U136" s="303">
        <v>5000</v>
      </c>
      <c r="V136" s="321" t="s">
        <v>1649</v>
      </c>
      <c r="W136" s="321" t="s">
        <v>1649</v>
      </c>
      <c r="X136" s="321" t="s">
        <v>1649</v>
      </c>
      <c r="Y136" s="321" t="s">
        <v>1648</v>
      </c>
      <c r="Z136" s="321" t="s">
        <v>1649</v>
      </c>
      <c r="AA136" s="321" t="s">
        <v>1648</v>
      </c>
      <c r="AB136" s="321" t="s">
        <v>1648</v>
      </c>
      <c r="AC136" s="321" t="s">
        <v>1648</v>
      </c>
      <c r="AD136" s="321" t="s">
        <v>1649</v>
      </c>
      <c r="AE136" s="321" t="s">
        <v>1649</v>
      </c>
      <c r="AF136" s="321" t="s">
        <v>1648</v>
      </c>
      <c r="AG136" s="321" t="s">
        <v>1649</v>
      </c>
      <c r="AH136" s="300" t="s">
        <v>1613</v>
      </c>
      <c r="AI136" s="321" t="s">
        <v>1649</v>
      </c>
      <c r="AJ136" s="321" t="s">
        <v>1649</v>
      </c>
      <c r="AK136" s="321" t="s">
        <v>1649</v>
      </c>
      <c r="AL136" s="321" t="s">
        <v>1649</v>
      </c>
      <c r="AM136" s="321" t="s">
        <v>1649</v>
      </c>
      <c r="AN136" s="321" t="s">
        <v>1649</v>
      </c>
      <c r="AO136" s="321" t="s">
        <v>1649</v>
      </c>
      <c r="AP136" s="321" t="s">
        <v>1649</v>
      </c>
      <c r="AQ136" s="321" t="s">
        <v>1649</v>
      </c>
      <c r="AR136" s="321" t="s">
        <v>1649</v>
      </c>
      <c r="AS136" s="321" t="s">
        <v>1649</v>
      </c>
      <c r="AT136" s="321" t="s">
        <v>1649</v>
      </c>
      <c r="AU136" s="301" t="s">
        <v>1613</v>
      </c>
    </row>
    <row r="137" spans="1:47" ht="13.5" thickBot="1" x14ac:dyDescent="0.25">
      <c r="A137" s="48" t="s">
        <v>686</v>
      </c>
      <c r="B137" s="291" t="s">
        <v>685</v>
      </c>
      <c r="C137" s="298" t="s">
        <v>17</v>
      </c>
      <c r="D137" s="299" t="s">
        <v>1613</v>
      </c>
      <c r="E137" s="299" t="s">
        <v>1613</v>
      </c>
      <c r="F137" s="299" t="s">
        <v>1613</v>
      </c>
      <c r="G137" s="299" t="s">
        <v>1613</v>
      </c>
      <c r="H137" s="299" t="s">
        <v>1613</v>
      </c>
      <c r="I137" s="299" t="s">
        <v>1613</v>
      </c>
      <c r="J137" s="299" t="s">
        <v>1613</v>
      </c>
      <c r="K137" s="299" t="s">
        <v>1613</v>
      </c>
      <c r="L137" s="299" t="s">
        <v>1613</v>
      </c>
      <c r="M137" s="299" t="s">
        <v>1613</v>
      </c>
      <c r="N137" s="299" t="s">
        <v>1613</v>
      </c>
      <c r="O137" s="299" t="s">
        <v>1613</v>
      </c>
      <c r="P137" s="299" t="s">
        <v>1613</v>
      </c>
      <c r="Q137" s="299" t="s">
        <v>1613</v>
      </c>
      <c r="R137" s="299" t="s">
        <v>1613</v>
      </c>
      <c r="S137" s="302">
        <v>38</v>
      </c>
      <c r="T137" s="303">
        <v>19319</v>
      </c>
      <c r="U137" s="303">
        <v>21421</v>
      </c>
      <c r="V137" s="321" t="s">
        <v>1649</v>
      </c>
      <c r="W137" s="321" t="s">
        <v>1649</v>
      </c>
      <c r="X137" s="321" t="s">
        <v>1649</v>
      </c>
      <c r="Y137" s="321" t="s">
        <v>1649</v>
      </c>
      <c r="Z137" s="321" t="s">
        <v>1649</v>
      </c>
      <c r="AA137" s="321" t="s">
        <v>1649</v>
      </c>
      <c r="AB137" s="321" t="s">
        <v>1649</v>
      </c>
      <c r="AC137" s="321" t="s">
        <v>1649</v>
      </c>
      <c r="AD137" s="321" t="s">
        <v>1649</v>
      </c>
      <c r="AE137" s="321" t="s">
        <v>1649</v>
      </c>
      <c r="AF137" s="321" t="s">
        <v>1649</v>
      </c>
      <c r="AG137" s="321" t="s">
        <v>1649</v>
      </c>
      <c r="AH137" s="300" t="s">
        <v>1613</v>
      </c>
      <c r="AI137" s="321" t="s">
        <v>1649</v>
      </c>
      <c r="AJ137" s="321" t="s">
        <v>1649</v>
      </c>
      <c r="AK137" s="321" t="s">
        <v>1649</v>
      </c>
      <c r="AL137" s="321" t="s">
        <v>1649</v>
      </c>
      <c r="AM137" s="321" t="s">
        <v>1649</v>
      </c>
      <c r="AN137" s="321" t="s">
        <v>1649</v>
      </c>
      <c r="AO137" s="321" t="s">
        <v>1649</v>
      </c>
      <c r="AP137" s="321" t="s">
        <v>1649</v>
      </c>
      <c r="AQ137" s="321" t="s">
        <v>1649</v>
      </c>
      <c r="AR137" s="321" t="s">
        <v>1649</v>
      </c>
      <c r="AS137" s="321" t="s">
        <v>1649</v>
      </c>
      <c r="AT137" s="321" t="s">
        <v>1649</v>
      </c>
      <c r="AU137" s="301" t="s">
        <v>1613</v>
      </c>
    </row>
    <row r="138" spans="1:47" ht="13.5" thickBot="1" x14ac:dyDescent="0.25">
      <c r="A138" s="48" t="s">
        <v>708</v>
      </c>
      <c r="B138" s="291" t="s">
        <v>707</v>
      </c>
      <c r="C138" s="298" t="s">
        <v>17</v>
      </c>
      <c r="D138" s="302">
        <v>28</v>
      </c>
      <c r="E138" s="303">
        <v>20085</v>
      </c>
      <c r="F138" s="303">
        <v>22495</v>
      </c>
      <c r="G138" s="299" t="s">
        <v>1613</v>
      </c>
      <c r="H138" s="299" t="s">
        <v>1613</v>
      </c>
      <c r="I138" s="299" t="s">
        <v>1613</v>
      </c>
      <c r="J138" s="302">
        <v>10</v>
      </c>
      <c r="K138" s="303">
        <v>5334</v>
      </c>
      <c r="L138" s="303">
        <v>7644</v>
      </c>
      <c r="M138" s="299" t="s">
        <v>1613</v>
      </c>
      <c r="N138" s="299" t="s">
        <v>1613</v>
      </c>
      <c r="O138" s="299" t="s">
        <v>1613</v>
      </c>
      <c r="P138" s="299" t="s">
        <v>1613</v>
      </c>
      <c r="Q138" s="299" t="s">
        <v>1613</v>
      </c>
      <c r="R138" s="299" t="s">
        <v>1613</v>
      </c>
      <c r="S138" s="302">
        <v>10</v>
      </c>
      <c r="T138" s="303">
        <v>4264</v>
      </c>
      <c r="U138" s="303">
        <v>7183</v>
      </c>
      <c r="V138" s="321" t="s">
        <v>1649</v>
      </c>
      <c r="W138" s="321" t="s">
        <v>1649</v>
      </c>
      <c r="X138" s="321" t="s">
        <v>1649</v>
      </c>
      <c r="Y138" s="321" t="s">
        <v>1649</v>
      </c>
      <c r="Z138" s="321" t="s">
        <v>1649</v>
      </c>
      <c r="AA138" s="321" t="s">
        <v>1649</v>
      </c>
      <c r="AB138" s="321" t="s">
        <v>1649</v>
      </c>
      <c r="AC138" s="321" t="s">
        <v>1649</v>
      </c>
      <c r="AD138" s="321" t="s">
        <v>1649</v>
      </c>
      <c r="AE138" s="321" t="s">
        <v>1649</v>
      </c>
      <c r="AF138" s="321" t="s">
        <v>1649</v>
      </c>
      <c r="AG138" s="321" t="s">
        <v>1649</v>
      </c>
      <c r="AH138" s="300"/>
      <c r="AI138" s="321" t="s">
        <v>1649</v>
      </c>
      <c r="AJ138" s="321" t="s">
        <v>1649</v>
      </c>
      <c r="AK138" s="321" t="s">
        <v>1649</v>
      </c>
      <c r="AL138" s="321" t="s">
        <v>1649</v>
      </c>
      <c r="AM138" s="321" t="s">
        <v>1649</v>
      </c>
      <c r="AN138" s="321" t="s">
        <v>1649</v>
      </c>
      <c r="AO138" s="321" t="s">
        <v>1649</v>
      </c>
      <c r="AP138" s="321" t="s">
        <v>1649</v>
      </c>
      <c r="AQ138" s="321" t="s">
        <v>1649</v>
      </c>
      <c r="AR138" s="321" t="s">
        <v>1649</v>
      </c>
      <c r="AS138" s="321" t="s">
        <v>1649</v>
      </c>
      <c r="AT138" s="321" t="s">
        <v>1649</v>
      </c>
      <c r="AU138" s="301" t="s">
        <v>1613</v>
      </c>
    </row>
    <row r="139" spans="1:47" ht="13.5" thickBot="1" x14ac:dyDescent="0.25">
      <c r="A139" s="48" t="s">
        <v>720</v>
      </c>
      <c r="B139" s="291" t="s">
        <v>719</v>
      </c>
      <c r="C139" s="298" t="s">
        <v>17</v>
      </c>
      <c r="D139" s="302">
        <v>32</v>
      </c>
      <c r="E139" s="303">
        <v>29120</v>
      </c>
      <c r="F139" s="303">
        <v>29120</v>
      </c>
      <c r="G139" s="299" t="s">
        <v>1613</v>
      </c>
      <c r="H139" s="299" t="s">
        <v>1613</v>
      </c>
      <c r="I139" s="299" t="s">
        <v>1613</v>
      </c>
      <c r="J139" s="299" t="s">
        <v>1613</v>
      </c>
      <c r="K139" s="299" t="s">
        <v>1613</v>
      </c>
      <c r="L139" s="299" t="s">
        <v>1613</v>
      </c>
      <c r="M139" s="302">
        <v>12</v>
      </c>
      <c r="N139" s="303">
        <v>9360</v>
      </c>
      <c r="O139" s="303">
        <v>9360</v>
      </c>
      <c r="P139" s="299" t="s">
        <v>1613</v>
      </c>
      <c r="Q139" s="299" t="s">
        <v>1613</v>
      </c>
      <c r="R139" s="299" t="s">
        <v>1613</v>
      </c>
      <c r="S139" s="302">
        <v>24</v>
      </c>
      <c r="T139" s="303">
        <v>16224</v>
      </c>
      <c r="U139" s="303">
        <v>16224</v>
      </c>
      <c r="V139" s="321" t="s">
        <v>1649</v>
      </c>
      <c r="W139" s="321" t="s">
        <v>1649</v>
      </c>
      <c r="X139" s="321" t="s">
        <v>1649</v>
      </c>
      <c r="Y139" s="321" t="s">
        <v>1649</v>
      </c>
      <c r="Z139" s="321" t="s">
        <v>1649</v>
      </c>
      <c r="AA139" s="321" t="s">
        <v>1648</v>
      </c>
      <c r="AB139" s="321" t="s">
        <v>1648</v>
      </c>
      <c r="AC139" s="321" t="s">
        <v>1648</v>
      </c>
      <c r="AD139" s="321" t="s">
        <v>1648</v>
      </c>
      <c r="AE139" s="321" t="s">
        <v>1649</v>
      </c>
      <c r="AF139" s="321" t="s">
        <v>1648</v>
      </c>
      <c r="AG139" s="321" t="s">
        <v>1649</v>
      </c>
      <c r="AH139" s="300" t="s">
        <v>1613</v>
      </c>
      <c r="AI139" s="321" t="s">
        <v>1649</v>
      </c>
      <c r="AJ139" s="321" t="s">
        <v>1649</v>
      </c>
      <c r="AK139" s="321" t="s">
        <v>1649</v>
      </c>
      <c r="AL139" s="321" t="s">
        <v>1649</v>
      </c>
      <c r="AM139" s="321" t="s">
        <v>1649</v>
      </c>
      <c r="AN139" s="321" t="s">
        <v>1649</v>
      </c>
      <c r="AO139" s="321" t="s">
        <v>1649</v>
      </c>
      <c r="AP139" s="321" t="s">
        <v>1649</v>
      </c>
      <c r="AQ139" s="321" t="s">
        <v>1649</v>
      </c>
      <c r="AR139" s="321" t="s">
        <v>1649</v>
      </c>
      <c r="AS139" s="321" t="s">
        <v>1649</v>
      </c>
      <c r="AT139" s="321" t="s">
        <v>1649</v>
      </c>
      <c r="AU139" s="301" t="s">
        <v>1613</v>
      </c>
    </row>
    <row r="140" spans="1:47" ht="13.5" thickBot="1" x14ac:dyDescent="0.25">
      <c r="A140" s="48" t="s">
        <v>728</v>
      </c>
      <c r="B140" s="291" t="s">
        <v>727</v>
      </c>
      <c r="C140" s="298" t="s">
        <v>17</v>
      </c>
      <c r="D140" s="302">
        <v>22</v>
      </c>
      <c r="E140" s="303">
        <v>14500</v>
      </c>
      <c r="F140" s="303">
        <v>15000</v>
      </c>
      <c r="G140" s="299" t="s">
        <v>1613</v>
      </c>
      <c r="H140" s="299" t="s">
        <v>1613</v>
      </c>
      <c r="I140" s="299" t="s">
        <v>1613</v>
      </c>
      <c r="J140" s="299" t="s">
        <v>1613</v>
      </c>
      <c r="K140" s="299" t="s">
        <v>1613</v>
      </c>
      <c r="L140" s="299" t="s">
        <v>1613</v>
      </c>
      <c r="M140" s="299" t="s">
        <v>1613</v>
      </c>
      <c r="N140" s="299" t="s">
        <v>1613</v>
      </c>
      <c r="O140" s="299" t="s">
        <v>1613</v>
      </c>
      <c r="P140" s="299" t="s">
        <v>1613</v>
      </c>
      <c r="Q140" s="299" t="s">
        <v>1613</v>
      </c>
      <c r="R140" s="299" t="s">
        <v>1613</v>
      </c>
      <c r="S140" s="299" t="s">
        <v>1613</v>
      </c>
      <c r="T140" s="299" t="s">
        <v>1613</v>
      </c>
      <c r="U140" s="299" t="s">
        <v>1613</v>
      </c>
      <c r="V140" s="321" t="s">
        <v>1648</v>
      </c>
      <c r="W140" s="321" t="s">
        <v>1649</v>
      </c>
      <c r="X140" s="321" t="s">
        <v>1649</v>
      </c>
      <c r="Y140" s="321" t="s">
        <v>1649</v>
      </c>
      <c r="Z140" s="321" t="s">
        <v>1649</v>
      </c>
      <c r="AA140" s="321" t="s">
        <v>1648</v>
      </c>
      <c r="AB140" s="321" t="s">
        <v>1648</v>
      </c>
      <c r="AC140" s="321" t="s">
        <v>1648</v>
      </c>
      <c r="AD140" s="321" t="s">
        <v>1648</v>
      </c>
      <c r="AE140" s="321" t="s">
        <v>1649</v>
      </c>
      <c r="AF140" s="321" t="s">
        <v>1648</v>
      </c>
      <c r="AG140" s="321" t="s">
        <v>1649</v>
      </c>
      <c r="AH140" s="300" t="s">
        <v>1613</v>
      </c>
      <c r="AI140" s="321" t="s">
        <v>1649</v>
      </c>
      <c r="AJ140" s="321" t="s">
        <v>1649</v>
      </c>
      <c r="AK140" s="321" t="s">
        <v>1649</v>
      </c>
      <c r="AL140" s="321" t="s">
        <v>1649</v>
      </c>
      <c r="AM140" s="321" t="s">
        <v>1649</v>
      </c>
      <c r="AN140" s="321" t="s">
        <v>1649</v>
      </c>
      <c r="AO140" s="321" t="s">
        <v>1648</v>
      </c>
      <c r="AP140" s="321" t="s">
        <v>1648</v>
      </c>
      <c r="AQ140" s="321" t="s">
        <v>1649</v>
      </c>
      <c r="AR140" s="321" t="s">
        <v>1649</v>
      </c>
      <c r="AS140" s="321" t="s">
        <v>1648</v>
      </c>
      <c r="AT140" s="321" t="s">
        <v>1649</v>
      </c>
      <c r="AU140" s="301" t="s">
        <v>1613</v>
      </c>
    </row>
    <row r="141" spans="1:47" ht="13.5" thickBot="1" x14ac:dyDescent="0.25">
      <c r="A141" s="48" t="s">
        <v>736</v>
      </c>
      <c r="B141" s="291" t="s">
        <v>735</v>
      </c>
      <c r="C141" s="298" t="s">
        <v>17</v>
      </c>
      <c r="D141" s="299" t="s">
        <v>1613</v>
      </c>
      <c r="E141" s="299" t="s">
        <v>1613</v>
      </c>
      <c r="F141" s="299" t="s">
        <v>1613</v>
      </c>
      <c r="G141" s="299" t="s">
        <v>1613</v>
      </c>
      <c r="H141" s="299" t="s">
        <v>1613</v>
      </c>
      <c r="I141" s="299" t="s">
        <v>1613</v>
      </c>
      <c r="J141" s="302">
        <v>21</v>
      </c>
      <c r="K141" s="303">
        <v>13650</v>
      </c>
      <c r="L141" s="303">
        <v>14196</v>
      </c>
      <c r="M141" s="302">
        <v>21</v>
      </c>
      <c r="N141" s="303">
        <v>12012</v>
      </c>
      <c r="O141" s="303">
        <v>12452</v>
      </c>
      <c r="P141" s="299" t="s">
        <v>1613</v>
      </c>
      <c r="Q141" s="299" t="s">
        <v>1613</v>
      </c>
      <c r="R141" s="299" t="s">
        <v>1613</v>
      </c>
      <c r="S141" s="299" t="s">
        <v>1613</v>
      </c>
      <c r="T141" s="299" t="s">
        <v>1613</v>
      </c>
      <c r="U141" s="299" t="s">
        <v>1613</v>
      </c>
      <c r="V141" s="321" t="s">
        <v>1648</v>
      </c>
      <c r="W141" s="321" t="s">
        <v>1648</v>
      </c>
      <c r="X141" s="321" t="s">
        <v>1649</v>
      </c>
      <c r="Y141" s="321" t="s">
        <v>1649</v>
      </c>
      <c r="Z141" s="321" t="s">
        <v>1648</v>
      </c>
      <c r="AA141" s="321" t="s">
        <v>1648</v>
      </c>
      <c r="AB141" s="321" t="s">
        <v>1648</v>
      </c>
      <c r="AC141" s="321" t="s">
        <v>1648</v>
      </c>
      <c r="AD141" s="321" t="s">
        <v>1648</v>
      </c>
      <c r="AE141" s="321" t="s">
        <v>1649</v>
      </c>
      <c r="AF141" s="321" t="s">
        <v>1648</v>
      </c>
      <c r="AG141" s="321" t="s">
        <v>1649</v>
      </c>
      <c r="AH141" s="300" t="s">
        <v>1613</v>
      </c>
      <c r="AI141" s="321" t="s">
        <v>1649</v>
      </c>
      <c r="AJ141" s="321" t="s">
        <v>1649</v>
      </c>
      <c r="AK141" s="321" t="s">
        <v>1649</v>
      </c>
      <c r="AL141" s="321" t="s">
        <v>1649</v>
      </c>
      <c r="AM141" s="321" t="s">
        <v>1649</v>
      </c>
      <c r="AN141" s="321" t="s">
        <v>1649</v>
      </c>
      <c r="AO141" s="321" t="s">
        <v>1649</v>
      </c>
      <c r="AP141" s="321" t="s">
        <v>1649</v>
      </c>
      <c r="AQ141" s="321" t="s">
        <v>1648</v>
      </c>
      <c r="AR141" s="321" t="s">
        <v>1649</v>
      </c>
      <c r="AS141" s="321" t="s">
        <v>1649</v>
      </c>
      <c r="AT141" s="321" t="s">
        <v>1649</v>
      </c>
      <c r="AU141" s="301" t="s">
        <v>1613</v>
      </c>
    </row>
    <row r="142" spans="1:47" ht="13.5" thickBot="1" x14ac:dyDescent="0.25">
      <c r="A142" s="48" t="s">
        <v>744</v>
      </c>
      <c r="B142" s="291" t="s">
        <v>743</v>
      </c>
      <c r="C142" s="298" t="s">
        <v>17</v>
      </c>
      <c r="D142" s="304"/>
      <c r="E142" s="305"/>
      <c r="F142" s="305"/>
      <c r="G142" s="304"/>
      <c r="H142" s="305"/>
      <c r="I142" s="305"/>
      <c r="J142" s="304"/>
      <c r="K142" s="305"/>
      <c r="L142" s="305"/>
      <c r="M142" s="304"/>
      <c r="N142" s="305"/>
      <c r="O142" s="305"/>
      <c r="P142" s="304"/>
      <c r="Q142" s="305"/>
      <c r="R142" s="305"/>
      <c r="S142" s="302">
        <v>21</v>
      </c>
      <c r="T142" s="303">
        <v>0</v>
      </c>
      <c r="U142" s="303">
        <v>18304</v>
      </c>
      <c r="V142" s="321" t="s">
        <v>1649</v>
      </c>
      <c r="W142" s="321" t="s">
        <v>1649</v>
      </c>
      <c r="X142" s="321" t="s">
        <v>1649</v>
      </c>
      <c r="Y142" s="321" t="s">
        <v>1649</v>
      </c>
      <c r="Z142" s="321" t="s">
        <v>1649</v>
      </c>
      <c r="AA142" s="321" t="s">
        <v>1649</v>
      </c>
      <c r="AB142" s="321" t="s">
        <v>1649</v>
      </c>
      <c r="AC142" s="321" t="s">
        <v>1649</v>
      </c>
      <c r="AD142" s="321" t="s">
        <v>1649</v>
      </c>
      <c r="AE142" s="321" t="s">
        <v>1649</v>
      </c>
      <c r="AF142" s="321" t="s">
        <v>1649</v>
      </c>
      <c r="AG142" s="321" t="s">
        <v>1649</v>
      </c>
      <c r="AH142" s="300" t="s">
        <v>1613</v>
      </c>
      <c r="AI142" s="321" t="s">
        <v>1649</v>
      </c>
      <c r="AJ142" s="321" t="s">
        <v>1649</v>
      </c>
      <c r="AK142" s="321" t="s">
        <v>1649</v>
      </c>
      <c r="AL142" s="321" t="s">
        <v>1649</v>
      </c>
      <c r="AM142" s="321" t="s">
        <v>1649</v>
      </c>
      <c r="AN142" s="321" t="s">
        <v>1649</v>
      </c>
      <c r="AO142" s="321" t="s">
        <v>1649</v>
      </c>
      <c r="AP142" s="321" t="s">
        <v>1649</v>
      </c>
      <c r="AQ142" s="321" t="s">
        <v>1649</v>
      </c>
      <c r="AR142" s="321" t="s">
        <v>1649</v>
      </c>
      <c r="AS142" s="321" t="s">
        <v>1649</v>
      </c>
      <c r="AT142" s="321" t="s">
        <v>1649</v>
      </c>
      <c r="AU142" s="301" t="s">
        <v>1613</v>
      </c>
    </row>
    <row r="143" spans="1:47" ht="13.5" thickBot="1" x14ac:dyDescent="0.25">
      <c r="A143" s="48" t="s">
        <v>758</v>
      </c>
      <c r="B143" s="291" t="s">
        <v>757</v>
      </c>
      <c r="C143" s="298" t="s">
        <v>17</v>
      </c>
      <c r="D143" s="302">
        <v>14</v>
      </c>
      <c r="E143" s="303">
        <v>16640</v>
      </c>
      <c r="F143" s="303">
        <v>21632</v>
      </c>
      <c r="G143" s="299" t="s">
        <v>1613</v>
      </c>
      <c r="H143" s="299" t="s">
        <v>1613</v>
      </c>
      <c r="I143" s="299" t="s">
        <v>1613</v>
      </c>
      <c r="J143" s="299" t="s">
        <v>1613</v>
      </c>
      <c r="K143" s="299" t="s">
        <v>1613</v>
      </c>
      <c r="L143" s="299" t="s">
        <v>1613</v>
      </c>
      <c r="M143" s="302">
        <v>26</v>
      </c>
      <c r="N143" s="303">
        <v>12376</v>
      </c>
      <c r="O143" s="303">
        <v>21632</v>
      </c>
      <c r="P143" s="299" t="s">
        <v>1613</v>
      </c>
      <c r="Q143" s="299" t="s">
        <v>1613</v>
      </c>
      <c r="R143" s="299" t="s">
        <v>1613</v>
      </c>
      <c r="S143" s="302">
        <v>12</v>
      </c>
      <c r="T143" s="303">
        <v>6500</v>
      </c>
      <c r="U143" s="303">
        <v>11752</v>
      </c>
      <c r="V143" s="321" t="s">
        <v>1648</v>
      </c>
      <c r="W143" s="321" t="s">
        <v>1648</v>
      </c>
      <c r="X143" s="321" t="s">
        <v>1648</v>
      </c>
      <c r="Y143" s="321" t="s">
        <v>1648</v>
      </c>
      <c r="Z143" s="321" t="s">
        <v>1648</v>
      </c>
      <c r="AA143" s="321" t="s">
        <v>1648</v>
      </c>
      <c r="AB143" s="321" t="s">
        <v>1648</v>
      </c>
      <c r="AC143" s="321" t="s">
        <v>1648</v>
      </c>
      <c r="AD143" s="321" t="s">
        <v>1649</v>
      </c>
      <c r="AE143" s="321" t="s">
        <v>1648</v>
      </c>
      <c r="AF143" s="321" t="s">
        <v>1648</v>
      </c>
      <c r="AG143" s="321" t="s">
        <v>1648</v>
      </c>
      <c r="AH143" s="300" t="s">
        <v>1613</v>
      </c>
      <c r="AI143" s="321" t="s">
        <v>1649</v>
      </c>
      <c r="AJ143" s="321" t="s">
        <v>1649</v>
      </c>
      <c r="AK143" s="321" t="s">
        <v>1649</v>
      </c>
      <c r="AL143" s="321" t="s">
        <v>1649</v>
      </c>
      <c r="AM143" s="321" t="s">
        <v>1649</v>
      </c>
      <c r="AN143" s="321" t="s">
        <v>1649</v>
      </c>
      <c r="AO143" s="321" t="s">
        <v>1649</v>
      </c>
      <c r="AP143" s="321" t="s">
        <v>1649</v>
      </c>
      <c r="AQ143" s="321" t="s">
        <v>1649</v>
      </c>
      <c r="AR143" s="321" t="s">
        <v>1649</v>
      </c>
      <c r="AS143" s="321" t="s">
        <v>1649</v>
      </c>
      <c r="AT143" s="321" t="s">
        <v>1649</v>
      </c>
      <c r="AU143" s="301" t="s">
        <v>1613</v>
      </c>
    </row>
    <row r="144" spans="1:47" ht="13.5" thickBot="1" x14ac:dyDescent="0.25">
      <c r="A144" s="48" t="s">
        <v>764</v>
      </c>
      <c r="B144" s="291" t="s">
        <v>763</v>
      </c>
      <c r="C144" s="298" t="s">
        <v>17</v>
      </c>
      <c r="D144" s="302">
        <v>18</v>
      </c>
      <c r="E144" s="303">
        <v>6000</v>
      </c>
      <c r="F144" s="303">
        <v>16000</v>
      </c>
      <c r="G144" s="299" t="s">
        <v>1613</v>
      </c>
      <c r="H144" s="299" t="s">
        <v>1613</v>
      </c>
      <c r="I144" s="299" t="s">
        <v>1613</v>
      </c>
      <c r="J144" s="299" t="s">
        <v>1613</v>
      </c>
      <c r="K144" s="299" t="s">
        <v>1613</v>
      </c>
      <c r="L144" s="299" t="s">
        <v>1613</v>
      </c>
      <c r="M144" s="299" t="s">
        <v>1613</v>
      </c>
      <c r="N144" s="299" t="s">
        <v>1613</v>
      </c>
      <c r="O144" s="299" t="s">
        <v>1613</v>
      </c>
      <c r="P144" s="299" t="s">
        <v>1613</v>
      </c>
      <c r="Q144" s="299" t="s">
        <v>1613</v>
      </c>
      <c r="R144" s="299" t="s">
        <v>1613</v>
      </c>
      <c r="S144" s="302">
        <v>18</v>
      </c>
      <c r="T144" s="303">
        <v>4000</v>
      </c>
      <c r="U144" s="303">
        <v>12000</v>
      </c>
      <c r="V144" s="321" t="s">
        <v>1649</v>
      </c>
      <c r="W144" s="321" t="s">
        <v>1649</v>
      </c>
      <c r="X144" s="321" t="s">
        <v>1649</v>
      </c>
      <c r="Y144" s="321" t="s">
        <v>1649</v>
      </c>
      <c r="Z144" s="321" t="s">
        <v>1649</v>
      </c>
      <c r="AA144" s="321" t="s">
        <v>1648</v>
      </c>
      <c r="AB144" s="321" t="s">
        <v>1648</v>
      </c>
      <c r="AC144" s="321" t="s">
        <v>1648</v>
      </c>
      <c r="AD144" s="321" t="s">
        <v>1649</v>
      </c>
      <c r="AE144" s="321" t="s">
        <v>1649</v>
      </c>
      <c r="AF144" s="321" t="s">
        <v>1648</v>
      </c>
      <c r="AG144" s="321" t="s">
        <v>1649</v>
      </c>
      <c r="AH144" s="300" t="s">
        <v>1613</v>
      </c>
      <c r="AI144" s="321" t="s">
        <v>1649</v>
      </c>
      <c r="AJ144" s="321" t="s">
        <v>1649</v>
      </c>
      <c r="AK144" s="321" t="s">
        <v>1649</v>
      </c>
      <c r="AL144" s="321" t="s">
        <v>1649</v>
      </c>
      <c r="AM144" s="321" t="s">
        <v>1649</v>
      </c>
      <c r="AN144" s="321" t="s">
        <v>1648</v>
      </c>
      <c r="AO144" s="321" t="s">
        <v>1648</v>
      </c>
      <c r="AP144" s="321" t="s">
        <v>1648</v>
      </c>
      <c r="AQ144" s="321" t="s">
        <v>1649</v>
      </c>
      <c r="AR144" s="321" t="s">
        <v>1649</v>
      </c>
      <c r="AS144" s="321" t="s">
        <v>1648</v>
      </c>
      <c r="AT144" s="321" t="s">
        <v>1649</v>
      </c>
      <c r="AU144" s="301" t="s">
        <v>1613</v>
      </c>
    </row>
    <row r="145" spans="1:47" ht="13.5" thickBot="1" x14ac:dyDescent="0.25">
      <c r="A145" s="48" t="s">
        <v>774</v>
      </c>
      <c r="B145" s="291" t="s">
        <v>773</v>
      </c>
      <c r="C145" s="298" t="s">
        <v>17</v>
      </c>
      <c r="D145" s="302">
        <v>40</v>
      </c>
      <c r="E145" s="303">
        <v>37500</v>
      </c>
      <c r="F145" s="303">
        <v>40000</v>
      </c>
      <c r="G145" s="299" t="s">
        <v>1613</v>
      </c>
      <c r="H145" s="299" t="s">
        <v>1613</v>
      </c>
      <c r="I145" s="299" t="s">
        <v>1613</v>
      </c>
      <c r="J145" s="302">
        <v>12</v>
      </c>
      <c r="K145" s="303">
        <v>8000</v>
      </c>
      <c r="L145" s="303">
        <v>8000</v>
      </c>
      <c r="M145" s="302">
        <v>6</v>
      </c>
      <c r="N145" s="303">
        <v>5500</v>
      </c>
      <c r="O145" s="303">
        <v>12000</v>
      </c>
      <c r="P145" s="299" t="s">
        <v>1613</v>
      </c>
      <c r="Q145" s="299" t="s">
        <v>1613</v>
      </c>
      <c r="R145" s="299" t="s">
        <v>1613</v>
      </c>
      <c r="S145" s="302">
        <v>12</v>
      </c>
      <c r="T145" s="303">
        <v>2500</v>
      </c>
      <c r="U145" s="303">
        <v>9000</v>
      </c>
      <c r="V145" s="321" t="s">
        <v>1648</v>
      </c>
      <c r="W145" s="321" t="s">
        <v>1648</v>
      </c>
      <c r="X145" s="321" t="s">
        <v>1648</v>
      </c>
      <c r="Y145" s="321" t="s">
        <v>1648</v>
      </c>
      <c r="Z145" s="321" t="s">
        <v>1648</v>
      </c>
      <c r="AA145" s="321" t="s">
        <v>1648</v>
      </c>
      <c r="AB145" s="321" t="s">
        <v>1648</v>
      </c>
      <c r="AC145" s="321" t="s">
        <v>1648</v>
      </c>
      <c r="AD145" s="321" t="s">
        <v>1649</v>
      </c>
      <c r="AE145" s="321" t="s">
        <v>1648</v>
      </c>
      <c r="AF145" s="321" t="s">
        <v>1649</v>
      </c>
      <c r="AG145" s="321" t="s">
        <v>1649</v>
      </c>
      <c r="AH145" s="300" t="s">
        <v>1613</v>
      </c>
      <c r="AI145" s="321" t="s">
        <v>1649</v>
      </c>
      <c r="AJ145" s="321" t="s">
        <v>1649</v>
      </c>
      <c r="AK145" s="321" t="s">
        <v>1649</v>
      </c>
      <c r="AL145" s="321" t="s">
        <v>1649</v>
      </c>
      <c r="AM145" s="321" t="s">
        <v>1649</v>
      </c>
      <c r="AN145" s="321" t="s">
        <v>1649</v>
      </c>
      <c r="AO145" s="321" t="s">
        <v>1648</v>
      </c>
      <c r="AP145" s="321" t="s">
        <v>1649</v>
      </c>
      <c r="AQ145" s="321" t="s">
        <v>1649</v>
      </c>
      <c r="AR145" s="321" t="s">
        <v>1649</v>
      </c>
      <c r="AS145" s="321" t="s">
        <v>1649</v>
      </c>
      <c r="AT145" s="321" t="s">
        <v>1649</v>
      </c>
      <c r="AU145" s="301" t="s">
        <v>1613</v>
      </c>
    </row>
    <row r="146" spans="1:47" ht="13.5" thickBot="1" x14ac:dyDescent="0.25">
      <c r="A146" s="48" t="s">
        <v>784</v>
      </c>
      <c r="B146" s="291" t="s">
        <v>783</v>
      </c>
      <c r="C146" s="298" t="s">
        <v>17</v>
      </c>
      <c r="D146" s="302">
        <v>37</v>
      </c>
      <c r="E146" s="303">
        <v>21000</v>
      </c>
      <c r="F146" s="303">
        <v>28000</v>
      </c>
      <c r="G146" s="302">
        <v>40</v>
      </c>
      <c r="H146" s="303">
        <v>31200</v>
      </c>
      <c r="I146" s="303">
        <v>41600</v>
      </c>
      <c r="J146" s="304"/>
      <c r="K146" s="305"/>
      <c r="L146" s="305"/>
      <c r="M146" s="302">
        <v>24</v>
      </c>
      <c r="N146" s="303">
        <v>9000</v>
      </c>
      <c r="O146" s="303">
        <v>14000</v>
      </c>
      <c r="P146" s="304"/>
      <c r="Q146" s="305"/>
      <c r="R146" s="305"/>
      <c r="S146" s="302">
        <v>12</v>
      </c>
      <c r="T146" s="303">
        <v>7000</v>
      </c>
      <c r="U146" s="303">
        <v>13000</v>
      </c>
      <c r="V146" s="321" t="s">
        <v>1649</v>
      </c>
      <c r="W146" s="321" t="s">
        <v>1649</v>
      </c>
      <c r="X146" s="321" t="s">
        <v>1649</v>
      </c>
      <c r="Y146" s="321" t="s">
        <v>1649</v>
      </c>
      <c r="Z146" s="321" t="s">
        <v>1649</v>
      </c>
      <c r="AA146" s="321" t="s">
        <v>1648</v>
      </c>
      <c r="AB146" s="321" t="s">
        <v>1648</v>
      </c>
      <c r="AC146" s="321" t="s">
        <v>1648</v>
      </c>
      <c r="AD146" s="321" t="s">
        <v>1649</v>
      </c>
      <c r="AE146" s="321" t="s">
        <v>1649</v>
      </c>
      <c r="AF146" s="321" t="s">
        <v>1648</v>
      </c>
      <c r="AG146" s="321" t="s">
        <v>1649</v>
      </c>
      <c r="AH146" s="300" t="s">
        <v>1613</v>
      </c>
      <c r="AI146" s="321" t="s">
        <v>1649</v>
      </c>
      <c r="AJ146" s="321" t="s">
        <v>1649</v>
      </c>
      <c r="AK146" s="321" t="s">
        <v>1649</v>
      </c>
      <c r="AL146" s="321" t="s">
        <v>1649</v>
      </c>
      <c r="AM146" s="321" t="s">
        <v>1649</v>
      </c>
      <c r="AN146" s="321" t="s">
        <v>1649</v>
      </c>
      <c r="AO146" s="321" t="s">
        <v>1649</v>
      </c>
      <c r="AP146" s="321" t="s">
        <v>1649</v>
      </c>
      <c r="AQ146" s="321" t="s">
        <v>1649</v>
      </c>
      <c r="AR146" s="321" t="s">
        <v>1649</v>
      </c>
      <c r="AS146" s="321" t="s">
        <v>1649</v>
      </c>
      <c r="AT146" s="321" t="s">
        <v>1649</v>
      </c>
      <c r="AU146" s="301" t="s">
        <v>1613</v>
      </c>
    </row>
    <row r="147" spans="1:47" ht="13.5" thickBot="1" x14ac:dyDescent="0.25">
      <c r="A147" s="48" t="s">
        <v>802</v>
      </c>
      <c r="B147" s="291" t="s">
        <v>801</v>
      </c>
      <c r="C147" s="298" t="s">
        <v>17</v>
      </c>
      <c r="D147" s="302">
        <v>22</v>
      </c>
      <c r="E147" s="303">
        <v>18000</v>
      </c>
      <c r="F147" s="303">
        <v>25000</v>
      </c>
      <c r="G147" s="299" t="s">
        <v>1613</v>
      </c>
      <c r="H147" s="299" t="s">
        <v>1613</v>
      </c>
      <c r="I147" s="299" t="s">
        <v>1613</v>
      </c>
      <c r="J147" s="299" t="s">
        <v>1613</v>
      </c>
      <c r="K147" s="299" t="s">
        <v>1613</v>
      </c>
      <c r="L147" s="299" t="s">
        <v>1613</v>
      </c>
      <c r="M147" s="302">
        <v>6</v>
      </c>
      <c r="N147" s="303">
        <v>2000</v>
      </c>
      <c r="O147" s="303">
        <v>5000</v>
      </c>
      <c r="P147" s="299" t="s">
        <v>1613</v>
      </c>
      <c r="Q147" s="299" t="s">
        <v>1613</v>
      </c>
      <c r="R147" s="299" t="s">
        <v>1613</v>
      </c>
      <c r="S147" s="302">
        <v>14</v>
      </c>
      <c r="T147" s="303">
        <v>4000</v>
      </c>
      <c r="U147" s="303">
        <v>19000</v>
      </c>
      <c r="V147" s="321" t="s">
        <v>1649</v>
      </c>
      <c r="W147" s="321" t="s">
        <v>1649</v>
      </c>
      <c r="X147" s="321" t="s">
        <v>1649</v>
      </c>
      <c r="Y147" s="321" t="s">
        <v>1649</v>
      </c>
      <c r="Z147" s="321" t="s">
        <v>1649</v>
      </c>
      <c r="AA147" s="321" t="s">
        <v>1649</v>
      </c>
      <c r="AB147" s="321" t="s">
        <v>1649</v>
      </c>
      <c r="AC147" s="321" t="s">
        <v>1649</v>
      </c>
      <c r="AD147" s="321" t="s">
        <v>1649</v>
      </c>
      <c r="AE147" s="321" t="s">
        <v>1649</v>
      </c>
      <c r="AF147" s="321" t="s">
        <v>1649</v>
      </c>
      <c r="AG147" s="321" t="s">
        <v>1649</v>
      </c>
      <c r="AH147" s="300" t="s">
        <v>1613</v>
      </c>
      <c r="AI147" s="321" t="s">
        <v>1649</v>
      </c>
      <c r="AJ147" s="321" t="s">
        <v>1649</v>
      </c>
      <c r="AK147" s="321" t="s">
        <v>1649</v>
      </c>
      <c r="AL147" s="321" t="s">
        <v>1649</v>
      </c>
      <c r="AM147" s="321" t="s">
        <v>1649</v>
      </c>
      <c r="AN147" s="321" t="s">
        <v>1648</v>
      </c>
      <c r="AO147" s="321" t="s">
        <v>1648</v>
      </c>
      <c r="AP147" s="321" t="s">
        <v>1648</v>
      </c>
      <c r="AQ147" s="321" t="s">
        <v>1648</v>
      </c>
      <c r="AR147" s="321" t="s">
        <v>1649</v>
      </c>
      <c r="AS147" s="321" t="s">
        <v>1648</v>
      </c>
      <c r="AT147" s="321" t="s">
        <v>1649</v>
      </c>
      <c r="AU147" s="301" t="s">
        <v>1613</v>
      </c>
    </row>
    <row r="148" spans="1:47" ht="13.5" thickBot="1" x14ac:dyDescent="0.25">
      <c r="A148" s="48" t="s">
        <v>24</v>
      </c>
      <c r="B148" s="291" t="s">
        <v>23</v>
      </c>
      <c r="C148" s="298" t="s">
        <v>25</v>
      </c>
      <c r="D148" s="304"/>
      <c r="E148" s="305"/>
      <c r="F148" s="305"/>
      <c r="G148" s="304"/>
      <c r="H148" s="305"/>
      <c r="I148" s="305"/>
      <c r="J148" s="302">
        <v>29</v>
      </c>
      <c r="K148" s="303">
        <v>17010</v>
      </c>
      <c r="L148" s="303">
        <v>21112</v>
      </c>
      <c r="M148" s="302">
        <v>14</v>
      </c>
      <c r="N148" s="303">
        <v>7462</v>
      </c>
      <c r="O148" s="303">
        <v>8998</v>
      </c>
      <c r="P148" s="299" t="s">
        <v>1613</v>
      </c>
      <c r="Q148" s="299" t="s">
        <v>1613</v>
      </c>
      <c r="R148" s="299" t="s">
        <v>1613</v>
      </c>
      <c r="S148" s="302">
        <v>12</v>
      </c>
      <c r="T148" s="303">
        <v>5896</v>
      </c>
      <c r="U148" s="303">
        <v>6520</v>
      </c>
      <c r="V148" s="321" t="s">
        <v>1649</v>
      </c>
      <c r="W148" s="321" t="s">
        <v>1649</v>
      </c>
      <c r="X148" s="321" t="s">
        <v>1649</v>
      </c>
      <c r="Y148" s="321" t="s">
        <v>1649</v>
      </c>
      <c r="Z148" s="321" t="s">
        <v>1649</v>
      </c>
      <c r="AA148" s="321" t="s">
        <v>1649</v>
      </c>
      <c r="AB148" s="321" t="s">
        <v>1649</v>
      </c>
      <c r="AC148" s="321" t="s">
        <v>1649</v>
      </c>
      <c r="AD148" s="321" t="s">
        <v>1649</v>
      </c>
      <c r="AE148" s="321" t="s">
        <v>1649</v>
      </c>
      <c r="AF148" s="321" t="s">
        <v>1649</v>
      </c>
      <c r="AG148" s="321" t="s">
        <v>1649</v>
      </c>
      <c r="AH148" s="300" t="s">
        <v>1613</v>
      </c>
      <c r="AI148" s="321" t="s">
        <v>1649</v>
      </c>
      <c r="AJ148" s="321" t="s">
        <v>1649</v>
      </c>
      <c r="AK148" s="321" t="s">
        <v>1649</v>
      </c>
      <c r="AL148" s="321" t="s">
        <v>1649</v>
      </c>
      <c r="AM148" s="321" t="s">
        <v>1649</v>
      </c>
      <c r="AN148" s="321" t="s">
        <v>1649</v>
      </c>
      <c r="AO148" s="321" t="s">
        <v>1649</v>
      </c>
      <c r="AP148" s="321" t="s">
        <v>1649</v>
      </c>
      <c r="AQ148" s="321" t="s">
        <v>1649</v>
      </c>
      <c r="AR148" s="321" t="s">
        <v>1649</v>
      </c>
      <c r="AS148" s="321" t="s">
        <v>1649</v>
      </c>
      <c r="AT148" s="321" t="s">
        <v>1649</v>
      </c>
      <c r="AU148" s="301" t="s">
        <v>1613</v>
      </c>
    </row>
    <row r="149" spans="1:47" ht="13.5" thickBot="1" x14ac:dyDescent="0.25">
      <c r="A149" s="48" t="s">
        <v>27</v>
      </c>
      <c r="B149" s="291" t="s">
        <v>26</v>
      </c>
      <c r="C149" s="298" t="s">
        <v>25</v>
      </c>
      <c r="D149" s="304"/>
      <c r="E149" s="305"/>
      <c r="F149" s="305"/>
      <c r="G149" s="304"/>
      <c r="H149" s="305"/>
      <c r="I149" s="305"/>
      <c r="J149" s="304"/>
      <c r="K149" s="305"/>
      <c r="L149" s="305"/>
      <c r="M149" s="304"/>
      <c r="N149" s="305"/>
      <c r="O149" s="305"/>
      <c r="P149" s="304"/>
      <c r="Q149" s="305"/>
      <c r="R149" s="305"/>
      <c r="S149" s="302">
        <v>20</v>
      </c>
      <c r="T149" s="303">
        <v>10660</v>
      </c>
      <c r="U149" s="303">
        <v>13520</v>
      </c>
      <c r="V149" s="321" t="s">
        <v>1649</v>
      </c>
      <c r="W149" s="321" t="s">
        <v>1649</v>
      </c>
      <c r="X149" s="321" t="s">
        <v>1649</v>
      </c>
      <c r="Y149" s="321" t="s">
        <v>1649</v>
      </c>
      <c r="Z149" s="321" t="s">
        <v>1649</v>
      </c>
      <c r="AA149" s="321" t="s">
        <v>1649</v>
      </c>
      <c r="AB149" s="321" t="s">
        <v>1649</v>
      </c>
      <c r="AC149" s="321" t="s">
        <v>1649</v>
      </c>
      <c r="AD149" s="321" t="s">
        <v>1649</v>
      </c>
      <c r="AE149" s="321" t="s">
        <v>1649</v>
      </c>
      <c r="AF149" s="321" t="s">
        <v>1649</v>
      </c>
      <c r="AG149" s="321" t="s">
        <v>1649</v>
      </c>
      <c r="AH149" s="300" t="s">
        <v>1613</v>
      </c>
      <c r="AI149" s="321" t="s">
        <v>1649</v>
      </c>
      <c r="AJ149" s="321" t="s">
        <v>1649</v>
      </c>
      <c r="AK149" s="321" t="s">
        <v>1649</v>
      </c>
      <c r="AL149" s="321" t="s">
        <v>1649</v>
      </c>
      <c r="AM149" s="321" t="s">
        <v>1649</v>
      </c>
      <c r="AN149" s="321" t="s">
        <v>1649</v>
      </c>
      <c r="AO149" s="321" t="s">
        <v>1648</v>
      </c>
      <c r="AP149" s="321" t="s">
        <v>1649</v>
      </c>
      <c r="AQ149" s="321" t="s">
        <v>1649</v>
      </c>
      <c r="AR149" s="321" t="s">
        <v>1649</v>
      </c>
      <c r="AS149" s="321" t="s">
        <v>1649</v>
      </c>
      <c r="AT149" s="321" t="s">
        <v>1649</v>
      </c>
      <c r="AU149" s="301" t="s">
        <v>1613</v>
      </c>
    </row>
    <row r="150" spans="1:47" ht="13.5" thickBot="1" x14ac:dyDescent="0.25">
      <c r="A150" s="48" t="s">
        <v>29</v>
      </c>
      <c r="B150" s="291" t="s">
        <v>28</v>
      </c>
      <c r="C150" s="298" t="s">
        <v>25</v>
      </c>
      <c r="D150" s="302">
        <v>35</v>
      </c>
      <c r="E150" s="303">
        <v>45000</v>
      </c>
      <c r="F150" s="303">
        <v>55000</v>
      </c>
      <c r="G150" s="302">
        <v>35</v>
      </c>
      <c r="H150" s="303">
        <v>20000</v>
      </c>
      <c r="I150" s="303">
        <v>45000</v>
      </c>
      <c r="J150" s="299" t="s">
        <v>1613</v>
      </c>
      <c r="K150" s="299" t="s">
        <v>1613</v>
      </c>
      <c r="L150" s="299" t="s">
        <v>1613</v>
      </c>
      <c r="M150" s="302">
        <v>35</v>
      </c>
      <c r="N150" s="303">
        <v>25000</v>
      </c>
      <c r="O150" s="303">
        <v>33000</v>
      </c>
      <c r="P150" s="299" t="s">
        <v>1613</v>
      </c>
      <c r="Q150" s="299" t="s">
        <v>1613</v>
      </c>
      <c r="R150" s="299" t="s">
        <v>1613</v>
      </c>
      <c r="S150" s="302">
        <v>28</v>
      </c>
      <c r="T150" s="303">
        <v>13500</v>
      </c>
      <c r="U150" s="303">
        <v>25000</v>
      </c>
      <c r="V150" s="321" t="s">
        <v>1648</v>
      </c>
      <c r="W150" s="321" t="s">
        <v>1648</v>
      </c>
      <c r="X150" s="321" t="s">
        <v>1648</v>
      </c>
      <c r="Y150" s="321" t="s">
        <v>1648</v>
      </c>
      <c r="Z150" s="321" t="s">
        <v>1648</v>
      </c>
      <c r="AA150" s="321" t="s">
        <v>1648</v>
      </c>
      <c r="AB150" s="321" t="s">
        <v>1648</v>
      </c>
      <c r="AC150" s="321" t="s">
        <v>1648</v>
      </c>
      <c r="AD150" s="321" t="s">
        <v>1648</v>
      </c>
      <c r="AE150" s="321" t="s">
        <v>1648</v>
      </c>
      <c r="AF150" s="321" t="s">
        <v>1648</v>
      </c>
      <c r="AG150" s="321" t="s">
        <v>1648</v>
      </c>
      <c r="AH150" s="165" t="s">
        <v>3532</v>
      </c>
      <c r="AI150" s="321" t="s">
        <v>1649</v>
      </c>
      <c r="AJ150" s="321" t="s">
        <v>1649</v>
      </c>
      <c r="AK150" s="321" t="s">
        <v>1649</v>
      </c>
      <c r="AL150" s="321" t="s">
        <v>1649</v>
      </c>
      <c r="AM150" s="321" t="s">
        <v>1649</v>
      </c>
      <c r="AN150" s="321" t="s">
        <v>1648</v>
      </c>
      <c r="AO150" s="321" t="s">
        <v>1648</v>
      </c>
      <c r="AP150" s="321" t="s">
        <v>1648</v>
      </c>
      <c r="AQ150" s="321" t="s">
        <v>1649</v>
      </c>
      <c r="AR150" s="321" t="s">
        <v>1649</v>
      </c>
      <c r="AS150" s="321" t="s">
        <v>1648</v>
      </c>
      <c r="AT150" s="321" t="s">
        <v>1648</v>
      </c>
      <c r="AU150" s="307" t="s">
        <v>3532</v>
      </c>
    </row>
    <row r="151" spans="1:47" ht="13.5" thickBot="1" x14ac:dyDescent="0.25">
      <c r="A151" s="48" t="s">
        <v>31</v>
      </c>
      <c r="B151" s="291" t="s">
        <v>30</v>
      </c>
      <c r="C151" s="298" t="s">
        <v>25</v>
      </c>
      <c r="D151" s="302">
        <v>35</v>
      </c>
      <c r="E151" s="303">
        <v>27000</v>
      </c>
      <c r="F151" s="303">
        <v>36000</v>
      </c>
      <c r="G151" s="302">
        <v>18</v>
      </c>
      <c r="H151" s="303">
        <v>10000</v>
      </c>
      <c r="I151" s="303">
        <v>16000</v>
      </c>
      <c r="J151" s="299" t="s">
        <v>1613</v>
      </c>
      <c r="K151" s="299" t="s">
        <v>1613</v>
      </c>
      <c r="L151" s="299" t="s">
        <v>1613</v>
      </c>
      <c r="M151" s="302">
        <v>35</v>
      </c>
      <c r="N151" s="303">
        <v>25000</v>
      </c>
      <c r="O151" s="303">
        <v>35000</v>
      </c>
      <c r="P151" s="302">
        <v>25</v>
      </c>
      <c r="Q151" s="303">
        <v>16000</v>
      </c>
      <c r="R151" s="303">
        <v>28000</v>
      </c>
      <c r="S151" s="302">
        <v>18</v>
      </c>
      <c r="T151" s="303">
        <v>9000</v>
      </c>
      <c r="U151" s="303">
        <v>14000</v>
      </c>
      <c r="V151" s="321" t="s">
        <v>1648</v>
      </c>
      <c r="W151" s="321" t="s">
        <v>1648</v>
      </c>
      <c r="X151" s="321" t="s">
        <v>1648</v>
      </c>
      <c r="Y151" s="321" t="s">
        <v>1648</v>
      </c>
      <c r="Z151" s="321" t="s">
        <v>1648</v>
      </c>
      <c r="AA151" s="321" t="s">
        <v>1648</v>
      </c>
      <c r="AB151" s="321" t="s">
        <v>1648</v>
      </c>
      <c r="AC151" s="321" t="s">
        <v>1648</v>
      </c>
      <c r="AD151" s="321" t="s">
        <v>1648</v>
      </c>
      <c r="AE151" s="321" t="s">
        <v>1649</v>
      </c>
      <c r="AF151" s="321" t="s">
        <v>1649</v>
      </c>
      <c r="AG151" s="321" t="s">
        <v>1648</v>
      </c>
      <c r="AH151" s="300" t="s">
        <v>1613</v>
      </c>
      <c r="AI151" s="321" t="s">
        <v>1649</v>
      </c>
      <c r="AJ151" s="321" t="s">
        <v>1649</v>
      </c>
      <c r="AK151" s="321" t="s">
        <v>1649</v>
      </c>
      <c r="AL151" s="321" t="s">
        <v>1649</v>
      </c>
      <c r="AM151" s="321" t="s">
        <v>1649</v>
      </c>
      <c r="AN151" s="321" t="s">
        <v>1649</v>
      </c>
      <c r="AO151" s="321" t="s">
        <v>1649</v>
      </c>
      <c r="AP151" s="321" t="s">
        <v>1649</v>
      </c>
      <c r="AQ151" s="321" t="s">
        <v>1648</v>
      </c>
      <c r="AR151" s="321" t="s">
        <v>1649</v>
      </c>
      <c r="AS151" s="321" t="s">
        <v>1648</v>
      </c>
      <c r="AT151" s="321" t="s">
        <v>1649</v>
      </c>
      <c r="AU151" s="301" t="s">
        <v>1613</v>
      </c>
    </row>
    <row r="152" spans="1:47" ht="13.5" thickBot="1" x14ac:dyDescent="0.25">
      <c r="A152" s="48" t="s">
        <v>43</v>
      </c>
      <c r="B152" s="291" t="s">
        <v>42</v>
      </c>
      <c r="C152" s="298" t="s">
        <v>25</v>
      </c>
      <c r="D152" s="304"/>
      <c r="E152" s="305"/>
      <c r="F152" s="305"/>
      <c r="G152" s="304"/>
      <c r="H152" s="305"/>
      <c r="I152" s="305"/>
      <c r="J152" s="302">
        <v>40</v>
      </c>
      <c r="K152" s="303">
        <v>37621</v>
      </c>
      <c r="L152" s="303">
        <v>48929</v>
      </c>
      <c r="M152" s="304"/>
      <c r="N152" s="305"/>
      <c r="O152" s="305"/>
      <c r="P152" s="304"/>
      <c r="Q152" s="305"/>
      <c r="R152" s="305"/>
      <c r="S152" s="302">
        <v>15</v>
      </c>
      <c r="T152" s="303">
        <v>7543</v>
      </c>
      <c r="U152" s="303">
        <v>8494</v>
      </c>
      <c r="V152" s="321" t="s">
        <v>1648</v>
      </c>
      <c r="W152" s="321" t="s">
        <v>1648</v>
      </c>
      <c r="X152" s="321" t="s">
        <v>1648</v>
      </c>
      <c r="Y152" s="321" t="s">
        <v>1648</v>
      </c>
      <c r="Z152" s="321" t="s">
        <v>1649</v>
      </c>
      <c r="AA152" s="321" t="s">
        <v>1648</v>
      </c>
      <c r="AB152" s="321" t="s">
        <v>1648</v>
      </c>
      <c r="AC152" s="321" t="s">
        <v>1648</v>
      </c>
      <c r="AD152" s="321" t="s">
        <v>1649</v>
      </c>
      <c r="AE152" s="321" t="s">
        <v>1649</v>
      </c>
      <c r="AF152" s="321" t="s">
        <v>1648</v>
      </c>
      <c r="AG152" s="321" t="s">
        <v>1649</v>
      </c>
      <c r="AH152" s="300"/>
      <c r="AI152" s="321" t="s">
        <v>1649</v>
      </c>
      <c r="AJ152" s="321" t="s">
        <v>1649</v>
      </c>
      <c r="AK152" s="321" t="s">
        <v>1649</v>
      </c>
      <c r="AL152" s="321" t="s">
        <v>1649</v>
      </c>
      <c r="AM152" s="321" t="s">
        <v>1649</v>
      </c>
      <c r="AN152" s="321" t="s">
        <v>1648</v>
      </c>
      <c r="AO152" s="321" t="s">
        <v>1648</v>
      </c>
      <c r="AP152" s="321" t="s">
        <v>1648</v>
      </c>
      <c r="AQ152" s="321" t="s">
        <v>1649</v>
      </c>
      <c r="AR152" s="321" t="s">
        <v>1649</v>
      </c>
      <c r="AS152" s="321" t="s">
        <v>1649</v>
      </c>
      <c r="AT152" s="321" t="s">
        <v>1649</v>
      </c>
      <c r="AU152" s="301"/>
    </row>
    <row r="153" spans="1:47" ht="13.5" thickBot="1" x14ac:dyDescent="0.25">
      <c r="A153" s="48" t="s">
        <v>51</v>
      </c>
      <c r="B153" s="291" t="s">
        <v>50</v>
      </c>
      <c r="C153" s="298" t="s">
        <v>25</v>
      </c>
      <c r="D153" s="304"/>
      <c r="E153" s="305"/>
      <c r="F153" s="305"/>
      <c r="G153" s="304"/>
      <c r="H153" s="305"/>
      <c r="I153" s="305"/>
      <c r="J153" s="304"/>
      <c r="K153" s="303">
        <v>23000</v>
      </c>
      <c r="L153" s="303">
        <v>30000</v>
      </c>
      <c r="M153" s="302">
        <v>25</v>
      </c>
      <c r="N153" s="303">
        <v>11000</v>
      </c>
      <c r="O153" s="303">
        <v>13000</v>
      </c>
      <c r="P153" s="304"/>
      <c r="Q153" s="305"/>
      <c r="R153" s="305"/>
      <c r="S153" s="302">
        <v>25</v>
      </c>
      <c r="T153" s="303">
        <v>10000</v>
      </c>
      <c r="U153" s="303">
        <v>26000</v>
      </c>
      <c r="V153" s="321" t="s">
        <v>1648</v>
      </c>
      <c r="W153" s="321" t="s">
        <v>1648</v>
      </c>
      <c r="X153" s="321" t="s">
        <v>1648</v>
      </c>
      <c r="Y153" s="321" t="s">
        <v>1648</v>
      </c>
      <c r="Z153" s="321" t="s">
        <v>1648</v>
      </c>
      <c r="AA153" s="321" t="s">
        <v>1648</v>
      </c>
      <c r="AB153" s="321" t="s">
        <v>1648</v>
      </c>
      <c r="AC153" s="321" t="s">
        <v>1648</v>
      </c>
      <c r="AD153" s="321" t="s">
        <v>1649</v>
      </c>
      <c r="AE153" s="321" t="s">
        <v>1648</v>
      </c>
      <c r="AF153" s="321" t="s">
        <v>1648</v>
      </c>
      <c r="AG153" s="321" t="s">
        <v>1648</v>
      </c>
      <c r="AH153" s="300" t="s">
        <v>1613</v>
      </c>
      <c r="AI153" s="321" t="s">
        <v>1649</v>
      </c>
      <c r="AJ153" s="321" t="s">
        <v>1649</v>
      </c>
      <c r="AK153" s="321" t="s">
        <v>1649</v>
      </c>
      <c r="AL153" s="321" t="s">
        <v>1649</v>
      </c>
      <c r="AM153" s="321" t="s">
        <v>1649</v>
      </c>
      <c r="AN153" s="321" t="s">
        <v>1649</v>
      </c>
      <c r="AO153" s="321" t="s">
        <v>1649</v>
      </c>
      <c r="AP153" s="321" t="s">
        <v>1648</v>
      </c>
      <c r="AQ153" s="321" t="s">
        <v>1649</v>
      </c>
      <c r="AR153" s="321" t="s">
        <v>1649</v>
      </c>
      <c r="AS153" s="321" t="s">
        <v>1648</v>
      </c>
      <c r="AT153" s="321" t="s">
        <v>1648</v>
      </c>
      <c r="AU153" s="301" t="s">
        <v>1613</v>
      </c>
    </row>
    <row r="154" spans="1:47" ht="13.5" thickBot="1" x14ac:dyDescent="0.25">
      <c r="A154" s="48" t="s">
        <v>66</v>
      </c>
      <c r="B154" s="291" t="s">
        <v>65</v>
      </c>
      <c r="C154" s="298" t="s">
        <v>25</v>
      </c>
      <c r="D154" s="302">
        <v>44</v>
      </c>
      <c r="E154" s="303">
        <v>46000</v>
      </c>
      <c r="F154" s="303">
        <v>54000</v>
      </c>
      <c r="G154" s="299" t="s">
        <v>1613</v>
      </c>
      <c r="H154" s="299" t="s">
        <v>1613</v>
      </c>
      <c r="I154" s="299" t="s">
        <v>1613</v>
      </c>
      <c r="J154" s="299" t="s">
        <v>1613</v>
      </c>
      <c r="K154" s="299" t="s">
        <v>1613</v>
      </c>
      <c r="L154" s="299" t="s">
        <v>1613</v>
      </c>
      <c r="M154" s="299" t="s">
        <v>1613</v>
      </c>
      <c r="N154" s="299" t="s">
        <v>1613</v>
      </c>
      <c r="O154" s="299" t="s">
        <v>1613</v>
      </c>
      <c r="P154" s="299" t="s">
        <v>1613</v>
      </c>
      <c r="Q154" s="299" t="s">
        <v>1613</v>
      </c>
      <c r="R154" s="299" t="s">
        <v>1613</v>
      </c>
      <c r="S154" s="302">
        <v>20</v>
      </c>
      <c r="T154" s="303">
        <v>8000</v>
      </c>
      <c r="U154" s="303">
        <v>14000</v>
      </c>
      <c r="V154" s="321" t="s">
        <v>1648</v>
      </c>
      <c r="W154" s="321" t="s">
        <v>1649</v>
      </c>
      <c r="X154" s="321" t="s">
        <v>1649</v>
      </c>
      <c r="Y154" s="321" t="s">
        <v>1649</v>
      </c>
      <c r="Z154" s="321" t="s">
        <v>1649</v>
      </c>
      <c r="AA154" s="321" t="s">
        <v>1648</v>
      </c>
      <c r="AB154" s="321" t="s">
        <v>1648</v>
      </c>
      <c r="AC154" s="321" t="s">
        <v>1648</v>
      </c>
      <c r="AD154" s="321" t="s">
        <v>1649</v>
      </c>
      <c r="AE154" s="321" t="s">
        <v>1649</v>
      </c>
      <c r="AF154" s="321" t="s">
        <v>1648</v>
      </c>
      <c r="AG154" s="321" t="s">
        <v>1649</v>
      </c>
      <c r="AH154" s="165" t="s">
        <v>3534</v>
      </c>
      <c r="AI154" s="321" t="s">
        <v>1649</v>
      </c>
      <c r="AJ154" s="321" t="s">
        <v>1649</v>
      </c>
      <c r="AK154" s="321" t="s">
        <v>1649</v>
      </c>
      <c r="AL154" s="321" t="s">
        <v>1649</v>
      </c>
      <c r="AM154" s="321" t="s">
        <v>1649</v>
      </c>
      <c r="AN154" s="321" t="s">
        <v>1649</v>
      </c>
      <c r="AO154" s="321" t="s">
        <v>1648</v>
      </c>
      <c r="AP154" s="321" t="s">
        <v>1648</v>
      </c>
      <c r="AQ154" s="321" t="s">
        <v>1649</v>
      </c>
      <c r="AR154" s="321" t="s">
        <v>1649</v>
      </c>
      <c r="AS154" s="321" t="s">
        <v>1648</v>
      </c>
      <c r="AT154" s="321" t="s">
        <v>1649</v>
      </c>
      <c r="AU154" s="301" t="s">
        <v>1613</v>
      </c>
    </row>
    <row r="155" spans="1:47" ht="13.5" thickBot="1" x14ac:dyDescent="0.25">
      <c r="A155" s="48" t="s">
        <v>76</v>
      </c>
      <c r="B155" s="291" t="s">
        <v>75</v>
      </c>
      <c r="C155" s="298" t="s">
        <v>25</v>
      </c>
      <c r="D155" s="304"/>
      <c r="E155" s="305"/>
      <c r="F155" s="305"/>
      <c r="G155" s="302">
        <v>35</v>
      </c>
      <c r="H155" s="303">
        <v>33000</v>
      </c>
      <c r="I155" s="303">
        <v>35000</v>
      </c>
      <c r="J155" s="302">
        <v>30</v>
      </c>
      <c r="K155" s="303">
        <v>25000</v>
      </c>
      <c r="L155" s="303">
        <v>25000</v>
      </c>
      <c r="M155" s="302">
        <v>20</v>
      </c>
      <c r="N155" s="303">
        <v>13500</v>
      </c>
      <c r="O155" s="303">
        <v>13500</v>
      </c>
      <c r="P155" s="304"/>
      <c r="Q155" s="305"/>
      <c r="R155" s="305"/>
      <c r="S155" s="302">
        <v>11</v>
      </c>
      <c r="T155" s="303">
        <v>5720</v>
      </c>
      <c r="U155" s="303">
        <v>5720</v>
      </c>
      <c r="V155" s="321" t="s">
        <v>1648</v>
      </c>
      <c r="W155" s="321" t="s">
        <v>1648</v>
      </c>
      <c r="X155" s="321" t="s">
        <v>1649</v>
      </c>
      <c r="Y155" s="321" t="s">
        <v>1649</v>
      </c>
      <c r="Z155" s="321" t="s">
        <v>1648</v>
      </c>
      <c r="AA155" s="321" t="s">
        <v>1648</v>
      </c>
      <c r="AB155" s="321" t="s">
        <v>1648</v>
      </c>
      <c r="AC155" s="321" t="s">
        <v>1648</v>
      </c>
      <c r="AD155" s="321" t="s">
        <v>1649</v>
      </c>
      <c r="AE155" s="321" t="s">
        <v>1649</v>
      </c>
      <c r="AF155" s="321" t="s">
        <v>1649</v>
      </c>
      <c r="AG155" s="321" t="s">
        <v>1649</v>
      </c>
      <c r="AH155" s="165" t="s">
        <v>3535</v>
      </c>
      <c r="AI155" s="321" t="s">
        <v>1649</v>
      </c>
      <c r="AJ155" s="321" t="s">
        <v>1649</v>
      </c>
      <c r="AK155" s="321" t="s">
        <v>1649</v>
      </c>
      <c r="AL155" s="321" t="s">
        <v>1649</v>
      </c>
      <c r="AM155" s="321" t="s">
        <v>1649</v>
      </c>
      <c r="AN155" s="321" t="s">
        <v>1648</v>
      </c>
      <c r="AO155" s="321" t="s">
        <v>1648</v>
      </c>
      <c r="AP155" s="321" t="s">
        <v>1648</v>
      </c>
      <c r="AQ155" s="321" t="s">
        <v>1649</v>
      </c>
      <c r="AR155" s="321" t="s">
        <v>1649</v>
      </c>
      <c r="AS155" s="321" t="s">
        <v>1649</v>
      </c>
      <c r="AT155" s="321" t="s">
        <v>1649</v>
      </c>
      <c r="AU155" s="301" t="s">
        <v>1613</v>
      </c>
    </row>
    <row r="156" spans="1:47" ht="13.5" thickBot="1" x14ac:dyDescent="0.25">
      <c r="A156" s="48" t="s">
        <v>96</v>
      </c>
      <c r="B156" s="291" t="s">
        <v>95</v>
      </c>
      <c r="C156" s="298" t="s">
        <v>25</v>
      </c>
      <c r="D156" s="302">
        <v>28</v>
      </c>
      <c r="E156" s="303">
        <v>15000</v>
      </c>
      <c r="F156" s="303">
        <v>20000</v>
      </c>
      <c r="G156" s="302">
        <v>25</v>
      </c>
      <c r="H156" s="303">
        <v>12000</v>
      </c>
      <c r="I156" s="303">
        <v>17000</v>
      </c>
      <c r="J156" s="299" t="s">
        <v>1613</v>
      </c>
      <c r="K156" s="299" t="s">
        <v>1613</v>
      </c>
      <c r="L156" s="299" t="s">
        <v>1613</v>
      </c>
      <c r="M156" s="299" t="s">
        <v>1613</v>
      </c>
      <c r="N156" s="299" t="s">
        <v>1613</v>
      </c>
      <c r="O156" s="299" t="s">
        <v>1613</v>
      </c>
      <c r="P156" s="299" t="s">
        <v>1613</v>
      </c>
      <c r="Q156" s="299" t="s">
        <v>1613</v>
      </c>
      <c r="R156" s="299" t="s">
        <v>1613</v>
      </c>
      <c r="S156" s="302">
        <v>25</v>
      </c>
      <c r="T156" s="303">
        <v>11000</v>
      </c>
      <c r="U156" s="303">
        <v>15000</v>
      </c>
      <c r="V156" s="321" t="s">
        <v>1648</v>
      </c>
      <c r="W156" s="321" t="s">
        <v>1649</v>
      </c>
      <c r="X156" s="321" t="s">
        <v>1649</v>
      </c>
      <c r="Y156" s="321" t="s">
        <v>1649</v>
      </c>
      <c r="Z156" s="321" t="s">
        <v>1649</v>
      </c>
      <c r="AA156" s="321" t="s">
        <v>1648</v>
      </c>
      <c r="AB156" s="321" t="s">
        <v>1648</v>
      </c>
      <c r="AC156" s="321" t="s">
        <v>1648</v>
      </c>
      <c r="AD156" s="321" t="s">
        <v>1649</v>
      </c>
      <c r="AE156" s="321" t="s">
        <v>1649</v>
      </c>
      <c r="AF156" s="321" t="s">
        <v>1648</v>
      </c>
      <c r="AG156" s="321" t="s">
        <v>1648</v>
      </c>
      <c r="AH156" s="300" t="s">
        <v>1613</v>
      </c>
      <c r="AI156" s="321" t="s">
        <v>1648</v>
      </c>
      <c r="AJ156" s="321" t="s">
        <v>1649</v>
      </c>
      <c r="AK156" s="321" t="s">
        <v>1649</v>
      </c>
      <c r="AL156" s="321" t="s">
        <v>1649</v>
      </c>
      <c r="AM156" s="321" t="s">
        <v>1649</v>
      </c>
      <c r="AN156" s="321" t="s">
        <v>1648</v>
      </c>
      <c r="AO156" s="321" t="s">
        <v>1648</v>
      </c>
      <c r="AP156" s="321" t="s">
        <v>1648</v>
      </c>
      <c r="AQ156" s="321" t="s">
        <v>1649</v>
      </c>
      <c r="AR156" s="321" t="s">
        <v>1649</v>
      </c>
      <c r="AS156" s="321" t="s">
        <v>1648</v>
      </c>
      <c r="AT156" s="321" t="s">
        <v>1648</v>
      </c>
      <c r="AU156" s="301" t="s">
        <v>1613</v>
      </c>
    </row>
    <row r="157" spans="1:47" ht="13.5" thickBot="1" x14ac:dyDescent="0.25">
      <c r="A157" s="48" t="s">
        <v>106</v>
      </c>
      <c r="B157" s="291" t="s">
        <v>105</v>
      </c>
      <c r="C157" s="298" t="s">
        <v>25</v>
      </c>
      <c r="D157" s="302">
        <v>36</v>
      </c>
      <c r="E157" s="303">
        <v>38377</v>
      </c>
      <c r="F157" s="303">
        <v>53916</v>
      </c>
      <c r="G157" s="304"/>
      <c r="H157" s="305"/>
      <c r="I157" s="305"/>
      <c r="J157" s="304"/>
      <c r="K157" s="305"/>
      <c r="L157" s="305"/>
      <c r="M157" s="304"/>
      <c r="N157" s="305"/>
      <c r="O157" s="305"/>
      <c r="P157" s="304"/>
      <c r="Q157" s="305"/>
      <c r="R157" s="305"/>
      <c r="S157" s="302">
        <v>15</v>
      </c>
      <c r="T157" s="303">
        <v>11917</v>
      </c>
      <c r="U157" s="303">
        <v>17398</v>
      </c>
      <c r="V157" s="321" t="s">
        <v>1648</v>
      </c>
      <c r="W157" s="321" t="s">
        <v>1648</v>
      </c>
      <c r="X157" s="321" t="s">
        <v>1648</v>
      </c>
      <c r="Y157" s="321" t="s">
        <v>1649</v>
      </c>
      <c r="Z157" s="321" t="s">
        <v>1648</v>
      </c>
      <c r="AA157" s="321" t="s">
        <v>1648</v>
      </c>
      <c r="AB157" s="321" t="s">
        <v>1648</v>
      </c>
      <c r="AC157" s="321" t="s">
        <v>1648</v>
      </c>
      <c r="AD157" s="321" t="s">
        <v>1648</v>
      </c>
      <c r="AE157" s="321" t="s">
        <v>1648</v>
      </c>
      <c r="AF157" s="321" t="s">
        <v>1648</v>
      </c>
      <c r="AG157" s="321" t="s">
        <v>1649</v>
      </c>
      <c r="AH157" s="165" t="s">
        <v>3539</v>
      </c>
      <c r="AI157" s="321" t="s">
        <v>1649</v>
      </c>
      <c r="AJ157" s="321" t="s">
        <v>1649</v>
      </c>
      <c r="AK157" s="321" t="s">
        <v>1649</v>
      </c>
      <c r="AL157" s="321" t="s">
        <v>1649</v>
      </c>
      <c r="AM157" s="321" t="s">
        <v>1649</v>
      </c>
      <c r="AN157" s="321" t="s">
        <v>1649</v>
      </c>
      <c r="AO157" s="321" t="s">
        <v>1649</v>
      </c>
      <c r="AP157" s="321" t="s">
        <v>1649</v>
      </c>
      <c r="AQ157" s="321" t="s">
        <v>1649</v>
      </c>
      <c r="AR157" s="321" t="s">
        <v>1649</v>
      </c>
      <c r="AS157" s="321" t="s">
        <v>1649</v>
      </c>
      <c r="AT157" s="321" t="s">
        <v>1649</v>
      </c>
      <c r="AU157" s="301"/>
    </row>
    <row r="158" spans="1:47" ht="13.5" thickBot="1" x14ac:dyDescent="0.25">
      <c r="A158" s="48" t="s">
        <v>110</v>
      </c>
      <c r="B158" s="291" t="s">
        <v>109</v>
      </c>
      <c r="C158" s="298" t="s">
        <v>25</v>
      </c>
      <c r="D158" s="302">
        <v>38</v>
      </c>
      <c r="E158" s="303">
        <v>35000</v>
      </c>
      <c r="F158" s="303">
        <v>45000</v>
      </c>
      <c r="G158" s="302">
        <v>36</v>
      </c>
      <c r="H158" s="303">
        <v>28000</v>
      </c>
      <c r="I158" s="303">
        <v>32000</v>
      </c>
      <c r="J158" s="299" t="s">
        <v>1613</v>
      </c>
      <c r="K158" s="299" t="s">
        <v>1613</v>
      </c>
      <c r="L158" s="299" t="s">
        <v>1613</v>
      </c>
      <c r="M158" s="299" t="s">
        <v>1613</v>
      </c>
      <c r="N158" s="299" t="s">
        <v>1613</v>
      </c>
      <c r="O158" s="299" t="s">
        <v>1613</v>
      </c>
      <c r="P158" s="299" t="s">
        <v>1613</v>
      </c>
      <c r="Q158" s="299" t="s">
        <v>1613</v>
      </c>
      <c r="R158" s="299" t="s">
        <v>1613</v>
      </c>
      <c r="S158" s="302">
        <v>25</v>
      </c>
      <c r="T158" s="303">
        <v>15600</v>
      </c>
      <c r="U158" s="303">
        <v>2000</v>
      </c>
      <c r="V158" s="321" t="s">
        <v>1648</v>
      </c>
      <c r="W158" s="321" t="s">
        <v>1648</v>
      </c>
      <c r="X158" s="321" t="s">
        <v>1649</v>
      </c>
      <c r="Y158" s="321" t="s">
        <v>1649</v>
      </c>
      <c r="Z158" s="321" t="s">
        <v>1648</v>
      </c>
      <c r="AA158" s="321" t="s">
        <v>1648</v>
      </c>
      <c r="AB158" s="321" t="s">
        <v>1648</v>
      </c>
      <c r="AC158" s="321" t="s">
        <v>1648</v>
      </c>
      <c r="AD158" s="321" t="s">
        <v>1649</v>
      </c>
      <c r="AE158" s="321" t="s">
        <v>1649</v>
      </c>
      <c r="AF158" s="321" t="s">
        <v>1648</v>
      </c>
      <c r="AG158" s="321" t="s">
        <v>1649</v>
      </c>
      <c r="AH158" s="300" t="s">
        <v>1613</v>
      </c>
      <c r="AI158" s="321" t="s">
        <v>1649</v>
      </c>
      <c r="AJ158" s="321" t="s">
        <v>1649</v>
      </c>
      <c r="AK158" s="321" t="s">
        <v>1649</v>
      </c>
      <c r="AL158" s="321" t="s">
        <v>1649</v>
      </c>
      <c r="AM158" s="321" t="s">
        <v>1649</v>
      </c>
      <c r="AN158" s="321" t="s">
        <v>1648</v>
      </c>
      <c r="AO158" s="321" t="s">
        <v>1648</v>
      </c>
      <c r="AP158" s="321" t="s">
        <v>1648</v>
      </c>
      <c r="AQ158" s="321" t="s">
        <v>1649</v>
      </c>
      <c r="AR158" s="321" t="s">
        <v>1649</v>
      </c>
      <c r="AS158" s="321" t="s">
        <v>1648</v>
      </c>
      <c r="AT158" s="321" t="s">
        <v>1649</v>
      </c>
      <c r="AU158" s="301" t="s">
        <v>1613</v>
      </c>
    </row>
    <row r="159" spans="1:47" ht="13.5" thickBot="1" x14ac:dyDescent="0.25">
      <c r="A159" s="48" t="s">
        <v>128</v>
      </c>
      <c r="B159" s="291" t="s">
        <v>127</v>
      </c>
      <c r="C159" s="298" t="s">
        <v>25</v>
      </c>
      <c r="D159" s="302">
        <v>40</v>
      </c>
      <c r="E159" s="303">
        <v>28000</v>
      </c>
      <c r="F159" s="303">
        <v>42000</v>
      </c>
      <c r="G159" s="302">
        <v>40</v>
      </c>
      <c r="H159" s="303">
        <v>25000</v>
      </c>
      <c r="I159" s="303">
        <v>36000</v>
      </c>
      <c r="J159" s="302">
        <v>40</v>
      </c>
      <c r="K159" s="303">
        <v>22000</v>
      </c>
      <c r="L159" s="303">
        <v>28000</v>
      </c>
      <c r="M159" s="299" t="s">
        <v>1613</v>
      </c>
      <c r="N159" s="299" t="s">
        <v>1613</v>
      </c>
      <c r="O159" s="299" t="s">
        <v>1613</v>
      </c>
      <c r="P159" s="299" t="s">
        <v>1613</v>
      </c>
      <c r="Q159" s="299" t="s">
        <v>1613</v>
      </c>
      <c r="R159" s="299" t="s">
        <v>1613</v>
      </c>
      <c r="S159" s="302">
        <v>25</v>
      </c>
      <c r="T159" s="303">
        <v>12025</v>
      </c>
      <c r="U159" s="303">
        <v>13500</v>
      </c>
      <c r="V159" s="321" t="s">
        <v>1648</v>
      </c>
      <c r="W159" s="321" t="s">
        <v>1648</v>
      </c>
      <c r="X159" s="321" t="s">
        <v>1648</v>
      </c>
      <c r="Y159" s="321" t="s">
        <v>1648</v>
      </c>
      <c r="Z159" s="321" t="s">
        <v>1648</v>
      </c>
      <c r="AA159" s="321" t="s">
        <v>1648</v>
      </c>
      <c r="AB159" s="321" t="s">
        <v>1648</v>
      </c>
      <c r="AC159" s="321" t="s">
        <v>1648</v>
      </c>
      <c r="AD159" s="321" t="s">
        <v>1648</v>
      </c>
      <c r="AE159" s="321" t="s">
        <v>1648</v>
      </c>
      <c r="AF159" s="321" t="s">
        <v>1648</v>
      </c>
      <c r="AG159" s="321" t="s">
        <v>1649</v>
      </c>
      <c r="AH159" s="300" t="s">
        <v>1613</v>
      </c>
      <c r="AI159" s="321" t="s">
        <v>1649</v>
      </c>
      <c r="AJ159" s="321" t="s">
        <v>1649</v>
      </c>
      <c r="AK159" s="321" t="s">
        <v>1649</v>
      </c>
      <c r="AL159" s="321" t="s">
        <v>1649</v>
      </c>
      <c r="AM159" s="321" t="s">
        <v>1649</v>
      </c>
      <c r="AN159" s="321" t="s">
        <v>1649</v>
      </c>
      <c r="AO159" s="321" t="s">
        <v>1649</v>
      </c>
      <c r="AP159" s="321" t="s">
        <v>1649</v>
      </c>
      <c r="AQ159" s="321" t="s">
        <v>1649</v>
      </c>
      <c r="AR159" s="321" t="s">
        <v>1649</v>
      </c>
      <c r="AS159" s="321" t="s">
        <v>1648</v>
      </c>
      <c r="AT159" s="321" t="s">
        <v>1649</v>
      </c>
      <c r="AU159" s="301" t="s">
        <v>1613</v>
      </c>
    </row>
    <row r="160" spans="1:47" ht="13.5" thickBot="1" x14ac:dyDescent="0.25">
      <c r="A160" s="48" t="s">
        <v>130</v>
      </c>
      <c r="B160" s="291" t="s">
        <v>129</v>
      </c>
      <c r="C160" s="298" t="s">
        <v>25</v>
      </c>
      <c r="D160" s="299" t="s">
        <v>1613</v>
      </c>
      <c r="E160" s="299" t="s">
        <v>1613</v>
      </c>
      <c r="F160" s="299" t="s">
        <v>1613</v>
      </c>
      <c r="G160" s="299" t="s">
        <v>1613</v>
      </c>
      <c r="H160" s="299" t="s">
        <v>1613</v>
      </c>
      <c r="I160" s="299" t="s">
        <v>1613</v>
      </c>
      <c r="J160" s="299" t="s">
        <v>1613</v>
      </c>
      <c r="K160" s="299" t="s">
        <v>1613</v>
      </c>
      <c r="L160" s="299" t="s">
        <v>1613</v>
      </c>
      <c r="M160" s="299" t="s">
        <v>1613</v>
      </c>
      <c r="N160" s="299" t="s">
        <v>1613</v>
      </c>
      <c r="O160" s="299" t="s">
        <v>1613</v>
      </c>
      <c r="P160" s="299" t="s">
        <v>1613</v>
      </c>
      <c r="Q160" s="299" t="s">
        <v>1613</v>
      </c>
      <c r="R160" s="299" t="s">
        <v>1613</v>
      </c>
      <c r="S160" s="299" t="s">
        <v>1613</v>
      </c>
      <c r="T160" s="299" t="s">
        <v>1613</v>
      </c>
      <c r="U160" s="299" t="s">
        <v>1613</v>
      </c>
      <c r="V160" s="321" t="s">
        <v>1649</v>
      </c>
      <c r="W160" s="321" t="s">
        <v>1649</v>
      </c>
      <c r="X160" s="321" t="s">
        <v>1649</v>
      </c>
      <c r="Y160" s="321" t="s">
        <v>1649</v>
      </c>
      <c r="Z160" s="321" t="s">
        <v>1649</v>
      </c>
      <c r="AA160" s="321" t="s">
        <v>1649</v>
      </c>
      <c r="AB160" s="321" t="s">
        <v>1649</v>
      </c>
      <c r="AC160" s="321" t="s">
        <v>1649</v>
      </c>
      <c r="AD160" s="321" t="s">
        <v>1649</v>
      </c>
      <c r="AE160" s="321" t="s">
        <v>1649</v>
      </c>
      <c r="AF160" s="321" t="s">
        <v>1649</v>
      </c>
      <c r="AG160" s="321" t="s">
        <v>1649</v>
      </c>
      <c r="AH160" s="300" t="s">
        <v>1613</v>
      </c>
      <c r="AI160" s="321" t="s">
        <v>1649</v>
      </c>
      <c r="AJ160" s="321" t="s">
        <v>1649</v>
      </c>
      <c r="AK160" s="321" t="s">
        <v>1649</v>
      </c>
      <c r="AL160" s="321" t="s">
        <v>1649</v>
      </c>
      <c r="AM160" s="321" t="s">
        <v>1649</v>
      </c>
      <c r="AN160" s="321" t="s">
        <v>1649</v>
      </c>
      <c r="AO160" s="321" t="s">
        <v>1648</v>
      </c>
      <c r="AP160" s="321" t="s">
        <v>1649</v>
      </c>
      <c r="AQ160" s="321" t="s">
        <v>1649</v>
      </c>
      <c r="AR160" s="321" t="s">
        <v>1649</v>
      </c>
      <c r="AS160" s="321" t="s">
        <v>1649</v>
      </c>
      <c r="AT160" s="321" t="s">
        <v>1649</v>
      </c>
      <c r="AU160" s="301" t="s">
        <v>1613</v>
      </c>
    </row>
    <row r="161" spans="1:47" ht="13.5" thickBot="1" x14ac:dyDescent="0.25">
      <c r="A161" s="48" t="s">
        <v>136</v>
      </c>
      <c r="B161" s="291" t="s">
        <v>135</v>
      </c>
      <c r="C161" s="298" t="s">
        <v>25</v>
      </c>
      <c r="D161" s="302">
        <v>47</v>
      </c>
      <c r="E161" s="303">
        <v>28956</v>
      </c>
      <c r="F161" s="303">
        <v>31408</v>
      </c>
      <c r="G161" s="299" t="s">
        <v>1613</v>
      </c>
      <c r="H161" s="299" t="s">
        <v>1613</v>
      </c>
      <c r="I161" s="299" t="s">
        <v>1613</v>
      </c>
      <c r="J161" s="299" t="s">
        <v>1613</v>
      </c>
      <c r="K161" s="299" t="s">
        <v>1613</v>
      </c>
      <c r="L161" s="299" t="s">
        <v>1613</v>
      </c>
      <c r="M161" s="299" t="s">
        <v>1613</v>
      </c>
      <c r="N161" s="299" t="s">
        <v>1613</v>
      </c>
      <c r="O161" s="299" t="s">
        <v>1613</v>
      </c>
      <c r="P161" s="299" t="s">
        <v>1613</v>
      </c>
      <c r="Q161" s="299" t="s">
        <v>1613</v>
      </c>
      <c r="R161" s="299" t="s">
        <v>1613</v>
      </c>
      <c r="S161" s="299" t="s">
        <v>1613</v>
      </c>
      <c r="T161" s="299" t="s">
        <v>1613</v>
      </c>
      <c r="U161" s="299" t="s">
        <v>1613</v>
      </c>
      <c r="V161" s="321" t="s">
        <v>1648</v>
      </c>
      <c r="W161" s="321" t="s">
        <v>1648</v>
      </c>
      <c r="X161" s="321" t="s">
        <v>1648</v>
      </c>
      <c r="Y161" s="321" t="s">
        <v>1648</v>
      </c>
      <c r="Z161" s="321" t="s">
        <v>1648</v>
      </c>
      <c r="AA161" s="321" t="s">
        <v>1648</v>
      </c>
      <c r="AB161" s="321" t="s">
        <v>1648</v>
      </c>
      <c r="AC161" s="321" t="s">
        <v>1648</v>
      </c>
      <c r="AD161" s="321" t="s">
        <v>1649</v>
      </c>
      <c r="AE161" s="321" t="s">
        <v>1649</v>
      </c>
      <c r="AF161" s="321" t="s">
        <v>1648</v>
      </c>
      <c r="AG161" s="321" t="s">
        <v>1648</v>
      </c>
      <c r="AH161" s="300" t="s">
        <v>1613</v>
      </c>
      <c r="AI161" s="321" t="s">
        <v>1649</v>
      </c>
      <c r="AJ161" s="321" t="s">
        <v>1649</v>
      </c>
      <c r="AK161" s="321" t="s">
        <v>1649</v>
      </c>
      <c r="AL161" s="321" t="s">
        <v>1649</v>
      </c>
      <c r="AM161" s="321" t="s">
        <v>1649</v>
      </c>
      <c r="AN161" s="321" t="s">
        <v>1649</v>
      </c>
      <c r="AO161" s="321" t="s">
        <v>1649</v>
      </c>
      <c r="AP161" s="321" t="s">
        <v>1649</v>
      </c>
      <c r="AQ161" s="321" t="s">
        <v>1649</v>
      </c>
      <c r="AR161" s="321" t="s">
        <v>1649</v>
      </c>
      <c r="AS161" s="321" t="s">
        <v>1649</v>
      </c>
      <c r="AT161" s="321" t="s">
        <v>1649</v>
      </c>
      <c r="AU161" s="301" t="s">
        <v>1613</v>
      </c>
    </row>
    <row r="162" spans="1:47" ht="13.5" thickBot="1" x14ac:dyDescent="0.25">
      <c r="A162" s="48" t="s">
        <v>144</v>
      </c>
      <c r="B162" s="291" t="s">
        <v>143</v>
      </c>
      <c r="C162" s="298" t="s">
        <v>25</v>
      </c>
      <c r="D162" s="302">
        <v>40</v>
      </c>
      <c r="E162" s="303">
        <v>33345</v>
      </c>
      <c r="F162" s="303">
        <v>39113</v>
      </c>
      <c r="G162" s="299" t="s">
        <v>1613</v>
      </c>
      <c r="H162" s="299" t="s">
        <v>1613</v>
      </c>
      <c r="I162" s="299" t="s">
        <v>1613</v>
      </c>
      <c r="J162" s="299" t="s">
        <v>1613</v>
      </c>
      <c r="K162" s="299" t="s">
        <v>1613</v>
      </c>
      <c r="L162" s="299" t="s">
        <v>1613</v>
      </c>
      <c r="M162" s="302">
        <v>40</v>
      </c>
      <c r="N162" s="303">
        <v>32329</v>
      </c>
      <c r="O162" s="303">
        <v>34760</v>
      </c>
      <c r="P162" s="299" t="s">
        <v>1613</v>
      </c>
      <c r="Q162" s="299" t="s">
        <v>1613</v>
      </c>
      <c r="R162" s="299" t="s">
        <v>1613</v>
      </c>
      <c r="S162" s="302">
        <v>33</v>
      </c>
      <c r="T162" s="303">
        <v>23113</v>
      </c>
      <c r="U162" s="303">
        <v>29952</v>
      </c>
      <c r="V162" s="321" t="s">
        <v>1648</v>
      </c>
      <c r="W162" s="321" t="s">
        <v>1649</v>
      </c>
      <c r="X162" s="321" t="s">
        <v>1649</v>
      </c>
      <c r="Y162" s="321" t="s">
        <v>1649</v>
      </c>
      <c r="Z162" s="321" t="s">
        <v>1649</v>
      </c>
      <c r="AA162" s="321" t="s">
        <v>1648</v>
      </c>
      <c r="AB162" s="321" t="s">
        <v>1648</v>
      </c>
      <c r="AC162" s="321" t="s">
        <v>1648</v>
      </c>
      <c r="AD162" s="321" t="s">
        <v>1648</v>
      </c>
      <c r="AE162" s="321" t="s">
        <v>1649</v>
      </c>
      <c r="AF162" s="321" t="s">
        <v>1648</v>
      </c>
      <c r="AG162" s="321" t="s">
        <v>1649</v>
      </c>
      <c r="AH162" s="300"/>
      <c r="AI162" s="321" t="s">
        <v>1649</v>
      </c>
      <c r="AJ162" s="321" t="s">
        <v>1649</v>
      </c>
      <c r="AK162" s="321" t="s">
        <v>1649</v>
      </c>
      <c r="AL162" s="321" t="s">
        <v>1649</v>
      </c>
      <c r="AM162" s="321" t="s">
        <v>1649</v>
      </c>
      <c r="AN162" s="321" t="s">
        <v>1648</v>
      </c>
      <c r="AO162" s="321" t="s">
        <v>1648</v>
      </c>
      <c r="AP162" s="321" t="s">
        <v>1648</v>
      </c>
      <c r="AQ162" s="321" t="s">
        <v>1648</v>
      </c>
      <c r="AR162" s="321" t="s">
        <v>1649</v>
      </c>
      <c r="AS162" s="321" t="s">
        <v>1649</v>
      </c>
      <c r="AT162" s="321" t="s">
        <v>1649</v>
      </c>
      <c r="AU162" s="301"/>
    </row>
    <row r="163" spans="1:47" ht="13.5" thickBot="1" x14ac:dyDescent="0.25">
      <c r="A163" s="48" t="s">
        <v>148</v>
      </c>
      <c r="B163" s="291" t="s">
        <v>147</v>
      </c>
      <c r="C163" s="298" t="s">
        <v>25</v>
      </c>
      <c r="D163" s="302">
        <v>37</v>
      </c>
      <c r="E163" s="303">
        <v>29687</v>
      </c>
      <c r="F163" s="303">
        <v>29687</v>
      </c>
      <c r="G163" s="302">
        <v>30</v>
      </c>
      <c r="H163" s="303">
        <v>21450</v>
      </c>
      <c r="I163" s="303">
        <v>21450</v>
      </c>
      <c r="J163" s="299" t="s">
        <v>1613</v>
      </c>
      <c r="K163" s="299" t="s">
        <v>1613</v>
      </c>
      <c r="L163" s="299" t="s">
        <v>1613</v>
      </c>
      <c r="M163" s="302">
        <v>26</v>
      </c>
      <c r="N163" s="303">
        <v>14443</v>
      </c>
      <c r="O163" s="303">
        <v>14443</v>
      </c>
      <c r="P163" s="299" t="s">
        <v>1613</v>
      </c>
      <c r="Q163" s="299" t="s">
        <v>1613</v>
      </c>
      <c r="R163" s="299" t="s">
        <v>1613</v>
      </c>
      <c r="S163" s="302">
        <v>48</v>
      </c>
      <c r="T163" s="303">
        <v>24086</v>
      </c>
      <c r="U163" s="303">
        <v>24084</v>
      </c>
      <c r="V163" s="321" t="s">
        <v>1649</v>
      </c>
      <c r="W163" s="321" t="s">
        <v>1649</v>
      </c>
      <c r="X163" s="321" t="s">
        <v>1649</v>
      </c>
      <c r="Y163" s="321" t="s">
        <v>1649</v>
      </c>
      <c r="Z163" s="321" t="s">
        <v>1649</v>
      </c>
      <c r="AA163" s="321" t="s">
        <v>1648</v>
      </c>
      <c r="AB163" s="321" t="s">
        <v>1648</v>
      </c>
      <c r="AC163" s="321" t="s">
        <v>1648</v>
      </c>
      <c r="AD163" s="321" t="s">
        <v>1649</v>
      </c>
      <c r="AE163" s="321" t="s">
        <v>1649</v>
      </c>
      <c r="AF163" s="321" t="s">
        <v>1648</v>
      </c>
      <c r="AG163" s="321" t="s">
        <v>1649</v>
      </c>
      <c r="AH163" s="300"/>
      <c r="AI163" s="321" t="s">
        <v>1649</v>
      </c>
      <c r="AJ163" s="321" t="s">
        <v>1649</v>
      </c>
      <c r="AK163" s="321" t="s">
        <v>1649</v>
      </c>
      <c r="AL163" s="321" t="s">
        <v>1649</v>
      </c>
      <c r="AM163" s="321" t="s">
        <v>1649</v>
      </c>
      <c r="AN163" s="321" t="s">
        <v>1649</v>
      </c>
      <c r="AO163" s="321" t="s">
        <v>1649</v>
      </c>
      <c r="AP163" s="321" t="s">
        <v>1649</v>
      </c>
      <c r="AQ163" s="321" t="s">
        <v>1649</v>
      </c>
      <c r="AR163" s="321" t="s">
        <v>1649</v>
      </c>
      <c r="AS163" s="321" t="s">
        <v>1649</v>
      </c>
      <c r="AT163" s="321" t="s">
        <v>1649</v>
      </c>
      <c r="AU163" s="301"/>
    </row>
    <row r="164" spans="1:47" ht="13.5" thickBot="1" x14ac:dyDescent="0.25">
      <c r="A164" s="48" t="s">
        <v>152</v>
      </c>
      <c r="B164" s="291" t="s">
        <v>151</v>
      </c>
      <c r="C164" s="298" t="s">
        <v>25</v>
      </c>
      <c r="D164" s="302">
        <v>23</v>
      </c>
      <c r="E164" s="303">
        <v>15000</v>
      </c>
      <c r="F164" s="303">
        <v>15000</v>
      </c>
      <c r="G164" s="304"/>
      <c r="H164" s="305"/>
      <c r="I164" s="305"/>
      <c r="J164" s="304"/>
      <c r="K164" s="305"/>
      <c r="L164" s="305"/>
      <c r="M164" s="304"/>
      <c r="N164" s="305"/>
      <c r="O164" s="305"/>
      <c r="P164" s="304"/>
      <c r="Q164" s="305"/>
      <c r="R164" s="305"/>
      <c r="S164" s="302">
        <v>12</v>
      </c>
      <c r="T164" s="303">
        <v>7000</v>
      </c>
      <c r="U164" s="303">
        <v>7000</v>
      </c>
      <c r="V164" s="321" t="s">
        <v>1648</v>
      </c>
      <c r="W164" s="321" t="s">
        <v>1649</v>
      </c>
      <c r="X164" s="321" t="s">
        <v>1649</v>
      </c>
      <c r="Y164" s="321" t="s">
        <v>1649</v>
      </c>
      <c r="Z164" s="321" t="s">
        <v>1649</v>
      </c>
      <c r="AA164" s="321" t="s">
        <v>1648</v>
      </c>
      <c r="AB164" s="321" t="s">
        <v>1648</v>
      </c>
      <c r="AC164" s="321" t="s">
        <v>1648</v>
      </c>
      <c r="AD164" s="321" t="s">
        <v>1649</v>
      </c>
      <c r="AE164" s="321" t="s">
        <v>1649</v>
      </c>
      <c r="AF164" s="321" t="s">
        <v>1648</v>
      </c>
      <c r="AG164" s="321" t="s">
        <v>1649</v>
      </c>
      <c r="AH164" s="165" t="s">
        <v>3664</v>
      </c>
      <c r="AI164" s="321" t="s">
        <v>1649</v>
      </c>
      <c r="AJ164" s="321" t="s">
        <v>1649</v>
      </c>
      <c r="AK164" s="321" t="s">
        <v>1649</v>
      </c>
      <c r="AL164" s="321" t="s">
        <v>1649</v>
      </c>
      <c r="AM164" s="321" t="s">
        <v>1649</v>
      </c>
      <c r="AN164" s="321" t="s">
        <v>1648</v>
      </c>
      <c r="AO164" s="321" t="s">
        <v>1648</v>
      </c>
      <c r="AP164" s="321" t="s">
        <v>1648</v>
      </c>
      <c r="AQ164" s="321" t="s">
        <v>1649</v>
      </c>
      <c r="AR164" s="321" t="s">
        <v>1649</v>
      </c>
      <c r="AS164" s="321" t="s">
        <v>1648</v>
      </c>
      <c r="AT164" s="321" t="s">
        <v>1649</v>
      </c>
      <c r="AU164" s="301"/>
    </row>
    <row r="165" spans="1:47" ht="13.5" thickBot="1" x14ac:dyDescent="0.25">
      <c r="A165" s="48" t="s">
        <v>154</v>
      </c>
      <c r="B165" s="291" t="s">
        <v>153</v>
      </c>
      <c r="C165" s="298" t="s">
        <v>25</v>
      </c>
      <c r="D165" s="304"/>
      <c r="E165" s="305"/>
      <c r="F165" s="305"/>
      <c r="G165" s="304"/>
      <c r="H165" s="305"/>
      <c r="I165" s="305"/>
      <c r="J165" s="304"/>
      <c r="K165" s="305"/>
      <c r="L165" s="305"/>
      <c r="M165" s="304"/>
      <c r="N165" s="305"/>
      <c r="O165" s="305"/>
      <c r="P165" s="302">
        <v>20</v>
      </c>
      <c r="Q165" s="303">
        <v>15600</v>
      </c>
      <c r="R165" s="303">
        <v>21840</v>
      </c>
      <c r="S165" s="302">
        <v>20</v>
      </c>
      <c r="T165" s="303">
        <v>11440</v>
      </c>
      <c r="U165" s="303">
        <v>16016</v>
      </c>
      <c r="V165" s="321" t="s">
        <v>1648</v>
      </c>
      <c r="W165" s="321" t="s">
        <v>1648</v>
      </c>
      <c r="X165" s="321" t="s">
        <v>1648</v>
      </c>
      <c r="Y165" s="321" t="s">
        <v>1649</v>
      </c>
      <c r="Z165" s="321" t="s">
        <v>1648</v>
      </c>
      <c r="AA165" s="321" t="s">
        <v>1648</v>
      </c>
      <c r="AB165" s="321" t="s">
        <v>1648</v>
      </c>
      <c r="AC165" s="321" t="s">
        <v>1648</v>
      </c>
      <c r="AD165" s="321" t="s">
        <v>1648</v>
      </c>
      <c r="AE165" s="321" t="s">
        <v>1648</v>
      </c>
      <c r="AF165" s="321" t="s">
        <v>1649</v>
      </c>
      <c r="AG165" s="321" t="s">
        <v>1649</v>
      </c>
      <c r="AH165" s="165" t="s">
        <v>3547</v>
      </c>
      <c r="AI165" s="321" t="s">
        <v>1649</v>
      </c>
      <c r="AJ165" s="321" t="s">
        <v>1649</v>
      </c>
      <c r="AK165" s="321" t="s">
        <v>1649</v>
      </c>
      <c r="AL165" s="321" t="s">
        <v>1649</v>
      </c>
      <c r="AM165" s="321" t="s">
        <v>1649</v>
      </c>
      <c r="AN165" s="321" t="s">
        <v>1649</v>
      </c>
      <c r="AO165" s="321" t="s">
        <v>1649</v>
      </c>
      <c r="AP165" s="321" t="s">
        <v>1649</v>
      </c>
      <c r="AQ165" s="321" t="s">
        <v>1649</v>
      </c>
      <c r="AR165" s="321" t="s">
        <v>1649</v>
      </c>
      <c r="AS165" s="321" t="s">
        <v>1649</v>
      </c>
      <c r="AT165" s="321" t="s">
        <v>1649</v>
      </c>
      <c r="AU165" s="301" t="s">
        <v>1613</v>
      </c>
    </row>
    <row r="166" spans="1:47" ht="13.5" thickBot="1" x14ac:dyDescent="0.25">
      <c r="A166" s="48" t="s">
        <v>160</v>
      </c>
      <c r="B166" s="291" t="s">
        <v>159</v>
      </c>
      <c r="C166" s="298" t="s">
        <v>25</v>
      </c>
      <c r="D166" s="304"/>
      <c r="E166" s="305"/>
      <c r="F166" s="305"/>
      <c r="G166" s="302">
        <v>38</v>
      </c>
      <c r="H166" s="303">
        <v>35000</v>
      </c>
      <c r="I166" s="303">
        <v>44000</v>
      </c>
      <c r="J166" s="302">
        <v>38</v>
      </c>
      <c r="K166" s="303">
        <v>35000</v>
      </c>
      <c r="L166" s="303">
        <v>44000</v>
      </c>
      <c r="M166" s="302">
        <v>38</v>
      </c>
      <c r="N166" s="303">
        <v>35000</v>
      </c>
      <c r="O166" s="303">
        <v>40000</v>
      </c>
      <c r="P166" s="302">
        <v>16</v>
      </c>
      <c r="Q166" s="303">
        <v>19800</v>
      </c>
      <c r="R166" s="303">
        <v>19800</v>
      </c>
      <c r="S166" s="302">
        <v>24</v>
      </c>
      <c r="T166" s="303">
        <v>16000</v>
      </c>
      <c r="U166" s="303">
        <v>29000</v>
      </c>
      <c r="V166" s="321" t="s">
        <v>1648</v>
      </c>
      <c r="W166" s="321" t="s">
        <v>1648</v>
      </c>
      <c r="X166" s="321" t="s">
        <v>1648</v>
      </c>
      <c r="Y166" s="321" t="s">
        <v>1649</v>
      </c>
      <c r="Z166" s="321" t="s">
        <v>1648</v>
      </c>
      <c r="AA166" s="321" t="s">
        <v>1648</v>
      </c>
      <c r="AB166" s="321" t="s">
        <v>1648</v>
      </c>
      <c r="AC166" s="321" t="s">
        <v>1648</v>
      </c>
      <c r="AD166" s="321" t="s">
        <v>1648</v>
      </c>
      <c r="AE166" s="321" t="s">
        <v>1648</v>
      </c>
      <c r="AF166" s="321" t="s">
        <v>1648</v>
      </c>
      <c r="AG166" s="321" t="s">
        <v>1649</v>
      </c>
      <c r="AH166" s="300" t="s">
        <v>1613</v>
      </c>
      <c r="AI166" s="321" t="s">
        <v>1649</v>
      </c>
      <c r="AJ166" s="321" t="s">
        <v>1649</v>
      </c>
      <c r="AK166" s="321" t="s">
        <v>1649</v>
      </c>
      <c r="AL166" s="321" t="s">
        <v>1649</v>
      </c>
      <c r="AM166" s="321" t="s">
        <v>1649</v>
      </c>
      <c r="AN166" s="321" t="s">
        <v>1648</v>
      </c>
      <c r="AO166" s="321" t="s">
        <v>1648</v>
      </c>
      <c r="AP166" s="321" t="s">
        <v>1648</v>
      </c>
      <c r="AQ166" s="321" t="s">
        <v>1649</v>
      </c>
      <c r="AR166" s="321" t="s">
        <v>1649</v>
      </c>
      <c r="AS166" s="321" t="s">
        <v>1648</v>
      </c>
      <c r="AT166" s="321" t="s">
        <v>1649</v>
      </c>
      <c r="AU166" s="301" t="s">
        <v>1613</v>
      </c>
    </row>
    <row r="167" spans="1:47" ht="13.5" thickBot="1" x14ac:dyDescent="0.25">
      <c r="A167" s="48" t="s">
        <v>196</v>
      </c>
      <c r="B167" s="291" t="s">
        <v>195</v>
      </c>
      <c r="C167" s="298" t="s">
        <v>25</v>
      </c>
      <c r="D167" s="299" t="s">
        <v>1613</v>
      </c>
      <c r="E167" s="299" t="s">
        <v>1613</v>
      </c>
      <c r="F167" s="299" t="s">
        <v>1613</v>
      </c>
      <c r="G167" s="299" t="s">
        <v>1613</v>
      </c>
      <c r="H167" s="299" t="s">
        <v>1613</v>
      </c>
      <c r="I167" s="299" t="s">
        <v>1613</v>
      </c>
      <c r="J167" s="302">
        <v>36</v>
      </c>
      <c r="K167" s="303">
        <v>30000</v>
      </c>
      <c r="L167" s="303">
        <v>35000</v>
      </c>
      <c r="M167" s="302">
        <v>36</v>
      </c>
      <c r="N167" s="303">
        <v>20000</v>
      </c>
      <c r="O167" s="303">
        <v>32000</v>
      </c>
      <c r="P167" s="299" t="s">
        <v>1613</v>
      </c>
      <c r="Q167" s="299" t="s">
        <v>1613</v>
      </c>
      <c r="R167" s="299" t="s">
        <v>1613</v>
      </c>
      <c r="S167" s="302">
        <v>20</v>
      </c>
      <c r="T167" s="303">
        <v>13500</v>
      </c>
      <c r="U167" s="303">
        <v>18000</v>
      </c>
      <c r="V167" s="321" t="s">
        <v>1648</v>
      </c>
      <c r="W167" s="321" t="s">
        <v>1649</v>
      </c>
      <c r="X167" s="321" t="s">
        <v>1649</v>
      </c>
      <c r="Y167" s="321" t="s">
        <v>1649</v>
      </c>
      <c r="Z167" s="321" t="s">
        <v>1649</v>
      </c>
      <c r="AA167" s="321" t="s">
        <v>1648</v>
      </c>
      <c r="AB167" s="321" t="s">
        <v>1648</v>
      </c>
      <c r="AC167" s="321" t="s">
        <v>1648</v>
      </c>
      <c r="AD167" s="321" t="s">
        <v>1649</v>
      </c>
      <c r="AE167" s="321" t="s">
        <v>1649</v>
      </c>
      <c r="AF167" s="321" t="s">
        <v>1648</v>
      </c>
      <c r="AG167" s="321" t="s">
        <v>1649</v>
      </c>
      <c r="AH167" s="165" t="s">
        <v>3665</v>
      </c>
      <c r="AI167" s="321" t="s">
        <v>1649</v>
      </c>
      <c r="AJ167" s="321" t="s">
        <v>1649</v>
      </c>
      <c r="AK167" s="321" t="s">
        <v>1649</v>
      </c>
      <c r="AL167" s="321" t="s">
        <v>1649</v>
      </c>
      <c r="AM167" s="321" t="s">
        <v>1649</v>
      </c>
      <c r="AN167" s="321" t="s">
        <v>1649</v>
      </c>
      <c r="AO167" s="321" t="s">
        <v>1648</v>
      </c>
      <c r="AP167" s="321" t="s">
        <v>1648</v>
      </c>
      <c r="AQ167" s="321" t="s">
        <v>1649</v>
      </c>
      <c r="AR167" s="321" t="s">
        <v>1649</v>
      </c>
      <c r="AS167" s="321" t="s">
        <v>1648</v>
      </c>
      <c r="AT167" s="321" t="s">
        <v>1649</v>
      </c>
      <c r="AU167" s="301" t="s">
        <v>1613</v>
      </c>
    </row>
    <row r="168" spans="1:47" ht="13.5" thickBot="1" x14ac:dyDescent="0.25">
      <c r="A168" s="48" t="s">
        <v>220</v>
      </c>
      <c r="B168" s="291" t="s">
        <v>219</v>
      </c>
      <c r="C168" s="298" t="s">
        <v>25</v>
      </c>
      <c r="D168" s="302">
        <v>30</v>
      </c>
      <c r="E168" s="303">
        <v>21000</v>
      </c>
      <c r="F168" s="303">
        <v>25000</v>
      </c>
      <c r="G168" s="299" t="s">
        <v>1613</v>
      </c>
      <c r="H168" s="299" t="s">
        <v>1613</v>
      </c>
      <c r="I168" s="299" t="s">
        <v>1613</v>
      </c>
      <c r="J168" s="299" t="s">
        <v>1613</v>
      </c>
      <c r="K168" s="299" t="s">
        <v>1613</v>
      </c>
      <c r="L168" s="299" t="s">
        <v>1613</v>
      </c>
      <c r="M168" s="299" t="s">
        <v>1613</v>
      </c>
      <c r="N168" s="299" t="s">
        <v>1613</v>
      </c>
      <c r="O168" s="299" t="s">
        <v>1613</v>
      </c>
      <c r="P168" s="299" t="s">
        <v>1613</v>
      </c>
      <c r="Q168" s="303">
        <v>4000</v>
      </c>
      <c r="R168" s="303">
        <v>6000</v>
      </c>
      <c r="S168" s="302">
        <v>20</v>
      </c>
      <c r="T168" s="303">
        <v>8000</v>
      </c>
      <c r="U168" s="303">
        <v>14500</v>
      </c>
      <c r="V168" s="321" t="s">
        <v>1649</v>
      </c>
      <c r="W168" s="321" t="s">
        <v>1649</v>
      </c>
      <c r="X168" s="321" t="s">
        <v>1649</v>
      </c>
      <c r="Y168" s="321" t="s">
        <v>1649</v>
      </c>
      <c r="Z168" s="321" t="s">
        <v>1649</v>
      </c>
      <c r="AA168" s="321" t="s">
        <v>1649</v>
      </c>
      <c r="AB168" s="321" t="s">
        <v>1648</v>
      </c>
      <c r="AC168" s="321" t="s">
        <v>1649</v>
      </c>
      <c r="AD168" s="321" t="s">
        <v>1649</v>
      </c>
      <c r="AE168" s="321" t="s">
        <v>1649</v>
      </c>
      <c r="AF168" s="321" t="s">
        <v>1649</v>
      </c>
      <c r="AG168" s="321" t="s">
        <v>1649</v>
      </c>
      <c r="AH168" s="165" t="s">
        <v>3552</v>
      </c>
      <c r="AI168" s="321" t="s">
        <v>1649</v>
      </c>
      <c r="AJ168" s="321" t="s">
        <v>1649</v>
      </c>
      <c r="AK168" s="321" t="s">
        <v>1649</v>
      </c>
      <c r="AL168" s="321" t="s">
        <v>1649</v>
      </c>
      <c r="AM168" s="321" t="s">
        <v>1649</v>
      </c>
      <c r="AN168" s="321" t="s">
        <v>1648</v>
      </c>
      <c r="AO168" s="321" t="s">
        <v>1648</v>
      </c>
      <c r="AP168" s="321" t="s">
        <v>1649</v>
      </c>
      <c r="AQ168" s="321" t="s">
        <v>1649</v>
      </c>
      <c r="AR168" s="321" t="s">
        <v>1649</v>
      </c>
      <c r="AS168" s="321" t="s">
        <v>1649</v>
      </c>
      <c r="AT168" s="321" t="s">
        <v>1649</v>
      </c>
      <c r="AU168" s="307" t="s">
        <v>3552</v>
      </c>
    </row>
    <row r="169" spans="1:47" ht="13.5" thickBot="1" x14ac:dyDescent="0.25">
      <c r="A169" s="48" t="s">
        <v>232</v>
      </c>
      <c r="B169" s="291" t="s">
        <v>231</v>
      </c>
      <c r="C169" s="298" t="s">
        <v>25</v>
      </c>
      <c r="D169" s="302">
        <v>16</v>
      </c>
      <c r="E169" s="303">
        <v>8000</v>
      </c>
      <c r="F169" s="303">
        <v>25000</v>
      </c>
      <c r="G169" s="304"/>
      <c r="H169" s="305"/>
      <c r="I169" s="305"/>
      <c r="J169" s="304"/>
      <c r="K169" s="305"/>
      <c r="L169" s="305"/>
      <c r="M169" s="304"/>
      <c r="N169" s="305"/>
      <c r="O169" s="305"/>
      <c r="P169" s="304"/>
      <c r="Q169" s="305"/>
      <c r="R169" s="305"/>
      <c r="S169" s="302">
        <v>29</v>
      </c>
      <c r="T169" s="303">
        <v>1500</v>
      </c>
      <c r="U169" s="303">
        <v>20000</v>
      </c>
      <c r="V169" s="321" t="s">
        <v>1649</v>
      </c>
      <c r="W169" s="321" t="s">
        <v>1649</v>
      </c>
      <c r="X169" s="321" t="s">
        <v>1649</v>
      </c>
      <c r="Y169" s="321" t="s">
        <v>1649</v>
      </c>
      <c r="Z169" s="321" t="s">
        <v>1649</v>
      </c>
      <c r="AA169" s="321" t="s">
        <v>1648</v>
      </c>
      <c r="AB169" s="321" t="s">
        <v>1648</v>
      </c>
      <c r="AC169" s="321" t="s">
        <v>1648</v>
      </c>
      <c r="AD169" s="321" t="s">
        <v>1649</v>
      </c>
      <c r="AE169" s="321" t="s">
        <v>1649</v>
      </c>
      <c r="AF169" s="321" t="s">
        <v>1649</v>
      </c>
      <c r="AG169" s="321" t="s">
        <v>1649</v>
      </c>
      <c r="AH169" s="300"/>
      <c r="AI169" s="321" t="s">
        <v>1649</v>
      </c>
      <c r="AJ169" s="321" t="s">
        <v>1649</v>
      </c>
      <c r="AK169" s="321" t="s">
        <v>1649</v>
      </c>
      <c r="AL169" s="321" t="s">
        <v>1649</v>
      </c>
      <c r="AM169" s="321" t="s">
        <v>1649</v>
      </c>
      <c r="AN169" s="321" t="s">
        <v>1648</v>
      </c>
      <c r="AO169" s="321" t="s">
        <v>1648</v>
      </c>
      <c r="AP169" s="321" t="s">
        <v>1648</v>
      </c>
      <c r="AQ169" s="321" t="s">
        <v>1649</v>
      </c>
      <c r="AR169" s="321" t="s">
        <v>1649</v>
      </c>
      <c r="AS169" s="321" t="s">
        <v>1649</v>
      </c>
      <c r="AT169" s="321" t="s">
        <v>1649</v>
      </c>
      <c r="AU169" s="301"/>
    </row>
    <row r="170" spans="1:47" ht="13.5" thickBot="1" x14ac:dyDescent="0.25">
      <c r="A170" s="48" t="s">
        <v>246</v>
      </c>
      <c r="B170" s="291" t="s">
        <v>245</v>
      </c>
      <c r="C170" s="298" t="s">
        <v>25</v>
      </c>
      <c r="D170" s="299" t="s">
        <v>1613</v>
      </c>
      <c r="E170" s="299" t="s">
        <v>1613</v>
      </c>
      <c r="F170" s="299" t="s">
        <v>1613</v>
      </c>
      <c r="G170" s="299" t="s">
        <v>1613</v>
      </c>
      <c r="H170" s="299" t="s">
        <v>1613</v>
      </c>
      <c r="I170" s="299" t="s">
        <v>1613</v>
      </c>
      <c r="J170" s="299" t="s">
        <v>1613</v>
      </c>
      <c r="K170" s="299" t="s">
        <v>1613</v>
      </c>
      <c r="L170" s="299" t="s">
        <v>1613</v>
      </c>
      <c r="M170" s="299" t="s">
        <v>1613</v>
      </c>
      <c r="N170" s="299" t="s">
        <v>1613</v>
      </c>
      <c r="O170" s="299" t="s">
        <v>1613</v>
      </c>
      <c r="P170" s="299" t="s">
        <v>1613</v>
      </c>
      <c r="Q170" s="299" t="s">
        <v>1613</v>
      </c>
      <c r="R170" s="299" t="s">
        <v>1613</v>
      </c>
      <c r="S170" s="302">
        <v>40</v>
      </c>
      <c r="T170" s="303">
        <v>34237</v>
      </c>
      <c r="U170" s="303">
        <v>34923</v>
      </c>
      <c r="V170" s="321" t="s">
        <v>1648</v>
      </c>
      <c r="W170" s="321" t="s">
        <v>1648</v>
      </c>
      <c r="X170" s="321" t="s">
        <v>1648</v>
      </c>
      <c r="Y170" s="321" t="s">
        <v>1649</v>
      </c>
      <c r="Z170" s="321" t="s">
        <v>1648</v>
      </c>
      <c r="AA170" s="321" t="s">
        <v>1648</v>
      </c>
      <c r="AB170" s="321" t="s">
        <v>1648</v>
      </c>
      <c r="AC170" s="321" t="s">
        <v>1648</v>
      </c>
      <c r="AD170" s="321" t="s">
        <v>1649</v>
      </c>
      <c r="AE170" s="321" t="s">
        <v>1649</v>
      </c>
      <c r="AF170" s="321" t="s">
        <v>1649</v>
      </c>
      <c r="AG170" s="321" t="s">
        <v>1649</v>
      </c>
      <c r="AH170" s="300" t="s">
        <v>1613</v>
      </c>
      <c r="AI170" s="321" t="s">
        <v>1649</v>
      </c>
      <c r="AJ170" s="321" t="s">
        <v>1649</v>
      </c>
      <c r="AK170" s="321" t="s">
        <v>1649</v>
      </c>
      <c r="AL170" s="321" t="s">
        <v>1649</v>
      </c>
      <c r="AM170" s="321" t="s">
        <v>1649</v>
      </c>
      <c r="AN170" s="321" t="s">
        <v>1649</v>
      </c>
      <c r="AO170" s="321" t="s">
        <v>1649</v>
      </c>
      <c r="AP170" s="321" t="s">
        <v>1649</v>
      </c>
      <c r="AQ170" s="321" t="s">
        <v>1649</v>
      </c>
      <c r="AR170" s="321" t="s">
        <v>1649</v>
      </c>
      <c r="AS170" s="321" t="s">
        <v>1649</v>
      </c>
      <c r="AT170" s="321" t="s">
        <v>1649</v>
      </c>
      <c r="AU170" s="301" t="s">
        <v>1613</v>
      </c>
    </row>
    <row r="171" spans="1:47" ht="13.5" thickBot="1" x14ac:dyDescent="0.25">
      <c r="A171" s="48" t="s">
        <v>250</v>
      </c>
      <c r="B171" s="291" t="s">
        <v>249</v>
      </c>
      <c r="C171" s="298" t="s">
        <v>25</v>
      </c>
      <c r="D171" s="299" t="s">
        <v>1613</v>
      </c>
      <c r="E171" s="299" t="s">
        <v>1613</v>
      </c>
      <c r="F171" s="299" t="s">
        <v>1613</v>
      </c>
      <c r="G171" s="299" t="s">
        <v>1613</v>
      </c>
      <c r="H171" s="299" t="s">
        <v>1613</v>
      </c>
      <c r="I171" s="299" t="s">
        <v>1613</v>
      </c>
      <c r="J171" s="299" t="s">
        <v>1613</v>
      </c>
      <c r="K171" s="299" t="s">
        <v>1613</v>
      </c>
      <c r="L171" s="299" t="s">
        <v>1613</v>
      </c>
      <c r="M171" s="299" t="s">
        <v>1613</v>
      </c>
      <c r="N171" s="299" t="s">
        <v>1613</v>
      </c>
      <c r="O171" s="299" t="s">
        <v>1613</v>
      </c>
      <c r="P171" s="302">
        <v>32</v>
      </c>
      <c r="Q171" s="303">
        <v>32000</v>
      </c>
      <c r="R171" s="303">
        <v>33660</v>
      </c>
      <c r="S171" s="302">
        <v>22</v>
      </c>
      <c r="T171" s="303">
        <v>13728</v>
      </c>
      <c r="U171" s="303">
        <v>13728</v>
      </c>
      <c r="V171" s="321" t="s">
        <v>1648</v>
      </c>
      <c r="W171" s="321" t="s">
        <v>1648</v>
      </c>
      <c r="X171" s="321" t="s">
        <v>1648</v>
      </c>
      <c r="Y171" s="321" t="s">
        <v>1648</v>
      </c>
      <c r="Z171" s="321" t="s">
        <v>1648</v>
      </c>
      <c r="AA171" s="321" t="s">
        <v>1648</v>
      </c>
      <c r="AB171" s="321" t="s">
        <v>1648</v>
      </c>
      <c r="AC171" s="321" t="s">
        <v>1648</v>
      </c>
      <c r="AD171" s="321" t="s">
        <v>1649</v>
      </c>
      <c r="AE171" s="321" t="s">
        <v>1649</v>
      </c>
      <c r="AF171" s="321" t="s">
        <v>1648</v>
      </c>
      <c r="AG171" s="321" t="s">
        <v>1648</v>
      </c>
      <c r="AH171" s="300" t="s">
        <v>1613</v>
      </c>
      <c r="AI171" s="321" t="s">
        <v>1649</v>
      </c>
      <c r="AJ171" s="321" t="s">
        <v>1649</v>
      </c>
      <c r="AK171" s="321" t="s">
        <v>1649</v>
      </c>
      <c r="AL171" s="321" t="s">
        <v>1649</v>
      </c>
      <c r="AM171" s="321" t="s">
        <v>1649</v>
      </c>
      <c r="AN171" s="321" t="s">
        <v>1649</v>
      </c>
      <c r="AO171" s="321" t="s">
        <v>1649</v>
      </c>
      <c r="AP171" s="321" t="s">
        <v>1649</v>
      </c>
      <c r="AQ171" s="321" t="s">
        <v>1649</v>
      </c>
      <c r="AR171" s="321" t="s">
        <v>1649</v>
      </c>
      <c r="AS171" s="321" t="s">
        <v>1649</v>
      </c>
      <c r="AT171" s="321" t="s">
        <v>1649</v>
      </c>
      <c r="AU171" s="301" t="s">
        <v>1613</v>
      </c>
    </row>
    <row r="172" spans="1:47" ht="13.5" thickBot="1" x14ac:dyDescent="0.25">
      <c r="A172" s="48" t="s">
        <v>262</v>
      </c>
      <c r="B172" s="291" t="s">
        <v>261</v>
      </c>
      <c r="C172" s="298" t="s">
        <v>25</v>
      </c>
      <c r="D172" s="304"/>
      <c r="E172" s="305"/>
      <c r="F172" s="305"/>
      <c r="G172" s="304"/>
      <c r="H172" s="305"/>
      <c r="I172" s="305"/>
      <c r="J172" s="302">
        <v>8</v>
      </c>
      <c r="K172" s="303">
        <v>6500</v>
      </c>
      <c r="L172" s="303">
        <v>6500</v>
      </c>
      <c r="M172" s="304"/>
      <c r="N172" s="305"/>
      <c r="O172" s="305"/>
      <c r="P172" s="302">
        <v>15</v>
      </c>
      <c r="Q172" s="303">
        <v>7500</v>
      </c>
      <c r="R172" s="303">
        <v>8500</v>
      </c>
      <c r="S172" s="302">
        <v>15</v>
      </c>
      <c r="T172" s="303">
        <v>7500</v>
      </c>
      <c r="U172" s="303">
        <v>8500</v>
      </c>
      <c r="V172" s="321" t="s">
        <v>1649</v>
      </c>
      <c r="W172" s="321" t="s">
        <v>1649</v>
      </c>
      <c r="X172" s="321" t="s">
        <v>1649</v>
      </c>
      <c r="Y172" s="321" t="s">
        <v>1648</v>
      </c>
      <c r="Z172" s="321" t="s">
        <v>1649</v>
      </c>
      <c r="AA172" s="321" t="s">
        <v>1649</v>
      </c>
      <c r="AB172" s="321" t="s">
        <v>1648</v>
      </c>
      <c r="AC172" s="321" t="s">
        <v>1649</v>
      </c>
      <c r="AD172" s="321" t="s">
        <v>1649</v>
      </c>
      <c r="AE172" s="321" t="s">
        <v>1649</v>
      </c>
      <c r="AF172" s="321" t="s">
        <v>1649</v>
      </c>
      <c r="AG172" s="321" t="s">
        <v>1649</v>
      </c>
      <c r="AH172" s="300" t="s">
        <v>1613</v>
      </c>
      <c r="AI172" s="321" t="s">
        <v>1649</v>
      </c>
      <c r="AJ172" s="321" t="s">
        <v>1649</v>
      </c>
      <c r="AK172" s="321" t="s">
        <v>1649</v>
      </c>
      <c r="AL172" s="321" t="s">
        <v>1649</v>
      </c>
      <c r="AM172" s="321" t="s">
        <v>1649</v>
      </c>
      <c r="AN172" s="321" t="s">
        <v>1649</v>
      </c>
      <c r="AO172" s="321" t="s">
        <v>1649</v>
      </c>
      <c r="AP172" s="321" t="s">
        <v>1649</v>
      </c>
      <c r="AQ172" s="321" t="s">
        <v>1649</v>
      </c>
      <c r="AR172" s="321" t="s">
        <v>1649</v>
      </c>
      <c r="AS172" s="321" t="s">
        <v>1649</v>
      </c>
      <c r="AT172" s="321" t="s">
        <v>1649</v>
      </c>
      <c r="AU172" s="301" t="s">
        <v>1613</v>
      </c>
    </row>
    <row r="173" spans="1:47" ht="13.5" thickBot="1" x14ac:dyDescent="0.25">
      <c r="A173" s="48" t="s">
        <v>284</v>
      </c>
      <c r="B173" s="291" t="s">
        <v>283</v>
      </c>
      <c r="C173" s="298" t="s">
        <v>25</v>
      </c>
      <c r="D173" s="302">
        <v>30</v>
      </c>
      <c r="E173" s="303">
        <v>24000</v>
      </c>
      <c r="F173" s="303">
        <v>27000</v>
      </c>
      <c r="G173" s="302">
        <v>40</v>
      </c>
      <c r="H173" s="303">
        <v>36000</v>
      </c>
      <c r="I173" s="303">
        <v>39000</v>
      </c>
      <c r="J173" s="302">
        <v>28</v>
      </c>
      <c r="K173" s="303">
        <v>18300</v>
      </c>
      <c r="L173" s="303">
        <v>20300</v>
      </c>
      <c r="M173" s="302">
        <v>15</v>
      </c>
      <c r="N173" s="303">
        <v>8500</v>
      </c>
      <c r="O173" s="303">
        <v>12000</v>
      </c>
      <c r="P173" s="299" t="s">
        <v>1613</v>
      </c>
      <c r="Q173" s="299" t="s">
        <v>1613</v>
      </c>
      <c r="R173" s="299" t="s">
        <v>1613</v>
      </c>
      <c r="S173" s="302">
        <v>15</v>
      </c>
      <c r="T173" s="303">
        <v>7100</v>
      </c>
      <c r="U173" s="303">
        <v>8000</v>
      </c>
      <c r="V173" s="321" t="s">
        <v>1649</v>
      </c>
      <c r="W173" s="321" t="s">
        <v>1649</v>
      </c>
      <c r="X173" s="321" t="s">
        <v>1649</v>
      </c>
      <c r="Y173" s="321" t="s">
        <v>1649</v>
      </c>
      <c r="Z173" s="321" t="s">
        <v>1649</v>
      </c>
      <c r="AA173" s="321" t="s">
        <v>1648</v>
      </c>
      <c r="AB173" s="321" t="s">
        <v>1648</v>
      </c>
      <c r="AC173" s="321" t="s">
        <v>1648</v>
      </c>
      <c r="AD173" s="321" t="s">
        <v>1648</v>
      </c>
      <c r="AE173" s="321" t="s">
        <v>1649</v>
      </c>
      <c r="AF173" s="321" t="s">
        <v>1648</v>
      </c>
      <c r="AG173" s="321" t="s">
        <v>1649</v>
      </c>
      <c r="AH173" s="300" t="s">
        <v>1613</v>
      </c>
      <c r="AI173" s="321" t="s">
        <v>1649</v>
      </c>
      <c r="AJ173" s="321" t="s">
        <v>1649</v>
      </c>
      <c r="AK173" s="321" t="s">
        <v>1649</v>
      </c>
      <c r="AL173" s="321" t="s">
        <v>1649</v>
      </c>
      <c r="AM173" s="321" t="s">
        <v>1649</v>
      </c>
      <c r="AN173" s="321" t="s">
        <v>1649</v>
      </c>
      <c r="AO173" s="321" t="s">
        <v>1649</v>
      </c>
      <c r="AP173" s="321" t="s">
        <v>1649</v>
      </c>
      <c r="AQ173" s="321" t="s">
        <v>1649</v>
      </c>
      <c r="AR173" s="321" t="s">
        <v>1649</v>
      </c>
      <c r="AS173" s="321" t="s">
        <v>1649</v>
      </c>
      <c r="AT173" s="321" t="s">
        <v>1649</v>
      </c>
      <c r="AU173" s="301" t="s">
        <v>1613</v>
      </c>
    </row>
    <row r="174" spans="1:47" ht="13.5" thickBot="1" x14ac:dyDescent="0.25">
      <c r="A174" s="48" t="s">
        <v>296</v>
      </c>
      <c r="B174" s="291" t="s">
        <v>295</v>
      </c>
      <c r="C174" s="298" t="s">
        <v>25</v>
      </c>
      <c r="D174" s="299" t="s">
        <v>1613</v>
      </c>
      <c r="E174" s="299" t="s">
        <v>1613</v>
      </c>
      <c r="F174" s="299" t="s">
        <v>1613</v>
      </c>
      <c r="G174" s="302">
        <v>18</v>
      </c>
      <c r="H174" s="303">
        <v>7488</v>
      </c>
      <c r="I174" s="303">
        <v>22464</v>
      </c>
      <c r="J174" s="304"/>
      <c r="K174" s="305"/>
      <c r="L174" s="305"/>
      <c r="M174" s="304"/>
      <c r="N174" s="305"/>
      <c r="O174" s="305"/>
      <c r="P174" s="299" t="s">
        <v>1613</v>
      </c>
      <c r="Q174" s="299" t="s">
        <v>1613</v>
      </c>
      <c r="R174" s="299" t="s">
        <v>1613</v>
      </c>
      <c r="S174" s="302">
        <v>12</v>
      </c>
      <c r="T174" s="303">
        <v>5200</v>
      </c>
      <c r="U174" s="303">
        <v>16640</v>
      </c>
      <c r="V174" s="321" t="s">
        <v>1649</v>
      </c>
      <c r="W174" s="321" t="s">
        <v>1649</v>
      </c>
      <c r="X174" s="321" t="s">
        <v>1649</v>
      </c>
      <c r="Y174" s="321" t="s">
        <v>1649</v>
      </c>
      <c r="Z174" s="321" t="s">
        <v>1649</v>
      </c>
      <c r="AA174" s="321" t="s">
        <v>1649</v>
      </c>
      <c r="AB174" s="321" t="s">
        <v>1649</v>
      </c>
      <c r="AC174" s="321" t="s">
        <v>1649</v>
      </c>
      <c r="AD174" s="321" t="s">
        <v>1649</v>
      </c>
      <c r="AE174" s="321" t="s">
        <v>1649</v>
      </c>
      <c r="AF174" s="321" t="s">
        <v>1649</v>
      </c>
      <c r="AG174" s="321" t="s">
        <v>1649</v>
      </c>
      <c r="AH174" s="300" t="s">
        <v>1613</v>
      </c>
      <c r="AI174" s="321" t="s">
        <v>1649</v>
      </c>
      <c r="AJ174" s="321" t="s">
        <v>1649</v>
      </c>
      <c r="AK174" s="321" t="s">
        <v>1649</v>
      </c>
      <c r="AL174" s="321" t="s">
        <v>1649</v>
      </c>
      <c r="AM174" s="321" t="s">
        <v>1649</v>
      </c>
      <c r="AN174" s="321" t="s">
        <v>1649</v>
      </c>
      <c r="AO174" s="321" t="s">
        <v>1648</v>
      </c>
      <c r="AP174" s="321" t="s">
        <v>1648</v>
      </c>
      <c r="AQ174" s="321" t="s">
        <v>1649</v>
      </c>
      <c r="AR174" s="321" t="s">
        <v>1649</v>
      </c>
      <c r="AS174" s="321" t="s">
        <v>1649</v>
      </c>
      <c r="AT174" s="321" t="s">
        <v>1649</v>
      </c>
      <c r="AU174" s="301" t="s">
        <v>1613</v>
      </c>
    </row>
    <row r="175" spans="1:47" ht="13.5" thickBot="1" x14ac:dyDescent="0.25">
      <c r="A175" s="48" t="s">
        <v>302</v>
      </c>
      <c r="B175" s="291" t="s">
        <v>301</v>
      </c>
      <c r="C175" s="298" t="s">
        <v>25</v>
      </c>
      <c r="D175" s="299" t="s">
        <v>1613</v>
      </c>
      <c r="E175" s="299" t="s">
        <v>1613</v>
      </c>
      <c r="F175" s="299" t="s">
        <v>1613</v>
      </c>
      <c r="G175" s="302">
        <v>28</v>
      </c>
      <c r="H175" s="303">
        <v>23180</v>
      </c>
      <c r="I175" s="303">
        <v>25451</v>
      </c>
      <c r="J175" s="299" t="s">
        <v>1613</v>
      </c>
      <c r="K175" s="299" t="s">
        <v>1613</v>
      </c>
      <c r="L175" s="299" t="s">
        <v>1613</v>
      </c>
      <c r="M175" s="302">
        <v>23</v>
      </c>
      <c r="N175" s="303">
        <v>17617</v>
      </c>
      <c r="O175" s="303">
        <v>18371</v>
      </c>
      <c r="P175" s="299" t="s">
        <v>1613</v>
      </c>
      <c r="Q175" s="299" t="s">
        <v>1613</v>
      </c>
      <c r="R175" s="299" t="s">
        <v>1613</v>
      </c>
      <c r="S175" s="302">
        <v>13</v>
      </c>
      <c r="T175" s="303">
        <v>9153</v>
      </c>
      <c r="U175" s="303">
        <v>10045</v>
      </c>
      <c r="V175" s="321" t="s">
        <v>1648</v>
      </c>
      <c r="W175" s="321" t="s">
        <v>1648</v>
      </c>
      <c r="X175" s="321" t="s">
        <v>1648</v>
      </c>
      <c r="Y175" s="321" t="s">
        <v>1648</v>
      </c>
      <c r="Z175" s="321" t="s">
        <v>1648</v>
      </c>
      <c r="AA175" s="321" t="s">
        <v>1648</v>
      </c>
      <c r="AB175" s="321" t="s">
        <v>1648</v>
      </c>
      <c r="AC175" s="321" t="s">
        <v>1648</v>
      </c>
      <c r="AD175" s="321" t="s">
        <v>1648</v>
      </c>
      <c r="AE175" s="321" t="s">
        <v>1648</v>
      </c>
      <c r="AF175" s="321" t="s">
        <v>1648</v>
      </c>
      <c r="AG175" s="321" t="s">
        <v>1649</v>
      </c>
      <c r="AH175" s="300" t="s">
        <v>1613</v>
      </c>
      <c r="AI175" s="321" t="s">
        <v>1649</v>
      </c>
      <c r="AJ175" s="321" t="s">
        <v>1649</v>
      </c>
      <c r="AK175" s="321" t="s">
        <v>1649</v>
      </c>
      <c r="AL175" s="321" t="s">
        <v>1649</v>
      </c>
      <c r="AM175" s="321" t="s">
        <v>1649</v>
      </c>
      <c r="AN175" s="321" t="s">
        <v>1648</v>
      </c>
      <c r="AO175" s="321" t="s">
        <v>1649</v>
      </c>
      <c r="AP175" s="321" t="s">
        <v>1649</v>
      </c>
      <c r="AQ175" s="321" t="s">
        <v>1649</v>
      </c>
      <c r="AR175" s="321" t="s">
        <v>1649</v>
      </c>
      <c r="AS175" s="321" t="s">
        <v>1649</v>
      </c>
      <c r="AT175" s="321" t="s">
        <v>1649</v>
      </c>
      <c r="AU175" s="301" t="s">
        <v>1613</v>
      </c>
    </row>
    <row r="176" spans="1:47" ht="13.5" thickBot="1" x14ac:dyDescent="0.25">
      <c r="A176" s="48" t="s">
        <v>310</v>
      </c>
      <c r="B176" s="291" t="s">
        <v>309</v>
      </c>
      <c r="C176" s="298" t="s">
        <v>25</v>
      </c>
      <c r="D176" s="299" t="s">
        <v>1613</v>
      </c>
      <c r="E176" s="299" t="s">
        <v>1613</v>
      </c>
      <c r="F176" s="299" t="s">
        <v>1613</v>
      </c>
      <c r="G176" s="299" t="s">
        <v>1613</v>
      </c>
      <c r="H176" s="299" t="s">
        <v>1613</v>
      </c>
      <c r="I176" s="299" t="s">
        <v>1613</v>
      </c>
      <c r="J176" s="299" t="s">
        <v>1613</v>
      </c>
      <c r="K176" s="299" t="s">
        <v>1613</v>
      </c>
      <c r="L176" s="299" t="s">
        <v>1613</v>
      </c>
      <c r="M176" s="299" t="s">
        <v>1613</v>
      </c>
      <c r="N176" s="299" t="s">
        <v>1613</v>
      </c>
      <c r="O176" s="299" t="s">
        <v>1613</v>
      </c>
      <c r="P176" s="299" t="s">
        <v>1613</v>
      </c>
      <c r="Q176" s="299" t="s">
        <v>1613</v>
      </c>
      <c r="R176" s="299" t="s">
        <v>1613</v>
      </c>
      <c r="S176" s="302">
        <v>40</v>
      </c>
      <c r="T176" s="303">
        <v>30100</v>
      </c>
      <c r="U176" s="303">
        <v>45600</v>
      </c>
      <c r="V176" s="321" t="s">
        <v>1648</v>
      </c>
      <c r="W176" s="321" t="s">
        <v>1648</v>
      </c>
      <c r="X176" s="321" t="s">
        <v>1648</v>
      </c>
      <c r="Y176" s="321" t="s">
        <v>1648</v>
      </c>
      <c r="Z176" s="321" t="s">
        <v>1648</v>
      </c>
      <c r="AA176" s="321" t="s">
        <v>1648</v>
      </c>
      <c r="AB176" s="321" t="s">
        <v>1648</v>
      </c>
      <c r="AC176" s="321" t="s">
        <v>1648</v>
      </c>
      <c r="AD176" s="321" t="s">
        <v>1648</v>
      </c>
      <c r="AE176" s="321" t="s">
        <v>1648</v>
      </c>
      <c r="AF176" s="321" t="s">
        <v>1648</v>
      </c>
      <c r="AG176" s="321" t="s">
        <v>1648</v>
      </c>
      <c r="AH176" s="300" t="s">
        <v>1613</v>
      </c>
      <c r="AI176" s="321" t="s">
        <v>1649</v>
      </c>
      <c r="AJ176" s="321" t="s">
        <v>1649</v>
      </c>
      <c r="AK176" s="321" t="s">
        <v>1649</v>
      </c>
      <c r="AL176" s="321" t="s">
        <v>1648</v>
      </c>
      <c r="AM176" s="321" t="s">
        <v>1649</v>
      </c>
      <c r="AN176" s="321" t="s">
        <v>1649</v>
      </c>
      <c r="AO176" s="321" t="s">
        <v>1649</v>
      </c>
      <c r="AP176" s="321" t="s">
        <v>1649</v>
      </c>
      <c r="AQ176" s="321" t="s">
        <v>1649</v>
      </c>
      <c r="AR176" s="321" t="s">
        <v>1649</v>
      </c>
      <c r="AS176" s="321" t="s">
        <v>1649</v>
      </c>
      <c r="AT176" s="321" t="s">
        <v>1649</v>
      </c>
      <c r="AU176" s="301" t="s">
        <v>1613</v>
      </c>
    </row>
    <row r="177" spans="1:47" ht="13.5" thickBot="1" x14ac:dyDescent="0.25">
      <c r="A177" s="48" t="s">
        <v>324</v>
      </c>
      <c r="B177" s="291" t="s">
        <v>323</v>
      </c>
      <c r="C177" s="298" t="s">
        <v>25</v>
      </c>
      <c r="D177" s="302">
        <v>32</v>
      </c>
      <c r="E177" s="303">
        <v>15600</v>
      </c>
      <c r="F177" s="303">
        <v>27300</v>
      </c>
      <c r="G177" s="302">
        <v>35</v>
      </c>
      <c r="H177" s="303">
        <v>17680</v>
      </c>
      <c r="I177" s="303">
        <v>23205</v>
      </c>
      <c r="J177" s="299" t="s">
        <v>1613</v>
      </c>
      <c r="K177" s="299" t="s">
        <v>1613</v>
      </c>
      <c r="L177" s="299" t="s">
        <v>1613</v>
      </c>
      <c r="M177" s="299" t="s">
        <v>1613</v>
      </c>
      <c r="N177" s="299" t="s">
        <v>1613</v>
      </c>
      <c r="O177" s="299" t="s">
        <v>1613</v>
      </c>
      <c r="P177" s="299" t="s">
        <v>1613</v>
      </c>
      <c r="Q177" s="299" t="s">
        <v>1613</v>
      </c>
      <c r="R177" s="299" t="s">
        <v>1613</v>
      </c>
      <c r="S177" s="302">
        <v>27</v>
      </c>
      <c r="T177" s="303">
        <v>14040</v>
      </c>
      <c r="U177" s="303">
        <v>21632</v>
      </c>
      <c r="V177" s="321" t="s">
        <v>1649</v>
      </c>
      <c r="W177" s="321" t="s">
        <v>1649</v>
      </c>
      <c r="X177" s="321" t="s">
        <v>1649</v>
      </c>
      <c r="Y177" s="321" t="s">
        <v>1649</v>
      </c>
      <c r="Z177" s="321" t="s">
        <v>1649</v>
      </c>
      <c r="AA177" s="321" t="s">
        <v>1648</v>
      </c>
      <c r="AB177" s="321" t="s">
        <v>1648</v>
      </c>
      <c r="AC177" s="321" t="s">
        <v>1648</v>
      </c>
      <c r="AD177" s="321" t="s">
        <v>1649</v>
      </c>
      <c r="AE177" s="321" t="s">
        <v>1649</v>
      </c>
      <c r="AF177" s="321" t="s">
        <v>1649</v>
      </c>
      <c r="AG177" s="321" t="s">
        <v>1649</v>
      </c>
      <c r="AH177" s="300" t="s">
        <v>1613</v>
      </c>
      <c r="AI177" s="321" t="s">
        <v>1649</v>
      </c>
      <c r="AJ177" s="321" t="s">
        <v>1649</v>
      </c>
      <c r="AK177" s="321" t="s">
        <v>1649</v>
      </c>
      <c r="AL177" s="321" t="s">
        <v>1649</v>
      </c>
      <c r="AM177" s="321" t="s">
        <v>1649</v>
      </c>
      <c r="AN177" s="321" t="s">
        <v>1648</v>
      </c>
      <c r="AO177" s="321" t="s">
        <v>1648</v>
      </c>
      <c r="AP177" s="321" t="s">
        <v>1648</v>
      </c>
      <c r="AQ177" s="321" t="s">
        <v>1649</v>
      </c>
      <c r="AR177" s="321" t="s">
        <v>1649</v>
      </c>
      <c r="AS177" s="321" t="s">
        <v>1649</v>
      </c>
      <c r="AT177" s="321" t="s">
        <v>1649</v>
      </c>
      <c r="AU177" s="301" t="s">
        <v>1613</v>
      </c>
    </row>
    <row r="178" spans="1:47" ht="13.5" thickBot="1" x14ac:dyDescent="0.25">
      <c r="A178" s="48" t="s">
        <v>342</v>
      </c>
      <c r="B178" s="291" t="s">
        <v>341</v>
      </c>
      <c r="C178" s="298" t="s">
        <v>25</v>
      </c>
      <c r="D178" s="302">
        <v>25</v>
      </c>
      <c r="E178" s="303">
        <v>20000</v>
      </c>
      <c r="F178" s="303">
        <v>32000</v>
      </c>
      <c r="G178" s="299" t="s">
        <v>1613</v>
      </c>
      <c r="H178" s="299" t="s">
        <v>1613</v>
      </c>
      <c r="I178" s="299" t="s">
        <v>1613</v>
      </c>
      <c r="J178" s="302">
        <v>26</v>
      </c>
      <c r="K178" s="303">
        <v>15000</v>
      </c>
      <c r="L178" s="303">
        <v>20000</v>
      </c>
      <c r="M178" s="302">
        <v>20</v>
      </c>
      <c r="N178" s="303">
        <v>11000</v>
      </c>
      <c r="O178" s="303">
        <v>16000</v>
      </c>
      <c r="P178" s="299" t="s">
        <v>1613</v>
      </c>
      <c r="Q178" s="299" t="s">
        <v>1613</v>
      </c>
      <c r="R178" s="299" t="s">
        <v>1613</v>
      </c>
      <c r="S178" s="299" t="s">
        <v>1613</v>
      </c>
      <c r="T178" s="299" t="s">
        <v>1613</v>
      </c>
      <c r="U178" s="299" t="s">
        <v>1613</v>
      </c>
      <c r="V178" s="321" t="s">
        <v>1649</v>
      </c>
      <c r="W178" s="321" t="s">
        <v>1649</v>
      </c>
      <c r="X178" s="321" t="s">
        <v>1649</v>
      </c>
      <c r="Y178" s="321" t="s">
        <v>1649</v>
      </c>
      <c r="Z178" s="321" t="s">
        <v>1649</v>
      </c>
      <c r="AA178" s="321" t="s">
        <v>1648</v>
      </c>
      <c r="AB178" s="321" t="s">
        <v>1648</v>
      </c>
      <c r="AC178" s="321" t="s">
        <v>1648</v>
      </c>
      <c r="AD178" s="321" t="s">
        <v>1648</v>
      </c>
      <c r="AE178" s="321" t="s">
        <v>1649</v>
      </c>
      <c r="AF178" s="321" t="s">
        <v>1648</v>
      </c>
      <c r="AG178" s="321" t="s">
        <v>1648</v>
      </c>
      <c r="AH178" s="300" t="s">
        <v>1613</v>
      </c>
      <c r="AI178" s="321" t="s">
        <v>1649</v>
      </c>
      <c r="AJ178" s="321" t="s">
        <v>1649</v>
      </c>
      <c r="AK178" s="321" t="s">
        <v>1649</v>
      </c>
      <c r="AL178" s="321" t="s">
        <v>1649</v>
      </c>
      <c r="AM178" s="321" t="s">
        <v>1649</v>
      </c>
      <c r="AN178" s="321" t="s">
        <v>1648</v>
      </c>
      <c r="AO178" s="321" t="s">
        <v>1648</v>
      </c>
      <c r="AP178" s="321" t="s">
        <v>1648</v>
      </c>
      <c r="AQ178" s="321" t="s">
        <v>1648</v>
      </c>
      <c r="AR178" s="321" t="s">
        <v>1649</v>
      </c>
      <c r="AS178" s="321" t="s">
        <v>1648</v>
      </c>
      <c r="AT178" s="321" t="s">
        <v>1648</v>
      </c>
      <c r="AU178" s="301" t="s">
        <v>1613</v>
      </c>
    </row>
    <row r="179" spans="1:47" ht="13.5" thickBot="1" x14ac:dyDescent="0.25">
      <c r="A179" s="48" t="s">
        <v>350</v>
      </c>
      <c r="B179" s="291" t="s">
        <v>349</v>
      </c>
      <c r="C179" s="298" t="s">
        <v>25</v>
      </c>
      <c r="D179" s="299" t="s">
        <v>1613</v>
      </c>
      <c r="E179" s="299" t="s">
        <v>1613</v>
      </c>
      <c r="F179" s="299" t="s">
        <v>1613</v>
      </c>
      <c r="G179" s="302">
        <v>40</v>
      </c>
      <c r="H179" s="303">
        <v>35000</v>
      </c>
      <c r="I179" s="303">
        <v>40000</v>
      </c>
      <c r="J179" s="299" t="s">
        <v>1613</v>
      </c>
      <c r="K179" s="299" t="s">
        <v>1613</v>
      </c>
      <c r="L179" s="299" t="s">
        <v>1613</v>
      </c>
      <c r="M179" s="299" t="s">
        <v>1613</v>
      </c>
      <c r="N179" s="299" t="s">
        <v>1613</v>
      </c>
      <c r="O179" s="299" t="s">
        <v>1613</v>
      </c>
      <c r="P179" s="299" t="s">
        <v>1613</v>
      </c>
      <c r="Q179" s="299" t="s">
        <v>1613</v>
      </c>
      <c r="R179" s="299" t="s">
        <v>1613</v>
      </c>
      <c r="S179" s="302">
        <v>28</v>
      </c>
      <c r="T179" s="303">
        <v>20384</v>
      </c>
      <c r="U179" s="303">
        <v>26208</v>
      </c>
      <c r="V179" s="321" t="s">
        <v>1648</v>
      </c>
      <c r="W179" s="321" t="s">
        <v>1648</v>
      </c>
      <c r="X179" s="321" t="s">
        <v>1648</v>
      </c>
      <c r="Y179" s="321" t="s">
        <v>1648</v>
      </c>
      <c r="Z179" s="321" t="s">
        <v>1648</v>
      </c>
      <c r="AA179" s="321" t="s">
        <v>1648</v>
      </c>
      <c r="AB179" s="321" t="s">
        <v>1648</v>
      </c>
      <c r="AC179" s="321" t="s">
        <v>1648</v>
      </c>
      <c r="AD179" s="321" t="s">
        <v>1649</v>
      </c>
      <c r="AE179" s="321" t="s">
        <v>1648</v>
      </c>
      <c r="AF179" s="321" t="s">
        <v>1648</v>
      </c>
      <c r="AG179" s="321" t="s">
        <v>1649</v>
      </c>
      <c r="AH179" s="300" t="s">
        <v>1613</v>
      </c>
      <c r="AI179" s="321" t="s">
        <v>1649</v>
      </c>
      <c r="AJ179" s="321" t="s">
        <v>1649</v>
      </c>
      <c r="AK179" s="321" t="s">
        <v>1649</v>
      </c>
      <c r="AL179" s="321" t="s">
        <v>1649</v>
      </c>
      <c r="AM179" s="321" t="s">
        <v>1649</v>
      </c>
      <c r="AN179" s="321" t="s">
        <v>1648</v>
      </c>
      <c r="AO179" s="321" t="s">
        <v>1648</v>
      </c>
      <c r="AP179" s="321" t="s">
        <v>1648</v>
      </c>
      <c r="AQ179" s="321" t="s">
        <v>1649</v>
      </c>
      <c r="AR179" s="321" t="s">
        <v>1649</v>
      </c>
      <c r="AS179" s="321" t="s">
        <v>1648</v>
      </c>
      <c r="AT179" s="321" t="s">
        <v>1649</v>
      </c>
      <c r="AU179" s="301" t="s">
        <v>1613</v>
      </c>
    </row>
    <row r="180" spans="1:47" ht="13.5" thickBot="1" x14ac:dyDescent="0.25">
      <c r="A180" s="48" t="s">
        <v>358</v>
      </c>
      <c r="B180" s="291" t="s">
        <v>357</v>
      </c>
      <c r="C180" s="298" t="s">
        <v>25</v>
      </c>
      <c r="D180" s="304"/>
      <c r="E180" s="305"/>
      <c r="F180" s="305"/>
      <c r="G180" s="304"/>
      <c r="H180" s="305"/>
      <c r="I180" s="305"/>
      <c r="J180" s="299" t="s">
        <v>1613</v>
      </c>
      <c r="K180" s="299" t="s">
        <v>1613</v>
      </c>
      <c r="L180" s="299" t="s">
        <v>1613</v>
      </c>
      <c r="M180" s="299" t="s">
        <v>1613</v>
      </c>
      <c r="N180" s="299" t="s">
        <v>1613</v>
      </c>
      <c r="O180" s="299" t="s">
        <v>1613</v>
      </c>
      <c r="P180" s="299" t="s">
        <v>1613</v>
      </c>
      <c r="Q180" s="299" t="s">
        <v>1613</v>
      </c>
      <c r="R180" s="299" t="s">
        <v>1613</v>
      </c>
      <c r="S180" s="302">
        <v>29</v>
      </c>
      <c r="T180" s="303">
        <v>16588</v>
      </c>
      <c r="U180" s="303">
        <v>18096</v>
      </c>
      <c r="V180" s="321" t="s">
        <v>1648</v>
      </c>
      <c r="W180" s="321" t="s">
        <v>1648</v>
      </c>
      <c r="X180" s="321" t="s">
        <v>1648</v>
      </c>
      <c r="Y180" s="321" t="s">
        <v>1648</v>
      </c>
      <c r="Z180" s="321" t="s">
        <v>1648</v>
      </c>
      <c r="AA180" s="321" t="s">
        <v>1648</v>
      </c>
      <c r="AB180" s="321" t="s">
        <v>1648</v>
      </c>
      <c r="AC180" s="321" t="s">
        <v>1648</v>
      </c>
      <c r="AD180" s="321" t="s">
        <v>1649</v>
      </c>
      <c r="AE180" s="321" t="s">
        <v>1649</v>
      </c>
      <c r="AF180" s="321" t="s">
        <v>1648</v>
      </c>
      <c r="AG180" s="321" t="s">
        <v>1649</v>
      </c>
      <c r="AH180" s="300" t="s">
        <v>1613</v>
      </c>
      <c r="AI180" s="321" t="s">
        <v>1649</v>
      </c>
      <c r="AJ180" s="321" t="s">
        <v>1649</v>
      </c>
      <c r="AK180" s="321" t="s">
        <v>1649</v>
      </c>
      <c r="AL180" s="321" t="s">
        <v>1649</v>
      </c>
      <c r="AM180" s="321" t="s">
        <v>1649</v>
      </c>
      <c r="AN180" s="321" t="s">
        <v>1648</v>
      </c>
      <c r="AO180" s="321" t="s">
        <v>1649</v>
      </c>
      <c r="AP180" s="321" t="s">
        <v>1649</v>
      </c>
      <c r="AQ180" s="321" t="s">
        <v>1649</v>
      </c>
      <c r="AR180" s="321" t="s">
        <v>1649</v>
      </c>
      <c r="AS180" s="321" t="s">
        <v>1649</v>
      </c>
      <c r="AT180" s="321" t="s">
        <v>1649</v>
      </c>
      <c r="AU180" s="301"/>
    </row>
    <row r="181" spans="1:47" ht="13.5" thickBot="1" x14ac:dyDescent="0.25">
      <c r="A181" s="48" t="s">
        <v>378</v>
      </c>
      <c r="B181" s="291" t="s">
        <v>377</v>
      </c>
      <c r="C181" s="298" t="s">
        <v>25</v>
      </c>
      <c r="D181" s="299" t="s">
        <v>1613</v>
      </c>
      <c r="E181" s="299" t="s">
        <v>1613</v>
      </c>
      <c r="F181" s="299" t="s">
        <v>1613</v>
      </c>
      <c r="G181" s="299" t="s">
        <v>1613</v>
      </c>
      <c r="H181" s="299" t="s">
        <v>1613</v>
      </c>
      <c r="I181" s="299" t="s">
        <v>1613</v>
      </c>
      <c r="J181" s="299" t="s">
        <v>1613</v>
      </c>
      <c r="K181" s="299" t="s">
        <v>1613</v>
      </c>
      <c r="L181" s="299" t="s">
        <v>1613</v>
      </c>
      <c r="M181" s="299" t="s">
        <v>1613</v>
      </c>
      <c r="N181" s="299" t="s">
        <v>1613</v>
      </c>
      <c r="O181" s="299" t="s">
        <v>1613</v>
      </c>
      <c r="P181" s="302">
        <v>22</v>
      </c>
      <c r="Q181" s="303">
        <v>13407</v>
      </c>
      <c r="R181" s="303">
        <v>15339</v>
      </c>
      <c r="S181" s="302">
        <v>24</v>
      </c>
      <c r="T181" s="303">
        <v>13275</v>
      </c>
      <c r="U181" s="303">
        <v>16340</v>
      </c>
      <c r="V181" s="321" t="s">
        <v>1648</v>
      </c>
      <c r="W181" s="321" t="s">
        <v>1648</v>
      </c>
      <c r="X181" s="321" t="s">
        <v>1648</v>
      </c>
      <c r="Y181" s="321" t="s">
        <v>1649</v>
      </c>
      <c r="Z181" s="321" t="s">
        <v>1648</v>
      </c>
      <c r="AA181" s="321" t="s">
        <v>1648</v>
      </c>
      <c r="AB181" s="321" t="s">
        <v>1648</v>
      </c>
      <c r="AC181" s="321" t="s">
        <v>1648</v>
      </c>
      <c r="AD181" s="321" t="s">
        <v>1649</v>
      </c>
      <c r="AE181" s="321" t="s">
        <v>1648</v>
      </c>
      <c r="AF181" s="321" t="s">
        <v>1648</v>
      </c>
      <c r="AG181" s="321" t="s">
        <v>1649</v>
      </c>
      <c r="AH181" s="300" t="s">
        <v>1613</v>
      </c>
      <c r="AI181" s="321" t="s">
        <v>1649</v>
      </c>
      <c r="AJ181" s="321" t="s">
        <v>1649</v>
      </c>
      <c r="AK181" s="321" t="s">
        <v>1649</v>
      </c>
      <c r="AL181" s="321" t="s">
        <v>1649</v>
      </c>
      <c r="AM181" s="321" t="s">
        <v>1649</v>
      </c>
      <c r="AN181" s="321" t="s">
        <v>1649</v>
      </c>
      <c r="AO181" s="321" t="s">
        <v>1649</v>
      </c>
      <c r="AP181" s="321" t="s">
        <v>1649</v>
      </c>
      <c r="AQ181" s="321" t="s">
        <v>1649</v>
      </c>
      <c r="AR181" s="321" t="s">
        <v>1649</v>
      </c>
      <c r="AS181" s="321" t="s">
        <v>1649</v>
      </c>
      <c r="AT181" s="321" t="s">
        <v>1649</v>
      </c>
      <c r="AU181" s="301" t="s">
        <v>1613</v>
      </c>
    </row>
    <row r="182" spans="1:47" ht="13.5" thickBot="1" x14ac:dyDescent="0.25">
      <c r="A182" s="48" t="s">
        <v>410</v>
      </c>
      <c r="B182" s="291" t="s">
        <v>409</v>
      </c>
      <c r="C182" s="298" t="s">
        <v>25</v>
      </c>
      <c r="D182" s="299" t="s">
        <v>1613</v>
      </c>
      <c r="E182" s="299" t="s">
        <v>1613</v>
      </c>
      <c r="F182" s="299" t="s">
        <v>1613</v>
      </c>
      <c r="G182" s="299" t="s">
        <v>1613</v>
      </c>
      <c r="H182" s="299" t="s">
        <v>1613</v>
      </c>
      <c r="I182" s="299" t="s">
        <v>1613</v>
      </c>
      <c r="J182" s="299" t="s">
        <v>1613</v>
      </c>
      <c r="K182" s="299" t="s">
        <v>1613</v>
      </c>
      <c r="L182" s="299" t="s">
        <v>1613</v>
      </c>
      <c r="M182" s="299" t="s">
        <v>1613</v>
      </c>
      <c r="N182" s="299" t="s">
        <v>1613</v>
      </c>
      <c r="O182" s="299" t="s">
        <v>1613</v>
      </c>
      <c r="P182" s="299" t="s">
        <v>1613</v>
      </c>
      <c r="Q182" s="299" t="s">
        <v>1613</v>
      </c>
      <c r="R182" s="299" t="s">
        <v>1613</v>
      </c>
      <c r="S182" s="302">
        <v>24</v>
      </c>
      <c r="T182" s="303">
        <v>13719</v>
      </c>
      <c r="U182" s="303">
        <v>13719</v>
      </c>
      <c r="V182" s="321" t="s">
        <v>1648</v>
      </c>
      <c r="W182" s="321" t="s">
        <v>1649</v>
      </c>
      <c r="X182" s="321" t="s">
        <v>1648</v>
      </c>
      <c r="Y182" s="321" t="s">
        <v>1648</v>
      </c>
      <c r="Z182" s="321" t="s">
        <v>1649</v>
      </c>
      <c r="AA182" s="321" t="s">
        <v>1648</v>
      </c>
      <c r="AB182" s="321" t="s">
        <v>1648</v>
      </c>
      <c r="AC182" s="321" t="s">
        <v>1648</v>
      </c>
      <c r="AD182" s="321" t="s">
        <v>1648</v>
      </c>
      <c r="AE182" s="321" t="s">
        <v>1648</v>
      </c>
      <c r="AF182" s="321" t="s">
        <v>1648</v>
      </c>
      <c r="AG182" s="321" t="s">
        <v>1649</v>
      </c>
      <c r="AH182" s="300" t="s">
        <v>1613</v>
      </c>
      <c r="AI182" s="321" t="s">
        <v>1649</v>
      </c>
      <c r="AJ182" s="321" t="s">
        <v>1649</v>
      </c>
      <c r="AK182" s="321" t="s">
        <v>1649</v>
      </c>
      <c r="AL182" s="321" t="s">
        <v>1649</v>
      </c>
      <c r="AM182" s="321" t="s">
        <v>1649</v>
      </c>
      <c r="AN182" s="321" t="s">
        <v>1649</v>
      </c>
      <c r="AO182" s="321" t="s">
        <v>1649</v>
      </c>
      <c r="AP182" s="321" t="s">
        <v>1649</v>
      </c>
      <c r="AQ182" s="321" t="s">
        <v>1649</v>
      </c>
      <c r="AR182" s="321" t="s">
        <v>1649</v>
      </c>
      <c r="AS182" s="321" t="s">
        <v>1649</v>
      </c>
      <c r="AT182" s="321" t="s">
        <v>1649</v>
      </c>
      <c r="AU182" s="301" t="s">
        <v>1613</v>
      </c>
    </row>
    <row r="183" spans="1:47" ht="13.5" thickBot="1" x14ac:dyDescent="0.25">
      <c r="A183" s="48" t="s">
        <v>408</v>
      </c>
      <c r="B183" s="291" t="s">
        <v>407</v>
      </c>
      <c r="C183" s="298" t="s">
        <v>25</v>
      </c>
      <c r="D183" s="304"/>
      <c r="E183" s="299"/>
      <c r="F183" s="299"/>
      <c r="G183" s="299" t="s">
        <v>1613</v>
      </c>
      <c r="H183" s="299" t="s">
        <v>1613</v>
      </c>
      <c r="I183" s="299" t="s">
        <v>1613</v>
      </c>
      <c r="J183" s="299" t="s">
        <v>1613</v>
      </c>
      <c r="K183" s="299" t="s">
        <v>1613</v>
      </c>
      <c r="L183" s="299" t="s">
        <v>1613</v>
      </c>
      <c r="M183" s="299" t="s">
        <v>1613</v>
      </c>
      <c r="N183" s="299" t="s">
        <v>1613</v>
      </c>
      <c r="O183" s="299" t="s">
        <v>1613</v>
      </c>
      <c r="P183" s="299" t="s">
        <v>1613</v>
      </c>
      <c r="Q183" s="299" t="s">
        <v>1613</v>
      </c>
      <c r="R183" s="299" t="s">
        <v>1613</v>
      </c>
      <c r="S183" s="302">
        <v>10</v>
      </c>
      <c r="T183" s="303">
        <v>3184</v>
      </c>
      <c r="U183" s="303">
        <v>7000</v>
      </c>
      <c r="V183" s="321" t="s">
        <v>1649</v>
      </c>
      <c r="W183" s="321" t="s">
        <v>1649</v>
      </c>
      <c r="X183" s="321" t="s">
        <v>1649</v>
      </c>
      <c r="Y183" s="321" t="s">
        <v>1649</v>
      </c>
      <c r="Z183" s="321" t="s">
        <v>1649</v>
      </c>
      <c r="AA183" s="321" t="s">
        <v>1649</v>
      </c>
      <c r="AB183" s="321" t="s">
        <v>1649</v>
      </c>
      <c r="AC183" s="321" t="s">
        <v>1649</v>
      </c>
      <c r="AD183" s="321" t="s">
        <v>1649</v>
      </c>
      <c r="AE183" s="321" t="s">
        <v>1649</v>
      </c>
      <c r="AF183" s="321" t="s">
        <v>1649</v>
      </c>
      <c r="AG183" s="321" t="s">
        <v>1649</v>
      </c>
      <c r="AH183" s="300" t="s">
        <v>1613</v>
      </c>
      <c r="AI183" s="321" t="s">
        <v>1649</v>
      </c>
      <c r="AJ183" s="321" t="s">
        <v>1648</v>
      </c>
      <c r="AK183" s="321" t="s">
        <v>1648</v>
      </c>
      <c r="AL183" s="321" t="s">
        <v>1648</v>
      </c>
      <c r="AM183" s="321" t="s">
        <v>1648</v>
      </c>
      <c r="AN183" s="321" t="s">
        <v>1648</v>
      </c>
      <c r="AO183" s="321" t="s">
        <v>1649</v>
      </c>
      <c r="AP183" s="321" t="s">
        <v>1648</v>
      </c>
      <c r="AQ183" s="321" t="s">
        <v>1649</v>
      </c>
      <c r="AR183" s="321" t="s">
        <v>1649</v>
      </c>
      <c r="AS183" s="321" t="s">
        <v>1648</v>
      </c>
      <c r="AT183" s="321" t="s">
        <v>1649</v>
      </c>
      <c r="AU183" s="301" t="s">
        <v>1613</v>
      </c>
    </row>
    <row r="184" spans="1:47" ht="13.5" thickBot="1" x14ac:dyDescent="0.25">
      <c r="A184" s="48" t="s">
        <v>433</v>
      </c>
      <c r="B184" s="291" t="s">
        <v>432</v>
      </c>
      <c r="C184" s="298" t="s">
        <v>25</v>
      </c>
      <c r="D184" s="299" t="s">
        <v>1613</v>
      </c>
      <c r="E184" s="299" t="s">
        <v>1613</v>
      </c>
      <c r="F184" s="299" t="s">
        <v>1613</v>
      </c>
      <c r="G184" s="299" t="s">
        <v>1613</v>
      </c>
      <c r="H184" s="299" t="s">
        <v>1613</v>
      </c>
      <c r="I184" s="299" t="s">
        <v>1613</v>
      </c>
      <c r="J184" s="302">
        <v>40</v>
      </c>
      <c r="K184" s="303">
        <v>36875</v>
      </c>
      <c r="L184" s="303">
        <v>45198</v>
      </c>
      <c r="M184" s="302">
        <v>37</v>
      </c>
      <c r="N184" s="303">
        <v>32718</v>
      </c>
      <c r="O184" s="303">
        <v>41038</v>
      </c>
      <c r="P184" s="302">
        <v>24</v>
      </c>
      <c r="Q184" s="303">
        <v>27500</v>
      </c>
      <c r="R184" s="303">
        <v>36550</v>
      </c>
      <c r="S184" s="302">
        <v>29</v>
      </c>
      <c r="T184" s="303">
        <v>20280</v>
      </c>
      <c r="U184" s="303">
        <v>28080</v>
      </c>
      <c r="V184" s="321" t="s">
        <v>1648</v>
      </c>
      <c r="W184" s="321" t="s">
        <v>1649</v>
      </c>
      <c r="X184" s="321" t="s">
        <v>1649</v>
      </c>
      <c r="Y184" s="321" t="s">
        <v>1648</v>
      </c>
      <c r="Z184" s="321" t="s">
        <v>1649</v>
      </c>
      <c r="AA184" s="321" t="s">
        <v>1648</v>
      </c>
      <c r="AB184" s="321" t="s">
        <v>1648</v>
      </c>
      <c r="AC184" s="321" t="s">
        <v>1648</v>
      </c>
      <c r="AD184" s="321" t="s">
        <v>1648</v>
      </c>
      <c r="AE184" s="321" t="s">
        <v>1649</v>
      </c>
      <c r="AF184" s="321" t="s">
        <v>1649</v>
      </c>
      <c r="AG184" s="321" t="s">
        <v>1649</v>
      </c>
      <c r="AH184" s="300" t="s">
        <v>1613</v>
      </c>
      <c r="AI184" s="321" t="s">
        <v>1649</v>
      </c>
      <c r="AJ184" s="321" t="s">
        <v>1649</v>
      </c>
      <c r="AK184" s="321" t="s">
        <v>1649</v>
      </c>
      <c r="AL184" s="321" t="s">
        <v>1649</v>
      </c>
      <c r="AM184" s="321" t="s">
        <v>1649</v>
      </c>
      <c r="AN184" s="321" t="s">
        <v>1649</v>
      </c>
      <c r="AO184" s="321" t="s">
        <v>1648</v>
      </c>
      <c r="AP184" s="321" t="s">
        <v>1648</v>
      </c>
      <c r="AQ184" s="321" t="s">
        <v>1649</v>
      </c>
      <c r="AR184" s="321" t="s">
        <v>1649</v>
      </c>
      <c r="AS184" s="321" t="s">
        <v>1649</v>
      </c>
      <c r="AT184" s="321" t="s">
        <v>1649</v>
      </c>
      <c r="AU184" s="301" t="s">
        <v>1613</v>
      </c>
    </row>
    <row r="185" spans="1:47" ht="13.5" thickBot="1" x14ac:dyDescent="0.25">
      <c r="A185" s="48" t="s">
        <v>446</v>
      </c>
      <c r="B185" s="291" t="s">
        <v>445</v>
      </c>
      <c r="C185" s="298" t="s">
        <v>25</v>
      </c>
      <c r="D185" s="299" t="s">
        <v>1613</v>
      </c>
      <c r="E185" s="299" t="s">
        <v>1613</v>
      </c>
      <c r="F185" s="299" t="s">
        <v>1613</v>
      </c>
      <c r="G185" s="299" t="s">
        <v>1613</v>
      </c>
      <c r="H185" s="299" t="s">
        <v>1613</v>
      </c>
      <c r="I185" s="299" t="s">
        <v>1613</v>
      </c>
      <c r="J185" s="299" t="s">
        <v>1613</v>
      </c>
      <c r="K185" s="299" t="s">
        <v>1613</v>
      </c>
      <c r="L185" s="299" t="s">
        <v>1613</v>
      </c>
      <c r="M185" s="299" t="s">
        <v>1613</v>
      </c>
      <c r="N185" s="299" t="s">
        <v>1613</v>
      </c>
      <c r="O185" s="299" t="s">
        <v>1613</v>
      </c>
      <c r="P185" s="302">
        <v>25</v>
      </c>
      <c r="Q185" s="303">
        <v>19188</v>
      </c>
      <c r="R185" s="303">
        <v>21606</v>
      </c>
      <c r="S185" s="302">
        <v>40</v>
      </c>
      <c r="T185" s="303">
        <v>35297</v>
      </c>
      <c r="U185" s="303">
        <v>39374</v>
      </c>
      <c r="V185" s="321" t="s">
        <v>1648</v>
      </c>
      <c r="W185" s="321" t="s">
        <v>1648</v>
      </c>
      <c r="X185" s="321" t="s">
        <v>1648</v>
      </c>
      <c r="Y185" s="321" t="s">
        <v>1649</v>
      </c>
      <c r="Z185" s="321" t="s">
        <v>1648</v>
      </c>
      <c r="AA185" s="321" t="s">
        <v>1648</v>
      </c>
      <c r="AB185" s="321" t="s">
        <v>1648</v>
      </c>
      <c r="AC185" s="321" t="s">
        <v>1648</v>
      </c>
      <c r="AD185" s="321" t="s">
        <v>1648</v>
      </c>
      <c r="AE185" s="321" t="s">
        <v>1648</v>
      </c>
      <c r="AF185" s="321" t="s">
        <v>1648</v>
      </c>
      <c r="AG185" s="321" t="s">
        <v>1649</v>
      </c>
      <c r="AH185" s="300" t="s">
        <v>1613</v>
      </c>
      <c r="AI185" s="321" t="s">
        <v>1649</v>
      </c>
      <c r="AJ185" s="321" t="s">
        <v>1649</v>
      </c>
      <c r="AK185" s="321" t="s">
        <v>1649</v>
      </c>
      <c r="AL185" s="321" t="s">
        <v>1649</v>
      </c>
      <c r="AM185" s="321" t="s">
        <v>1649</v>
      </c>
      <c r="AN185" s="321" t="s">
        <v>1648</v>
      </c>
      <c r="AO185" s="321" t="s">
        <v>1648</v>
      </c>
      <c r="AP185" s="321" t="s">
        <v>1648</v>
      </c>
      <c r="AQ185" s="321" t="s">
        <v>1649</v>
      </c>
      <c r="AR185" s="321" t="s">
        <v>1649</v>
      </c>
      <c r="AS185" s="321" t="s">
        <v>1649</v>
      </c>
      <c r="AT185" s="321" t="s">
        <v>1649</v>
      </c>
      <c r="AU185" s="301" t="s">
        <v>1613</v>
      </c>
    </row>
    <row r="186" spans="1:47" ht="13.5" thickBot="1" x14ac:dyDescent="0.25">
      <c r="A186" s="48" t="s">
        <v>468</v>
      </c>
      <c r="B186" s="291" t="s">
        <v>467</v>
      </c>
      <c r="C186" s="298" t="s">
        <v>25</v>
      </c>
      <c r="D186" s="299" t="s">
        <v>1613</v>
      </c>
      <c r="E186" s="299" t="s">
        <v>1613</v>
      </c>
      <c r="F186" s="299" t="s">
        <v>1613</v>
      </c>
      <c r="G186" s="299" t="s">
        <v>1613</v>
      </c>
      <c r="H186" s="299" t="s">
        <v>1613</v>
      </c>
      <c r="I186" s="299" t="s">
        <v>1613</v>
      </c>
      <c r="J186" s="299" t="s">
        <v>1613</v>
      </c>
      <c r="K186" s="299" t="s">
        <v>1613</v>
      </c>
      <c r="L186" s="299" t="s">
        <v>1613</v>
      </c>
      <c r="M186" s="302">
        <v>20</v>
      </c>
      <c r="N186" s="303">
        <v>19200</v>
      </c>
      <c r="O186" s="303">
        <v>21000</v>
      </c>
      <c r="P186" s="299" t="s">
        <v>1613</v>
      </c>
      <c r="Q186" s="299" t="s">
        <v>1613</v>
      </c>
      <c r="R186" s="299" t="s">
        <v>1613</v>
      </c>
      <c r="S186" s="299" t="s">
        <v>1613</v>
      </c>
      <c r="T186" s="299" t="s">
        <v>1613</v>
      </c>
      <c r="U186" s="299" t="s">
        <v>1613</v>
      </c>
      <c r="V186" s="321" t="s">
        <v>1649</v>
      </c>
      <c r="W186" s="321" t="s">
        <v>1649</v>
      </c>
      <c r="X186" s="321" t="s">
        <v>1649</v>
      </c>
      <c r="Y186" s="321" t="s">
        <v>1649</v>
      </c>
      <c r="Z186" s="321" t="s">
        <v>1649</v>
      </c>
      <c r="AA186" s="321" t="s">
        <v>1648</v>
      </c>
      <c r="AB186" s="321" t="s">
        <v>1648</v>
      </c>
      <c r="AC186" s="321" t="s">
        <v>1649</v>
      </c>
      <c r="AD186" s="321" t="s">
        <v>1649</v>
      </c>
      <c r="AE186" s="321" t="s">
        <v>1649</v>
      </c>
      <c r="AF186" s="321" t="s">
        <v>1649</v>
      </c>
      <c r="AG186" s="321" t="s">
        <v>1649</v>
      </c>
      <c r="AH186" s="300" t="s">
        <v>1613</v>
      </c>
      <c r="AI186" s="321" t="s">
        <v>1649</v>
      </c>
      <c r="AJ186" s="321" t="s">
        <v>1649</v>
      </c>
      <c r="AK186" s="321" t="s">
        <v>1649</v>
      </c>
      <c r="AL186" s="321" t="s">
        <v>1649</v>
      </c>
      <c r="AM186" s="321" t="s">
        <v>1649</v>
      </c>
      <c r="AN186" s="321" t="s">
        <v>1649</v>
      </c>
      <c r="AO186" s="321" t="s">
        <v>1648</v>
      </c>
      <c r="AP186" s="321" t="s">
        <v>1649</v>
      </c>
      <c r="AQ186" s="321" t="s">
        <v>1649</v>
      </c>
      <c r="AR186" s="321" t="s">
        <v>1649</v>
      </c>
      <c r="AS186" s="321" t="s">
        <v>1649</v>
      </c>
      <c r="AT186" s="321" t="s">
        <v>1649</v>
      </c>
      <c r="AU186" s="301" t="s">
        <v>1613</v>
      </c>
    </row>
    <row r="187" spans="1:47" ht="13.5" thickBot="1" x14ac:dyDescent="0.25">
      <c r="A187" s="48" t="s">
        <v>474</v>
      </c>
      <c r="B187" s="291" t="s">
        <v>473</v>
      </c>
      <c r="C187" s="298" t="s">
        <v>25</v>
      </c>
      <c r="D187" s="302">
        <v>40</v>
      </c>
      <c r="E187" s="303">
        <v>16000</v>
      </c>
      <c r="F187" s="303">
        <v>34000</v>
      </c>
      <c r="G187" s="299" t="s">
        <v>1613</v>
      </c>
      <c r="H187" s="299" t="s">
        <v>1613</v>
      </c>
      <c r="I187" s="299" t="s">
        <v>1613</v>
      </c>
      <c r="J187" s="299" t="s">
        <v>1613</v>
      </c>
      <c r="K187" s="299" t="s">
        <v>1613</v>
      </c>
      <c r="L187" s="299" t="s">
        <v>1613</v>
      </c>
      <c r="M187" s="299" t="s">
        <v>1613</v>
      </c>
      <c r="N187" s="299" t="s">
        <v>1613</v>
      </c>
      <c r="O187" s="299" t="s">
        <v>1613</v>
      </c>
      <c r="P187" s="299" t="s">
        <v>1613</v>
      </c>
      <c r="Q187" s="299" t="s">
        <v>1613</v>
      </c>
      <c r="R187" s="299" t="s">
        <v>1613</v>
      </c>
      <c r="S187" s="302">
        <v>19</v>
      </c>
      <c r="T187" s="303">
        <v>8000</v>
      </c>
      <c r="U187" s="303">
        <v>16500</v>
      </c>
      <c r="V187" s="321" t="s">
        <v>1648</v>
      </c>
      <c r="W187" s="321" t="s">
        <v>1648</v>
      </c>
      <c r="X187" s="321" t="s">
        <v>1648</v>
      </c>
      <c r="Y187" s="321" t="s">
        <v>1648</v>
      </c>
      <c r="Z187" s="321" t="s">
        <v>1648</v>
      </c>
      <c r="AA187" s="321" t="s">
        <v>1648</v>
      </c>
      <c r="AB187" s="321" t="s">
        <v>1648</v>
      </c>
      <c r="AC187" s="321" t="s">
        <v>1648</v>
      </c>
      <c r="AD187" s="321" t="s">
        <v>1648</v>
      </c>
      <c r="AE187" s="321" t="s">
        <v>1648</v>
      </c>
      <c r="AF187" s="321" t="s">
        <v>1648</v>
      </c>
      <c r="AG187" s="321" t="s">
        <v>1648</v>
      </c>
      <c r="AH187" s="300" t="s">
        <v>1613</v>
      </c>
      <c r="AI187" s="321" t="s">
        <v>1649</v>
      </c>
      <c r="AJ187" s="321" t="s">
        <v>1649</v>
      </c>
      <c r="AK187" s="321" t="s">
        <v>1649</v>
      </c>
      <c r="AL187" s="321" t="s">
        <v>1648</v>
      </c>
      <c r="AM187" s="321" t="s">
        <v>1649</v>
      </c>
      <c r="AN187" s="321" t="s">
        <v>1648</v>
      </c>
      <c r="AO187" s="321" t="s">
        <v>1648</v>
      </c>
      <c r="AP187" s="321" t="s">
        <v>1648</v>
      </c>
      <c r="AQ187" s="321" t="s">
        <v>1648</v>
      </c>
      <c r="AR187" s="321" t="s">
        <v>1648</v>
      </c>
      <c r="AS187" s="321" t="s">
        <v>1648</v>
      </c>
      <c r="AT187" s="321" t="s">
        <v>1648</v>
      </c>
      <c r="AU187" s="301" t="s">
        <v>1613</v>
      </c>
    </row>
    <row r="188" spans="1:47" ht="13.5" thickBot="1" x14ac:dyDescent="0.25">
      <c r="A188" s="48" t="s">
        <v>492</v>
      </c>
      <c r="B188" s="291" t="s">
        <v>491</v>
      </c>
      <c r="C188" s="298" t="s">
        <v>25</v>
      </c>
      <c r="D188" s="304"/>
      <c r="E188" s="305"/>
      <c r="F188" s="305"/>
      <c r="G188" s="304"/>
      <c r="H188" s="305"/>
      <c r="I188" s="305"/>
      <c r="J188" s="304"/>
      <c r="K188" s="305"/>
      <c r="L188" s="305"/>
      <c r="M188" s="302">
        <v>21</v>
      </c>
      <c r="N188" s="303">
        <v>21840</v>
      </c>
      <c r="O188" s="303">
        <v>21840</v>
      </c>
      <c r="P188" s="302">
        <v>21</v>
      </c>
      <c r="Q188" s="303">
        <v>15330</v>
      </c>
      <c r="R188" s="303">
        <v>15330</v>
      </c>
      <c r="S188" s="304"/>
      <c r="T188" s="305"/>
      <c r="U188" s="305"/>
      <c r="V188" s="321" t="s">
        <v>1649</v>
      </c>
      <c r="W188" s="321" t="s">
        <v>1649</v>
      </c>
      <c r="X188" s="321" t="s">
        <v>1649</v>
      </c>
      <c r="Y188" s="321" t="s">
        <v>1649</v>
      </c>
      <c r="Z188" s="321" t="s">
        <v>1649</v>
      </c>
      <c r="AA188" s="321" t="s">
        <v>1649</v>
      </c>
      <c r="AB188" s="321" t="s">
        <v>1649</v>
      </c>
      <c r="AC188" s="321" t="s">
        <v>1649</v>
      </c>
      <c r="AD188" s="321" t="s">
        <v>1649</v>
      </c>
      <c r="AE188" s="321" t="s">
        <v>1649</v>
      </c>
      <c r="AF188" s="321" t="s">
        <v>1649</v>
      </c>
      <c r="AG188" s="321" t="s">
        <v>1649</v>
      </c>
      <c r="AH188" s="300" t="s">
        <v>1613</v>
      </c>
      <c r="AI188" s="321" t="s">
        <v>1649</v>
      </c>
      <c r="AJ188" s="321" t="s">
        <v>1649</v>
      </c>
      <c r="AK188" s="321" t="s">
        <v>1649</v>
      </c>
      <c r="AL188" s="321" t="s">
        <v>1649</v>
      </c>
      <c r="AM188" s="321" t="s">
        <v>1649</v>
      </c>
      <c r="AN188" s="321" t="s">
        <v>1648</v>
      </c>
      <c r="AO188" s="321" t="s">
        <v>1649</v>
      </c>
      <c r="AP188" s="321" t="s">
        <v>1649</v>
      </c>
      <c r="AQ188" s="321" t="s">
        <v>1649</v>
      </c>
      <c r="AR188" s="321" t="s">
        <v>1649</v>
      </c>
      <c r="AS188" s="321" t="s">
        <v>1649</v>
      </c>
      <c r="AT188" s="321" t="s">
        <v>1649</v>
      </c>
      <c r="AU188" s="301" t="s">
        <v>1613</v>
      </c>
    </row>
    <row r="189" spans="1:47" ht="13.5" thickBot="1" x14ac:dyDescent="0.25">
      <c r="A189" s="48" t="s">
        <v>504</v>
      </c>
      <c r="B189" s="291" t="s">
        <v>503</v>
      </c>
      <c r="C189" s="298" t="s">
        <v>25</v>
      </c>
      <c r="D189" s="302">
        <v>30</v>
      </c>
      <c r="E189" s="303">
        <v>17160</v>
      </c>
      <c r="F189" s="303">
        <v>24960</v>
      </c>
      <c r="G189" s="304"/>
      <c r="H189" s="305"/>
      <c r="I189" s="305"/>
      <c r="J189" s="304"/>
      <c r="K189" s="305"/>
      <c r="L189" s="305"/>
      <c r="M189" s="304"/>
      <c r="N189" s="305"/>
      <c r="O189" s="305"/>
      <c r="P189" s="304"/>
      <c r="Q189" s="305"/>
      <c r="R189" s="305"/>
      <c r="S189" s="302">
        <v>20</v>
      </c>
      <c r="T189" s="303">
        <v>90</v>
      </c>
      <c r="U189" s="303">
        <v>12085</v>
      </c>
      <c r="V189" s="321" t="s">
        <v>1648</v>
      </c>
      <c r="W189" s="321" t="s">
        <v>1648</v>
      </c>
      <c r="X189" s="321" t="s">
        <v>1649</v>
      </c>
      <c r="Y189" s="321" t="s">
        <v>1649</v>
      </c>
      <c r="Z189" s="321" t="s">
        <v>1648</v>
      </c>
      <c r="AA189" s="321" t="s">
        <v>1648</v>
      </c>
      <c r="AB189" s="321" t="s">
        <v>1648</v>
      </c>
      <c r="AC189" s="321" t="s">
        <v>1648</v>
      </c>
      <c r="AD189" s="321" t="s">
        <v>1648</v>
      </c>
      <c r="AE189" s="321" t="s">
        <v>1649</v>
      </c>
      <c r="AF189" s="321" t="s">
        <v>1649</v>
      </c>
      <c r="AG189" s="321" t="s">
        <v>1649</v>
      </c>
      <c r="AH189" s="300" t="s">
        <v>1613</v>
      </c>
      <c r="AI189" s="321" t="s">
        <v>1649</v>
      </c>
      <c r="AJ189" s="321" t="s">
        <v>1649</v>
      </c>
      <c r="AK189" s="321" t="s">
        <v>1649</v>
      </c>
      <c r="AL189" s="321" t="s">
        <v>1649</v>
      </c>
      <c r="AM189" s="321" t="s">
        <v>1649</v>
      </c>
      <c r="AN189" s="321" t="s">
        <v>1649</v>
      </c>
      <c r="AO189" s="321" t="s">
        <v>1648</v>
      </c>
      <c r="AP189" s="321" t="s">
        <v>1649</v>
      </c>
      <c r="AQ189" s="321" t="s">
        <v>1649</v>
      </c>
      <c r="AR189" s="321" t="s">
        <v>1649</v>
      </c>
      <c r="AS189" s="321" t="s">
        <v>1648</v>
      </c>
      <c r="AT189" s="321" t="s">
        <v>1649</v>
      </c>
      <c r="AU189" s="301" t="s">
        <v>1613</v>
      </c>
    </row>
    <row r="190" spans="1:47" ht="13.5" thickBot="1" x14ac:dyDescent="0.25">
      <c r="A190" s="48" t="s">
        <v>510</v>
      </c>
      <c r="B190" s="291" t="s">
        <v>509</v>
      </c>
      <c r="C190" s="298" t="s">
        <v>25</v>
      </c>
      <c r="D190" s="302">
        <v>30</v>
      </c>
      <c r="E190" s="303">
        <v>18720</v>
      </c>
      <c r="F190" s="303">
        <v>22897</v>
      </c>
      <c r="G190" s="302">
        <v>30</v>
      </c>
      <c r="H190" s="303">
        <v>17160</v>
      </c>
      <c r="I190" s="303">
        <v>24054</v>
      </c>
      <c r="J190" s="299" t="s">
        <v>1613</v>
      </c>
      <c r="K190" s="299" t="s">
        <v>1613</v>
      </c>
      <c r="L190" s="299" t="s">
        <v>1613</v>
      </c>
      <c r="M190" s="299" t="s">
        <v>1613</v>
      </c>
      <c r="N190" s="299" t="s">
        <v>1613</v>
      </c>
      <c r="O190" s="299" t="s">
        <v>1613</v>
      </c>
      <c r="P190" s="299" t="s">
        <v>1613</v>
      </c>
      <c r="Q190" s="299" t="s">
        <v>1613</v>
      </c>
      <c r="R190" s="299" t="s">
        <v>1613</v>
      </c>
      <c r="S190" s="302">
        <v>15</v>
      </c>
      <c r="T190" s="303">
        <v>7605</v>
      </c>
      <c r="U190" s="303">
        <v>10694</v>
      </c>
      <c r="V190" s="321" t="s">
        <v>1649</v>
      </c>
      <c r="W190" s="321" t="s">
        <v>1649</v>
      </c>
      <c r="X190" s="321" t="s">
        <v>1649</v>
      </c>
      <c r="Y190" s="321" t="s">
        <v>1649</v>
      </c>
      <c r="Z190" s="321" t="s">
        <v>1649</v>
      </c>
      <c r="AA190" s="321" t="s">
        <v>1649</v>
      </c>
      <c r="AB190" s="321" t="s">
        <v>1649</v>
      </c>
      <c r="AC190" s="321" t="s">
        <v>1649</v>
      </c>
      <c r="AD190" s="321" t="s">
        <v>1649</v>
      </c>
      <c r="AE190" s="321" t="s">
        <v>1649</v>
      </c>
      <c r="AF190" s="321" t="s">
        <v>1649</v>
      </c>
      <c r="AG190" s="321" t="s">
        <v>1649</v>
      </c>
      <c r="AH190" s="300" t="s">
        <v>1613</v>
      </c>
      <c r="AI190" s="321" t="s">
        <v>1649</v>
      </c>
      <c r="AJ190" s="321" t="s">
        <v>1649</v>
      </c>
      <c r="AK190" s="321" t="s">
        <v>1649</v>
      </c>
      <c r="AL190" s="321" t="s">
        <v>1649</v>
      </c>
      <c r="AM190" s="321" t="s">
        <v>1649</v>
      </c>
      <c r="AN190" s="321" t="s">
        <v>1648</v>
      </c>
      <c r="AO190" s="321" t="s">
        <v>1649</v>
      </c>
      <c r="AP190" s="321" t="s">
        <v>1648</v>
      </c>
      <c r="AQ190" s="321" t="s">
        <v>1649</v>
      </c>
      <c r="AR190" s="321" t="s">
        <v>1649</v>
      </c>
      <c r="AS190" s="321" t="s">
        <v>1649</v>
      </c>
      <c r="AT190" s="321" t="s">
        <v>1648</v>
      </c>
      <c r="AU190" s="301" t="s">
        <v>1613</v>
      </c>
    </row>
    <row r="191" spans="1:47" ht="13.5" thickBot="1" x14ac:dyDescent="0.25">
      <c r="A191" s="48" t="s">
        <v>520</v>
      </c>
      <c r="B191" s="291" t="s">
        <v>519</v>
      </c>
      <c r="C191" s="298" t="s">
        <v>25</v>
      </c>
      <c r="D191" s="304"/>
      <c r="E191" s="305"/>
      <c r="F191" s="305"/>
      <c r="G191" s="304"/>
      <c r="H191" s="305"/>
      <c r="I191" s="305"/>
      <c r="J191" s="302">
        <v>26</v>
      </c>
      <c r="K191" s="303">
        <v>20790</v>
      </c>
      <c r="L191" s="303">
        <v>20790</v>
      </c>
      <c r="M191" s="302">
        <v>20</v>
      </c>
      <c r="N191" s="303">
        <v>12636</v>
      </c>
      <c r="O191" s="303">
        <v>12636</v>
      </c>
      <c r="P191" s="304"/>
      <c r="Q191" s="305"/>
      <c r="R191" s="305"/>
      <c r="S191" s="304"/>
      <c r="T191" s="305"/>
      <c r="U191" s="305"/>
      <c r="V191" s="321" t="s">
        <v>1649</v>
      </c>
      <c r="W191" s="321" t="s">
        <v>1649</v>
      </c>
      <c r="X191" s="321" t="s">
        <v>1649</v>
      </c>
      <c r="Y191" s="321" t="s">
        <v>1649</v>
      </c>
      <c r="Z191" s="321" t="s">
        <v>1649</v>
      </c>
      <c r="AA191" s="321" t="s">
        <v>1649</v>
      </c>
      <c r="AB191" s="321" t="s">
        <v>1649</v>
      </c>
      <c r="AC191" s="321" t="s">
        <v>1649</v>
      </c>
      <c r="AD191" s="321" t="s">
        <v>1649</v>
      </c>
      <c r="AE191" s="321" t="s">
        <v>1649</v>
      </c>
      <c r="AF191" s="321" t="s">
        <v>1649</v>
      </c>
      <c r="AG191" s="321" t="s">
        <v>1649</v>
      </c>
      <c r="AH191" s="300" t="s">
        <v>1613</v>
      </c>
      <c r="AI191" s="321" t="s">
        <v>1649</v>
      </c>
      <c r="AJ191" s="321" t="s">
        <v>1649</v>
      </c>
      <c r="AK191" s="321" t="s">
        <v>1649</v>
      </c>
      <c r="AL191" s="321" t="s">
        <v>1648</v>
      </c>
      <c r="AM191" s="321" t="s">
        <v>1649</v>
      </c>
      <c r="AN191" s="321" t="s">
        <v>1648</v>
      </c>
      <c r="AO191" s="321" t="s">
        <v>1649</v>
      </c>
      <c r="AP191" s="321" t="s">
        <v>1649</v>
      </c>
      <c r="AQ191" s="321" t="s">
        <v>1648</v>
      </c>
      <c r="AR191" s="321" t="s">
        <v>1649</v>
      </c>
      <c r="AS191" s="321" t="s">
        <v>1648</v>
      </c>
      <c r="AT191" s="321" t="s">
        <v>1649</v>
      </c>
      <c r="AU191" s="307" t="s">
        <v>3666</v>
      </c>
    </row>
    <row r="192" spans="1:47" ht="13.5" thickBot="1" x14ac:dyDescent="0.25">
      <c r="A192" s="48" t="s">
        <v>524</v>
      </c>
      <c r="B192" s="291" t="s">
        <v>523</v>
      </c>
      <c r="C192" s="298" t="s">
        <v>25</v>
      </c>
      <c r="D192" s="302">
        <v>21</v>
      </c>
      <c r="E192" s="303">
        <v>11460</v>
      </c>
      <c r="F192" s="303">
        <v>12606</v>
      </c>
      <c r="G192" s="299" t="s">
        <v>1613</v>
      </c>
      <c r="H192" s="299" t="s">
        <v>1613</v>
      </c>
      <c r="I192" s="299" t="s">
        <v>1613</v>
      </c>
      <c r="J192" s="299" t="s">
        <v>1613</v>
      </c>
      <c r="K192" s="299" t="s">
        <v>1613</v>
      </c>
      <c r="L192" s="299" t="s">
        <v>1613</v>
      </c>
      <c r="M192" s="302">
        <v>5</v>
      </c>
      <c r="N192" s="303">
        <v>220</v>
      </c>
      <c r="O192" s="303">
        <v>2200</v>
      </c>
      <c r="P192" s="299" t="s">
        <v>1613</v>
      </c>
      <c r="Q192" s="299" t="s">
        <v>1613</v>
      </c>
      <c r="R192" s="299" t="s">
        <v>1613</v>
      </c>
      <c r="S192" s="302">
        <v>15</v>
      </c>
      <c r="T192" s="303">
        <v>3848</v>
      </c>
      <c r="U192" s="303">
        <v>7371</v>
      </c>
      <c r="V192" s="321" t="s">
        <v>1649</v>
      </c>
      <c r="W192" s="321" t="s">
        <v>1649</v>
      </c>
      <c r="X192" s="321" t="s">
        <v>1649</v>
      </c>
      <c r="Y192" s="321" t="s">
        <v>1649</v>
      </c>
      <c r="Z192" s="321" t="s">
        <v>1649</v>
      </c>
      <c r="AA192" s="321" t="s">
        <v>1649</v>
      </c>
      <c r="AB192" s="321" t="s">
        <v>1649</v>
      </c>
      <c r="AC192" s="321" t="s">
        <v>1649</v>
      </c>
      <c r="AD192" s="321" t="s">
        <v>1649</v>
      </c>
      <c r="AE192" s="321" t="s">
        <v>1649</v>
      </c>
      <c r="AF192" s="321" t="s">
        <v>1649</v>
      </c>
      <c r="AG192" s="321" t="s">
        <v>1649</v>
      </c>
      <c r="AH192" s="300"/>
      <c r="AI192" s="321" t="s">
        <v>1649</v>
      </c>
      <c r="AJ192" s="321" t="s">
        <v>1649</v>
      </c>
      <c r="AK192" s="321" t="s">
        <v>1649</v>
      </c>
      <c r="AL192" s="321" t="s">
        <v>1649</v>
      </c>
      <c r="AM192" s="321" t="s">
        <v>1649</v>
      </c>
      <c r="AN192" s="321" t="s">
        <v>1649</v>
      </c>
      <c r="AO192" s="321" t="s">
        <v>1649</v>
      </c>
      <c r="AP192" s="321" t="s">
        <v>1649</v>
      </c>
      <c r="AQ192" s="321" t="s">
        <v>1649</v>
      </c>
      <c r="AR192" s="321" t="s">
        <v>1649</v>
      </c>
      <c r="AS192" s="321" t="s">
        <v>1649</v>
      </c>
      <c r="AT192" s="321" t="s">
        <v>1649</v>
      </c>
      <c r="AU192" s="301"/>
    </row>
    <row r="193" spans="1:47" ht="13.5" thickBot="1" x14ac:dyDescent="0.25">
      <c r="A193" s="48" t="s">
        <v>536</v>
      </c>
      <c r="B193" s="291" t="s">
        <v>535</v>
      </c>
      <c r="C193" s="298" t="s">
        <v>25</v>
      </c>
      <c r="D193" s="302">
        <v>37</v>
      </c>
      <c r="E193" s="303">
        <v>55000</v>
      </c>
      <c r="F193" s="303">
        <v>76123</v>
      </c>
      <c r="G193" s="302">
        <v>37</v>
      </c>
      <c r="H193" s="303">
        <v>45000</v>
      </c>
      <c r="I193" s="303">
        <v>62290</v>
      </c>
      <c r="J193" s="304"/>
      <c r="K193" s="305"/>
      <c r="L193" s="305"/>
      <c r="M193" s="304"/>
      <c r="N193" s="305"/>
      <c r="O193" s="305"/>
      <c r="P193" s="304"/>
      <c r="Q193" s="305"/>
      <c r="R193" s="305"/>
      <c r="S193" s="302">
        <v>15</v>
      </c>
      <c r="T193" s="303">
        <v>11700</v>
      </c>
      <c r="U193" s="303">
        <v>16380</v>
      </c>
      <c r="V193" s="321" t="s">
        <v>1649</v>
      </c>
      <c r="W193" s="321" t="s">
        <v>1648</v>
      </c>
      <c r="X193" s="321" t="s">
        <v>1648</v>
      </c>
      <c r="Y193" s="321" t="s">
        <v>1648</v>
      </c>
      <c r="Z193" s="321" t="s">
        <v>1648</v>
      </c>
      <c r="AA193" s="321" t="s">
        <v>1648</v>
      </c>
      <c r="AB193" s="321" t="s">
        <v>1648</v>
      </c>
      <c r="AC193" s="321" t="s">
        <v>1648</v>
      </c>
      <c r="AD193" s="321" t="s">
        <v>1649</v>
      </c>
      <c r="AE193" s="321" t="s">
        <v>1648</v>
      </c>
      <c r="AF193" s="321" t="s">
        <v>1649</v>
      </c>
      <c r="AG193" s="321" t="s">
        <v>1648</v>
      </c>
      <c r="AH193" s="165" t="s">
        <v>3582</v>
      </c>
      <c r="AI193" s="321" t="s">
        <v>1649</v>
      </c>
      <c r="AJ193" s="321" t="s">
        <v>1649</v>
      </c>
      <c r="AK193" s="321" t="s">
        <v>1649</v>
      </c>
      <c r="AL193" s="321" t="s">
        <v>1649</v>
      </c>
      <c r="AM193" s="321" t="s">
        <v>1649</v>
      </c>
      <c r="AN193" s="321" t="s">
        <v>1649</v>
      </c>
      <c r="AO193" s="321" t="s">
        <v>1649</v>
      </c>
      <c r="AP193" s="321" t="s">
        <v>1648</v>
      </c>
      <c r="AQ193" s="321" t="s">
        <v>1649</v>
      </c>
      <c r="AR193" s="321" t="s">
        <v>1649</v>
      </c>
      <c r="AS193" s="321" t="s">
        <v>1648</v>
      </c>
      <c r="AT193" s="321" t="s">
        <v>1649</v>
      </c>
      <c r="AU193" s="301" t="s">
        <v>1613</v>
      </c>
    </row>
    <row r="194" spans="1:47" ht="13.5" thickBot="1" x14ac:dyDescent="0.25">
      <c r="A194" s="48" t="s">
        <v>554</v>
      </c>
      <c r="B194" s="291" t="s">
        <v>553</v>
      </c>
      <c r="C194" s="298" t="s">
        <v>25</v>
      </c>
      <c r="D194" s="304"/>
      <c r="E194" s="305"/>
      <c r="F194" s="305"/>
      <c r="G194" s="302">
        <v>29</v>
      </c>
      <c r="H194" s="303">
        <v>15155</v>
      </c>
      <c r="I194" s="303">
        <v>15155</v>
      </c>
      <c r="J194" s="302">
        <v>40</v>
      </c>
      <c r="K194" s="303">
        <v>29120</v>
      </c>
      <c r="L194" s="303">
        <v>29120</v>
      </c>
      <c r="M194" s="302">
        <v>20</v>
      </c>
      <c r="N194" s="303">
        <v>9620</v>
      </c>
      <c r="O194" s="303">
        <v>9620</v>
      </c>
      <c r="P194" s="302">
        <v>20</v>
      </c>
      <c r="Q194" s="303">
        <v>9620</v>
      </c>
      <c r="R194" s="303">
        <v>9620</v>
      </c>
      <c r="S194" s="302">
        <v>20</v>
      </c>
      <c r="T194" s="303">
        <v>9620</v>
      </c>
      <c r="U194" s="303">
        <v>9932</v>
      </c>
      <c r="V194" s="321" t="s">
        <v>1648</v>
      </c>
      <c r="W194" s="321" t="s">
        <v>1648</v>
      </c>
      <c r="X194" s="321" t="s">
        <v>1648</v>
      </c>
      <c r="Y194" s="321" t="s">
        <v>1649</v>
      </c>
      <c r="Z194" s="321" t="s">
        <v>1648</v>
      </c>
      <c r="AA194" s="321" t="s">
        <v>1649</v>
      </c>
      <c r="AB194" s="321" t="s">
        <v>1648</v>
      </c>
      <c r="AC194" s="321" t="s">
        <v>1648</v>
      </c>
      <c r="AD194" s="321" t="s">
        <v>1649</v>
      </c>
      <c r="AE194" s="321" t="s">
        <v>1648</v>
      </c>
      <c r="AF194" s="321" t="s">
        <v>1648</v>
      </c>
      <c r="AG194" s="321" t="s">
        <v>1649</v>
      </c>
      <c r="AH194" s="300" t="s">
        <v>1613</v>
      </c>
      <c r="AI194" s="321" t="s">
        <v>1649</v>
      </c>
      <c r="AJ194" s="321" t="s">
        <v>1649</v>
      </c>
      <c r="AK194" s="321" t="s">
        <v>1649</v>
      </c>
      <c r="AL194" s="321" t="s">
        <v>1649</v>
      </c>
      <c r="AM194" s="321" t="s">
        <v>1649</v>
      </c>
      <c r="AN194" s="321" t="s">
        <v>1649</v>
      </c>
      <c r="AO194" s="321" t="s">
        <v>1648</v>
      </c>
      <c r="AP194" s="321" t="s">
        <v>1648</v>
      </c>
      <c r="AQ194" s="321" t="s">
        <v>1649</v>
      </c>
      <c r="AR194" s="321" t="s">
        <v>1649</v>
      </c>
      <c r="AS194" s="321" t="s">
        <v>1648</v>
      </c>
      <c r="AT194" s="321" t="s">
        <v>1649</v>
      </c>
      <c r="AU194" s="301" t="s">
        <v>1613</v>
      </c>
    </row>
    <row r="195" spans="1:47" ht="13.5" thickBot="1" x14ac:dyDescent="0.25">
      <c r="A195" s="48" t="s">
        <v>564</v>
      </c>
      <c r="B195" s="291" t="s">
        <v>563</v>
      </c>
      <c r="C195" s="298" t="s">
        <v>25</v>
      </c>
      <c r="D195" s="304"/>
      <c r="E195" s="305"/>
      <c r="F195" s="305"/>
      <c r="G195" s="302">
        <v>35</v>
      </c>
      <c r="H195" s="303">
        <v>47371</v>
      </c>
      <c r="I195" s="303">
        <v>47371</v>
      </c>
      <c r="J195" s="302">
        <v>20</v>
      </c>
      <c r="K195" s="303">
        <v>7800</v>
      </c>
      <c r="L195" s="303">
        <v>31604</v>
      </c>
      <c r="M195" s="304"/>
      <c r="N195" s="305"/>
      <c r="O195" s="305"/>
      <c r="P195" s="304"/>
      <c r="Q195" s="305"/>
      <c r="R195" s="305"/>
      <c r="S195" s="302">
        <v>11</v>
      </c>
      <c r="T195" s="303">
        <v>1146</v>
      </c>
      <c r="U195" s="303">
        <v>30241</v>
      </c>
      <c r="V195" s="321" t="s">
        <v>1648</v>
      </c>
      <c r="W195" s="321" t="s">
        <v>1648</v>
      </c>
      <c r="X195" s="321" t="s">
        <v>1649</v>
      </c>
      <c r="Y195" s="321" t="s">
        <v>1649</v>
      </c>
      <c r="Z195" s="321" t="s">
        <v>1648</v>
      </c>
      <c r="AA195" s="321" t="s">
        <v>1648</v>
      </c>
      <c r="AB195" s="321" t="s">
        <v>1648</v>
      </c>
      <c r="AC195" s="321" t="s">
        <v>1648</v>
      </c>
      <c r="AD195" s="321" t="s">
        <v>1649</v>
      </c>
      <c r="AE195" s="321" t="s">
        <v>1649</v>
      </c>
      <c r="AF195" s="321" t="s">
        <v>1649</v>
      </c>
      <c r="AG195" s="321" t="s">
        <v>1649</v>
      </c>
      <c r="AH195" s="300" t="s">
        <v>1613</v>
      </c>
      <c r="AI195" s="321" t="s">
        <v>1649</v>
      </c>
      <c r="AJ195" s="321" t="s">
        <v>1649</v>
      </c>
      <c r="AK195" s="321" t="s">
        <v>1649</v>
      </c>
      <c r="AL195" s="321" t="s">
        <v>1649</v>
      </c>
      <c r="AM195" s="321" t="s">
        <v>1649</v>
      </c>
      <c r="AN195" s="321" t="s">
        <v>1648</v>
      </c>
      <c r="AO195" s="321" t="s">
        <v>1648</v>
      </c>
      <c r="AP195" s="321" t="s">
        <v>1648</v>
      </c>
      <c r="AQ195" s="321" t="s">
        <v>1649</v>
      </c>
      <c r="AR195" s="321" t="s">
        <v>1649</v>
      </c>
      <c r="AS195" s="321" t="s">
        <v>1649</v>
      </c>
      <c r="AT195" s="321" t="s">
        <v>1649</v>
      </c>
      <c r="AU195" s="301" t="s">
        <v>1613</v>
      </c>
    </row>
    <row r="196" spans="1:47" ht="13.5" thickBot="1" x14ac:dyDescent="0.25">
      <c r="A196" s="48" t="s">
        <v>568</v>
      </c>
      <c r="B196" s="291" t="s">
        <v>567</v>
      </c>
      <c r="C196" s="298" t="s">
        <v>25</v>
      </c>
      <c r="D196" s="304"/>
      <c r="E196" s="305"/>
      <c r="F196" s="305"/>
      <c r="G196" s="304"/>
      <c r="H196" s="305"/>
      <c r="I196" s="305"/>
      <c r="J196" s="302">
        <v>22</v>
      </c>
      <c r="K196" s="303">
        <v>14664</v>
      </c>
      <c r="L196" s="303">
        <v>18239</v>
      </c>
      <c r="M196" s="302">
        <v>21</v>
      </c>
      <c r="N196" s="303">
        <v>14196</v>
      </c>
      <c r="O196" s="303">
        <v>15153</v>
      </c>
      <c r="P196" s="304"/>
      <c r="Q196" s="305"/>
      <c r="R196" s="305"/>
      <c r="S196" s="302">
        <v>14</v>
      </c>
      <c r="T196" s="303">
        <v>5460</v>
      </c>
      <c r="U196" s="303">
        <v>9828</v>
      </c>
      <c r="V196" s="321" t="s">
        <v>1649</v>
      </c>
      <c r="W196" s="321" t="s">
        <v>1649</v>
      </c>
      <c r="X196" s="321" t="s">
        <v>1649</v>
      </c>
      <c r="Y196" s="321" t="s">
        <v>1648</v>
      </c>
      <c r="Z196" s="321" t="s">
        <v>1649</v>
      </c>
      <c r="AA196" s="321" t="s">
        <v>1649</v>
      </c>
      <c r="AB196" s="321" t="s">
        <v>1649</v>
      </c>
      <c r="AC196" s="321" t="s">
        <v>1649</v>
      </c>
      <c r="AD196" s="321" t="s">
        <v>1649</v>
      </c>
      <c r="AE196" s="321" t="s">
        <v>1649</v>
      </c>
      <c r="AF196" s="321" t="s">
        <v>1649</v>
      </c>
      <c r="AG196" s="321" t="s">
        <v>1649</v>
      </c>
      <c r="AH196" s="165" t="s">
        <v>3588</v>
      </c>
      <c r="AI196" s="321" t="s">
        <v>1649</v>
      </c>
      <c r="AJ196" s="321" t="s">
        <v>1649</v>
      </c>
      <c r="AK196" s="321" t="s">
        <v>1649</v>
      </c>
      <c r="AL196" s="321" t="s">
        <v>1648</v>
      </c>
      <c r="AM196" s="321" t="s">
        <v>1649</v>
      </c>
      <c r="AN196" s="321" t="s">
        <v>1649</v>
      </c>
      <c r="AO196" s="321" t="s">
        <v>1649</v>
      </c>
      <c r="AP196" s="321" t="s">
        <v>1649</v>
      </c>
      <c r="AQ196" s="321" t="s">
        <v>1649</v>
      </c>
      <c r="AR196" s="321" t="s">
        <v>1649</v>
      </c>
      <c r="AS196" s="321" t="s">
        <v>1649</v>
      </c>
      <c r="AT196" s="321" t="s">
        <v>1649</v>
      </c>
      <c r="AU196" s="307" t="s">
        <v>3588</v>
      </c>
    </row>
    <row r="197" spans="1:47" ht="13.5" thickBot="1" x14ac:dyDescent="0.25">
      <c r="A197" s="48" t="s">
        <v>576</v>
      </c>
      <c r="B197" s="291" t="s">
        <v>575</v>
      </c>
      <c r="C197" s="298" t="s">
        <v>25</v>
      </c>
      <c r="D197" s="302">
        <v>20</v>
      </c>
      <c r="E197" s="303">
        <v>20800</v>
      </c>
      <c r="F197" s="303">
        <v>35500</v>
      </c>
      <c r="G197" s="304"/>
      <c r="H197" s="305"/>
      <c r="I197" s="305"/>
      <c r="J197" s="304"/>
      <c r="K197" s="305"/>
      <c r="L197" s="305"/>
      <c r="M197" s="302">
        <v>20</v>
      </c>
      <c r="N197" s="303">
        <v>8320</v>
      </c>
      <c r="O197" s="303">
        <v>10000</v>
      </c>
      <c r="P197" s="302">
        <v>40</v>
      </c>
      <c r="Q197" s="303">
        <v>23000</v>
      </c>
      <c r="R197" s="303">
        <v>23000</v>
      </c>
      <c r="S197" s="304"/>
      <c r="T197" s="305"/>
      <c r="U197" s="305"/>
      <c r="V197" s="321" t="s">
        <v>1649</v>
      </c>
      <c r="W197" s="321" t="s">
        <v>1649</v>
      </c>
      <c r="X197" s="321" t="s">
        <v>1649</v>
      </c>
      <c r="Y197" s="321" t="s">
        <v>1649</v>
      </c>
      <c r="Z197" s="321" t="s">
        <v>1649</v>
      </c>
      <c r="AA197" s="321" t="s">
        <v>1648</v>
      </c>
      <c r="AB197" s="321" t="s">
        <v>1648</v>
      </c>
      <c r="AC197" s="321" t="s">
        <v>1648</v>
      </c>
      <c r="AD197" s="321" t="s">
        <v>1648</v>
      </c>
      <c r="AE197" s="321" t="s">
        <v>1649</v>
      </c>
      <c r="AF197" s="321" t="s">
        <v>1648</v>
      </c>
      <c r="AG197" s="321" t="s">
        <v>1649</v>
      </c>
      <c r="AH197" s="300" t="s">
        <v>1613</v>
      </c>
      <c r="AI197" s="321" t="s">
        <v>1649</v>
      </c>
      <c r="AJ197" s="321" t="s">
        <v>1649</v>
      </c>
      <c r="AK197" s="321" t="s">
        <v>1649</v>
      </c>
      <c r="AL197" s="321" t="s">
        <v>1649</v>
      </c>
      <c r="AM197" s="321" t="s">
        <v>1649</v>
      </c>
      <c r="AN197" s="321" t="s">
        <v>1649</v>
      </c>
      <c r="AO197" s="321" t="s">
        <v>1649</v>
      </c>
      <c r="AP197" s="321" t="s">
        <v>1648</v>
      </c>
      <c r="AQ197" s="321" t="s">
        <v>1649</v>
      </c>
      <c r="AR197" s="321" t="s">
        <v>1649</v>
      </c>
      <c r="AS197" s="321" t="s">
        <v>1648</v>
      </c>
      <c r="AT197" s="321" t="s">
        <v>1649</v>
      </c>
      <c r="AU197" s="301" t="s">
        <v>1613</v>
      </c>
    </row>
    <row r="198" spans="1:47" ht="13.5" thickBot="1" x14ac:dyDescent="0.25">
      <c r="A198" s="48" t="s">
        <v>584</v>
      </c>
      <c r="B198" s="291" t="s">
        <v>583</v>
      </c>
      <c r="C198" s="298" t="s">
        <v>25</v>
      </c>
      <c r="D198" s="302">
        <v>34</v>
      </c>
      <c r="E198" s="303">
        <v>63292</v>
      </c>
      <c r="F198" s="303">
        <v>63292</v>
      </c>
      <c r="G198" s="302">
        <v>32</v>
      </c>
      <c r="H198" s="303">
        <v>38480</v>
      </c>
      <c r="I198" s="303">
        <v>834200</v>
      </c>
      <c r="J198" s="302">
        <v>34</v>
      </c>
      <c r="K198" s="303">
        <v>42640</v>
      </c>
      <c r="L198" s="303">
        <v>104000</v>
      </c>
      <c r="M198" s="302">
        <v>28</v>
      </c>
      <c r="N198" s="303">
        <v>38480</v>
      </c>
      <c r="O198" s="303">
        <v>83200</v>
      </c>
      <c r="P198" s="299" t="s">
        <v>1613</v>
      </c>
      <c r="Q198" s="299" t="s">
        <v>1613</v>
      </c>
      <c r="R198" s="299" t="s">
        <v>1613</v>
      </c>
      <c r="S198" s="302">
        <v>28</v>
      </c>
      <c r="T198" s="303">
        <v>21840</v>
      </c>
      <c r="U198" s="303">
        <v>43680</v>
      </c>
      <c r="V198" s="321" t="s">
        <v>1649</v>
      </c>
      <c r="W198" s="321" t="s">
        <v>1649</v>
      </c>
      <c r="X198" s="321" t="s">
        <v>1649</v>
      </c>
      <c r="Y198" s="321" t="s">
        <v>1649</v>
      </c>
      <c r="Z198" s="321" t="s">
        <v>1649</v>
      </c>
      <c r="AA198" s="321" t="s">
        <v>1648</v>
      </c>
      <c r="AB198" s="321" t="s">
        <v>1648</v>
      </c>
      <c r="AC198" s="321" t="s">
        <v>1648</v>
      </c>
      <c r="AD198" s="321" t="s">
        <v>1649</v>
      </c>
      <c r="AE198" s="321" t="s">
        <v>1649</v>
      </c>
      <c r="AF198" s="321" t="s">
        <v>1648</v>
      </c>
      <c r="AG198" s="321" t="s">
        <v>1649</v>
      </c>
      <c r="AH198" s="165" t="s">
        <v>3590</v>
      </c>
      <c r="AI198" s="321" t="s">
        <v>1649</v>
      </c>
      <c r="AJ198" s="321" t="s">
        <v>1649</v>
      </c>
      <c r="AK198" s="321" t="s">
        <v>1649</v>
      </c>
      <c r="AL198" s="321" t="s">
        <v>1649</v>
      </c>
      <c r="AM198" s="321" t="s">
        <v>1649</v>
      </c>
      <c r="AN198" s="321" t="s">
        <v>1649</v>
      </c>
      <c r="AO198" s="321" t="s">
        <v>1648</v>
      </c>
      <c r="AP198" s="321" t="s">
        <v>1649</v>
      </c>
      <c r="AQ198" s="321" t="s">
        <v>1649</v>
      </c>
      <c r="AR198" s="321" t="s">
        <v>1649</v>
      </c>
      <c r="AS198" s="321" t="s">
        <v>1649</v>
      </c>
      <c r="AT198" s="321" t="s">
        <v>1649</v>
      </c>
      <c r="AU198" s="307" t="s">
        <v>3590</v>
      </c>
    </row>
    <row r="199" spans="1:47" ht="13.5" thickBot="1" x14ac:dyDescent="0.25">
      <c r="A199" s="48" t="s">
        <v>610</v>
      </c>
      <c r="B199" s="291" t="s">
        <v>609</v>
      </c>
      <c r="C199" s="298" t="s">
        <v>25</v>
      </c>
      <c r="D199" s="302">
        <v>36</v>
      </c>
      <c r="E199" s="303">
        <v>27000</v>
      </c>
      <c r="F199" s="303">
        <v>35000</v>
      </c>
      <c r="G199" s="299" t="s">
        <v>1613</v>
      </c>
      <c r="H199" s="299" t="s">
        <v>1613</v>
      </c>
      <c r="I199" s="299" t="s">
        <v>1613</v>
      </c>
      <c r="J199" s="302">
        <v>30</v>
      </c>
      <c r="K199" s="303">
        <v>22000</v>
      </c>
      <c r="L199" s="303">
        <v>28000</v>
      </c>
      <c r="M199" s="302">
        <v>25</v>
      </c>
      <c r="N199" s="303">
        <v>15000</v>
      </c>
      <c r="O199" s="303">
        <v>22000</v>
      </c>
      <c r="P199" s="299" t="s">
        <v>1613</v>
      </c>
      <c r="Q199" s="299" t="s">
        <v>1613</v>
      </c>
      <c r="R199" s="299" t="s">
        <v>1613</v>
      </c>
      <c r="S199" s="302">
        <v>15</v>
      </c>
      <c r="T199" s="303">
        <v>5000</v>
      </c>
      <c r="U199" s="303">
        <v>12000</v>
      </c>
      <c r="V199" s="321" t="s">
        <v>1648</v>
      </c>
      <c r="W199" s="321" t="s">
        <v>1649</v>
      </c>
      <c r="X199" s="321" t="s">
        <v>1649</v>
      </c>
      <c r="Y199" s="321" t="s">
        <v>1648</v>
      </c>
      <c r="Z199" s="321" t="s">
        <v>1649</v>
      </c>
      <c r="AA199" s="321" t="s">
        <v>1648</v>
      </c>
      <c r="AB199" s="321" t="s">
        <v>1648</v>
      </c>
      <c r="AC199" s="321" t="s">
        <v>1648</v>
      </c>
      <c r="AD199" s="321" t="s">
        <v>1649</v>
      </c>
      <c r="AE199" s="321" t="s">
        <v>1649</v>
      </c>
      <c r="AF199" s="321" t="s">
        <v>1649</v>
      </c>
      <c r="AG199" s="321" t="s">
        <v>1649</v>
      </c>
      <c r="AH199" s="300" t="s">
        <v>1613</v>
      </c>
      <c r="AI199" s="321" t="s">
        <v>1649</v>
      </c>
      <c r="AJ199" s="321" t="s">
        <v>1649</v>
      </c>
      <c r="AK199" s="321" t="s">
        <v>1649</v>
      </c>
      <c r="AL199" s="321" t="s">
        <v>1648</v>
      </c>
      <c r="AM199" s="321" t="s">
        <v>1649</v>
      </c>
      <c r="AN199" s="321" t="s">
        <v>1648</v>
      </c>
      <c r="AO199" s="321" t="s">
        <v>1648</v>
      </c>
      <c r="AP199" s="321" t="s">
        <v>1648</v>
      </c>
      <c r="AQ199" s="321" t="s">
        <v>1649</v>
      </c>
      <c r="AR199" s="321" t="s">
        <v>1649</v>
      </c>
      <c r="AS199" s="321" t="s">
        <v>1649</v>
      </c>
      <c r="AT199" s="321" t="s">
        <v>1649</v>
      </c>
      <c r="AU199" s="301" t="s">
        <v>1613</v>
      </c>
    </row>
    <row r="200" spans="1:47" ht="13.5" thickBot="1" x14ac:dyDescent="0.25">
      <c r="A200" s="48" t="s">
        <v>618</v>
      </c>
      <c r="B200" s="291" t="s">
        <v>617</v>
      </c>
      <c r="C200" s="298" t="s">
        <v>25</v>
      </c>
      <c r="D200" s="302">
        <v>32</v>
      </c>
      <c r="E200" s="303">
        <v>14034</v>
      </c>
      <c r="F200" s="303">
        <v>32340</v>
      </c>
      <c r="G200" s="299" t="s">
        <v>1613</v>
      </c>
      <c r="H200" s="305"/>
      <c r="I200" s="305"/>
      <c r="J200" s="304"/>
      <c r="K200" s="305"/>
      <c r="L200" s="305"/>
      <c r="M200" s="304"/>
      <c r="N200" s="305"/>
      <c r="O200" s="305"/>
      <c r="P200" s="304"/>
      <c r="Q200" s="305"/>
      <c r="R200" s="305"/>
      <c r="S200" s="302">
        <v>21</v>
      </c>
      <c r="T200" s="303">
        <v>8400</v>
      </c>
      <c r="U200" s="303">
        <v>13440</v>
      </c>
      <c r="V200" s="321" t="s">
        <v>1649</v>
      </c>
      <c r="W200" s="321" t="s">
        <v>1649</v>
      </c>
      <c r="X200" s="321" t="s">
        <v>1649</v>
      </c>
      <c r="Y200" s="321" t="s">
        <v>1649</v>
      </c>
      <c r="Z200" s="321" t="s">
        <v>1649</v>
      </c>
      <c r="AA200" s="321" t="s">
        <v>1649</v>
      </c>
      <c r="AB200" s="321" t="s">
        <v>1649</v>
      </c>
      <c r="AC200" s="321" t="s">
        <v>1649</v>
      </c>
      <c r="AD200" s="321" t="s">
        <v>1649</v>
      </c>
      <c r="AE200" s="321" t="s">
        <v>1649</v>
      </c>
      <c r="AF200" s="321" t="s">
        <v>1649</v>
      </c>
      <c r="AG200" s="321" t="s">
        <v>1649</v>
      </c>
      <c r="AH200" s="300" t="s">
        <v>1613</v>
      </c>
      <c r="AI200" s="321" t="s">
        <v>1649</v>
      </c>
      <c r="AJ200" s="321" t="s">
        <v>1649</v>
      </c>
      <c r="AK200" s="321" t="s">
        <v>1649</v>
      </c>
      <c r="AL200" s="321" t="s">
        <v>1649</v>
      </c>
      <c r="AM200" s="321" t="s">
        <v>1649</v>
      </c>
      <c r="AN200" s="321" t="s">
        <v>1649</v>
      </c>
      <c r="AO200" s="321" t="s">
        <v>1649</v>
      </c>
      <c r="AP200" s="321" t="s">
        <v>1649</v>
      </c>
      <c r="AQ200" s="321" t="s">
        <v>1649</v>
      </c>
      <c r="AR200" s="321" t="s">
        <v>1649</v>
      </c>
      <c r="AS200" s="321" t="s">
        <v>1648</v>
      </c>
      <c r="AT200" s="321" t="s">
        <v>1649</v>
      </c>
      <c r="AU200" s="301" t="s">
        <v>1613</v>
      </c>
    </row>
    <row r="201" spans="1:47" ht="13.5" thickBot="1" x14ac:dyDescent="0.25">
      <c r="A201" s="48" t="s">
        <v>626</v>
      </c>
      <c r="B201" s="291" t="s">
        <v>625</v>
      </c>
      <c r="C201" s="298" t="s">
        <v>25</v>
      </c>
      <c r="D201" s="302">
        <v>32</v>
      </c>
      <c r="E201" s="303">
        <v>27000</v>
      </c>
      <c r="F201" s="303">
        <v>36000</v>
      </c>
      <c r="G201" s="304"/>
      <c r="H201" s="305"/>
      <c r="I201" s="305"/>
      <c r="J201" s="302">
        <v>25</v>
      </c>
      <c r="K201" s="303">
        <v>12000</v>
      </c>
      <c r="L201" s="303">
        <v>15000</v>
      </c>
      <c r="M201" s="302">
        <v>26</v>
      </c>
      <c r="N201" s="303">
        <v>15000</v>
      </c>
      <c r="O201" s="303">
        <v>15000</v>
      </c>
      <c r="P201" s="304"/>
      <c r="Q201" s="305"/>
      <c r="R201" s="305"/>
      <c r="S201" s="302">
        <v>28</v>
      </c>
      <c r="T201" s="303">
        <v>13000</v>
      </c>
      <c r="U201" s="303">
        <v>15000</v>
      </c>
      <c r="V201" s="321" t="s">
        <v>1649</v>
      </c>
      <c r="W201" s="321" t="s">
        <v>1649</v>
      </c>
      <c r="X201" s="321" t="s">
        <v>1649</v>
      </c>
      <c r="Y201" s="321" t="s">
        <v>1649</v>
      </c>
      <c r="Z201" s="321" t="s">
        <v>1649</v>
      </c>
      <c r="AA201" s="321" t="s">
        <v>1649</v>
      </c>
      <c r="AB201" s="321" t="s">
        <v>1648</v>
      </c>
      <c r="AC201" s="321" t="s">
        <v>1648</v>
      </c>
      <c r="AD201" s="321" t="s">
        <v>1648</v>
      </c>
      <c r="AE201" s="321" t="s">
        <v>1649</v>
      </c>
      <c r="AF201" s="321" t="s">
        <v>1648</v>
      </c>
      <c r="AG201" s="321" t="s">
        <v>1649</v>
      </c>
      <c r="AH201" s="165" t="s">
        <v>3594</v>
      </c>
      <c r="AI201" s="321" t="s">
        <v>1649</v>
      </c>
      <c r="AJ201" s="321" t="s">
        <v>1649</v>
      </c>
      <c r="AK201" s="321" t="s">
        <v>1649</v>
      </c>
      <c r="AL201" s="321" t="s">
        <v>1649</v>
      </c>
      <c r="AM201" s="321" t="s">
        <v>1649</v>
      </c>
      <c r="AN201" s="321" t="s">
        <v>1649</v>
      </c>
      <c r="AO201" s="321" t="s">
        <v>1648</v>
      </c>
      <c r="AP201" s="321" t="s">
        <v>1649</v>
      </c>
      <c r="AQ201" s="321" t="s">
        <v>1649</v>
      </c>
      <c r="AR201" s="321" t="s">
        <v>1649</v>
      </c>
      <c r="AS201" s="321" t="s">
        <v>1648</v>
      </c>
      <c r="AT201" s="321" t="s">
        <v>1649</v>
      </c>
      <c r="AU201" s="301" t="s">
        <v>1613</v>
      </c>
    </row>
    <row r="202" spans="1:47" ht="13.5" thickBot="1" x14ac:dyDescent="0.25">
      <c r="A202" s="48" t="s">
        <v>634</v>
      </c>
      <c r="B202" s="291" t="s">
        <v>633</v>
      </c>
      <c r="C202" s="298" t="s">
        <v>25</v>
      </c>
      <c r="D202" s="299" t="s">
        <v>1613</v>
      </c>
      <c r="E202" s="299" t="s">
        <v>1613</v>
      </c>
      <c r="F202" s="299" t="s">
        <v>1613</v>
      </c>
      <c r="G202" s="299" t="s">
        <v>1613</v>
      </c>
      <c r="H202" s="299" t="s">
        <v>1613</v>
      </c>
      <c r="I202" s="299" t="s">
        <v>1613</v>
      </c>
      <c r="J202" s="299" t="s">
        <v>1613</v>
      </c>
      <c r="K202" s="299" t="s">
        <v>1613</v>
      </c>
      <c r="L202" s="299" t="s">
        <v>1613</v>
      </c>
      <c r="M202" s="299" t="s">
        <v>1613</v>
      </c>
      <c r="N202" s="303">
        <v>18720</v>
      </c>
      <c r="O202" s="303">
        <v>22880</v>
      </c>
      <c r="P202" s="299" t="s">
        <v>1613</v>
      </c>
      <c r="Q202" s="299" t="s">
        <v>1613</v>
      </c>
      <c r="R202" s="299" t="s">
        <v>1613</v>
      </c>
      <c r="S202" s="299" t="s">
        <v>1613</v>
      </c>
      <c r="T202" s="303">
        <v>12480</v>
      </c>
      <c r="U202" s="303">
        <v>14560</v>
      </c>
      <c r="V202" s="321" t="s">
        <v>1649</v>
      </c>
      <c r="W202" s="321" t="s">
        <v>1649</v>
      </c>
      <c r="X202" s="321" t="s">
        <v>1649</v>
      </c>
      <c r="Y202" s="321" t="s">
        <v>1649</v>
      </c>
      <c r="Z202" s="321" t="s">
        <v>1649</v>
      </c>
      <c r="AA202" s="321" t="s">
        <v>1649</v>
      </c>
      <c r="AB202" s="321" t="s">
        <v>1649</v>
      </c>
      <c r="AC202" s="321" t="s">
        <v>1649</v>
      </c>
      <c r="AD202" s="321" t="s">
        <v>1649</v>
      </c>
      <c r="AE202" s="321" t="s">
        <v>1649</v>
      </c>
      <c r="AF202" s="321" t="s">
        <v>1649</v>
      </c>
      <c r="AG202" s="321" t="s">
        <v>1649</v>
      </c>
      <c r="AH202" s="300" t="s">
        <v>1613</v>
      </c>
      <c r="AI202" s="321" t="s">
        <v>1649</v>
      </c>
      <c r="AJ202" s="321" t="s">
        <v>1649</v>
      </c>
      <c r="AK202" s="321" t="s">
        <v>1649</v>
      </c>
      <c r="AL202" s="321" t="s">
        <v>1649</v>
      </c>
      <c r="AM202" s="321" t="s">
        <v>1649</v>
      </c>
      <c r="AN202" s="321" t="s">
        <v>1649</v>
      </c>
      <c r="AO202" s="321" t="s">
        <v>1649</v>
      </c>
      <c r="AP202" s="321" t="s">
        <v>1649</v>
      </c>
      <c r="AQ202" s="321" t="s">
        <v>1649</v>
      </c>
      <c r="AR202" s="321" t="s">
        <v>1649</v>
      </c>
      <c r="AS202" s="321" t="s">
        <v>1649</v>
      </c>
      <c r="AT202" s="321" t="s">
        <v>1649</v>
      </c>
      <c r="AU202" s="301" t="s">
        <v>1613</v>
      </c>
    </row>
    <row r="203" spans="1:47" ht="13.5" thickBot="1" x14ac:dyDescent="0.25">
      <c r="A203" s="48" t="s">
        <v>650</v>
      </c>
      <c r="B203" s="291" t="s">
        <v>649</v>
      </c>
      <c r="C203" s="298" t="s">
        <v>25</v>
      </c>
      <c r="D203" s="304"/>
      <c r="E203" s="305"/>
      <c r="F203" s="305"/>
      <c r="G203" s="302">
        <v>40</v>
      </c>
      <c r="H203" s="303">
        <v>33000</v>
      </c>
      <c r="I203" s="303">
        <v>39000</v>
      </c>
      <c r="J203" s="304"/>
      <c r="K203" s="305"/>
      <c r="L203" s="305"/>
      <c r="M203" s="304"/>
      <c r="N203" s="305"/>
      <c r="O203" s="305"/>
      <c r="P203" s="302">
        <v>40</v>
      </c>
      <c r="Q203" s="303">
        <v>33000</v>
      </c>
      <c r="R203" s="303">
        <v>39000</v>
      </c>
      <c r="S203" s="302">
        <v>20</v>
      </c>
      <c r="T203" s="303">
        <v>11440</v>
      </c>
      <c r="U203" s="303">
        <v>13520</v>
      </c>
      <c r="V203" s="321" t="s">
        <v>1648</v>
      </c>
      <c r="W203" s="321" t="s">
        <v>1648</v>
      </c>
      <c r="X203" s="321" t="s">
        <v>1648</v>
      </c>
      <c r="Y203" s="321" t="s">
        <v>1649</v>
      </c>
      <c r="Z203" s="321" t="s">
        <v>1648</v>
      </c>
      <c r="AA203" s="321" t="s">
        <v>1648</v>
      </c>
      <c r="AB203" s="321" t="s">
        <v>1648</v>
      </c>
      <c r="AC203" s="321" t="s">
        <v>1648</v>
      </c>
      <c r="AD203" s="321" t="s">
        <v>1649</v>
      </c>
      <c r="AE203" s="321" t="s">
        <v>1648</v>
      </c>
      <c r="AF203" s="321" t="s">
        <v>1648</v>
      </c>
      <c r="AG203" s="321" t="s">
        <v>1649</v>
      </c>
      <c r="AH203" s="165" t="s">
        <v>3599</v>
      </c>
      <c r="AI203" s="321" t="s">
        <v>1649</v>
      </c>
      <c r="AJ203" s="321" t="s">
        <v>1649</v>
      </c>
      <c r="AK203" s="321" t="s">
        <v>1649</v>
      </c>
      <c r="AL203" s="321" t="s">
        <v>1649</v>
      </c>
      <c r="AM203" s="321" t="s">
        <v>1649</v>
      </c>
      <c r="AN203" s="321" t="s">
        <v>1649</v>
      </c>
      <c r="AO203" s="321" t="s">
        <v>1649</v>
      </c>
      <c r="AP203" s="321" t="s">
        <v>1648</v>
      </c>
      <c r="AQ203" s="321" t="s">
        <v>1649</v>
      </c>
      <c r="AR203" s="321" t="s">
        <v>1649</v>
      </c>
      <c r="AS203" s="321" t="s">
        <v>1649</v>
      </c>
      <c r="AT203" s="321" t="s">
        <v>1649</v>
      </c>
      <c r="AU203" s="301" t="s">
        <v>1613</v>
      </c>
    </row>
    <row r="204" spans="1:47" ht="13.5" thickBot="1" x14ac:dyDescent="0.25">
      <c r="A204" s="48" t="s">
        <v>652</v>
      </c>
      <c r="B204" s="291" t="s">
        <v>651</v>
      </c>
      <c r="C204" s="298" t="s">
        <v>25</v>
      </c>
      <c r="D204" s="299" t="s">
        <v>1613</v>
      </c>
      <c r="E204" s="299" t="s">
        <v>1613</v>
      </c>
      <c r="F204" s="299" t="s">
        <v>1613</v>
      </c>
      <c r="G204" s="299" t="s">
        <v>1613</v>
      </c>
      <c r="H204" s="299" t="s">
        <v>1613</v>
      </c>
      <c r="I204" s="299" t="s">
        <v>1613</v>
      </c>
      <c r="J204" s="302">
        <v>21</v>
      </c>
      <c r="K204" s="303">
        <v>10561</v>
      </c>
      <c r="L204" s="303">
        <v>12000</v>
      </c>
      <c r="M204" s="302">
        <v>15</v>
      </c>
      <c r="N204" s="303">
        <v>3785</v>
      </c>
      <c r="O204" s="303">
        <v>7683</v>
      </c>
      <c r="P204" s="304"/>
      <c r="Q204" s="305"/>
      <c r="R204" s="305"/>
      <c r="S204" s="302">
        <v>21</v>
      </c>
      <c r="T204" s="303">
        <v>10756</v>
      </c>
      <c r="U204" s="303">
        <v>16918</v>
      </c>
      <c r="V204" s="321" t="s">
        <v>1649</v>
      </c>
      <c r="W204" s="321" t="s">
        <v>1649</v>
      </c>
      <c r="X204" s="321" t="s">
        <v>1649</v>
      </c>
      <c r="Y204" s="321" t="s">
        <v>1649</v>
      </c>
      <c r="Z204" s="321" t="s">
        <v>1649</v>
      </c>
      <c r="AA204" s="321" t="s">
        <v>1649</v>
      </c>
      <c r="AB204" s="321" t="s">
        <v>1649</v>
      </c>
      <c r="AC204" s="321" t="s">
        <v>1649</v>
      </c>
      <c r="AD204" s="321" t="s">
        <v>1649</v>
      </c>
      <c r="AE204" s="321" t="s">
        <v>1649</v>
      </c>
      <c r="AF204" s="321" t="s">
        <v>1649</v>
      </c>
      <c r="AG204" s="321" t="s">
        <v>1649</v>
      </c>
      <c r="AH204" s="300" t="s">
        <v>1613</v>
      </c>
      <c r="AI204" s="321" t="s">
        <v>1649</v>
      </c>
      <c r="AJ204" s="321" t="s">
        <v>1649</v>
      </c>
      <c r="AK204" s="321" t="s">
        <v>1649</v>
      </c>
      <c r="AL204" s="321" t="s">
        <v>1649</v>
      </c>
      <c r="AM204" s="321" t="s">
        <v>1649</v>
      </c>
      <c r="AN204" s="321" t="s">
        <v>1649</v>
      </c>
      <c r="AO204" s="321" t="s">
        <v>1648</v>
      </c>
      <c r="AP204" s="321" t="s">
        <v>1648</v>
      </c>
      <c r="AQ204" s="321" t="s">
        <v>1649</v>
      </c>
      <c r="AR204" s="321" t="s">
        <v>1649</v>
      </c>
      <c r="AS204" s="321" t="s">
        <v>1648</v>
      </c>
      <c r="AT204" s="321" t="s">
        <v>1649</v>
      </c>
      <c r="AU204" s="301" t="s">
        <v>1613</v>
      </c>
    </row>
    <row r="205" spans="1:47" ht="13.5" thickBot="1" x14ac:dyDescent="0.25">
      <c r="A205" s="48" t="s">
        <v>660</v>
      </c>
      <c r="B205" s="291" t="s">
        <v>659</v>
      </c>
      <c r="C205" s="298" t="s">
        <v>25</v>
      </c>
      <c r="D205" s="302">
        <v>31</v>
      </c>
      <c r="E205" s="303">
        <v>23293</v>
      </c>
      <c r="F205" s="303">
        <v>32310</v>
      </c>
      <c r="G205" s="299" t="s">
        <v>1613</v>
      </c>
      <c r="H205" s="299" t="s">
        <v>1613</v>
      </c>
      <c r="I205" s="299" t="s">
        <v>1613</v>
      </c>
      <c r="J205" s="302">
        <v>26</v>
      </c>
      <c r="K205" s="303">
        <v>17711</v>
      </c>
      <c r="L205" s="303">
        <v>29291</v>
      </c>
      <c r="M205" s="302">
        <v>22</v>
      </c>
      <c r="N205" s="303">
        <v>12402</v>
      </c>
      <c r="O205" s="303">
        <v>423701</v>
      </c>
      <c r="P205" s="299" t="s">
        <v>1613</v>
      </c>
      <c r="Q205" s="299" t="s">
        <v>1613</v>
      </c>
      <c r="R205" s="299" t="s">
        <v>1613</v>
      </c>
      <c r="S205" s="302">
        <v>12</v>
      </c>
      <c r="T205" s="303">
        <v>6890</v>
      </c>
      <c r="U205" s="303">
        <v>23701</v>
      </c>
      <c r="V205" s="321" t="s">
        <v>1649</v>
      </c>
      <c r="W205" s="321" t="s">
        <v>1649</v>
      </c>
      <c r="X205" s="321" t="s">
        <v>1649</v>
      </c>
      <c r="Y205" s="321" t="s">
        <v>1649</v>
      </c>
      <c r="Z205" s="321" t="s">
        <v>1649</v>
      </c>
      <c r="AA205" s="321" t="s">
        <v>1649</v>
      </c>
      <c r="AB205" s="321" t="s">
        <v>1648</v>
      </c>
      <c r="AC205" s="321" t="s">
        <v>1648</v>
      </c>
      <c r="AD205" s="321" t="s">
        <v>1649</v>
      </c>
      <c r="AE205" s="321" t="s">
        <v>1649</v>
      </c>
      <c r="AF205" s="321" t="s">
        <v>1649</v>
      </c>
      <c r="AG205" s="321" t="s">
        <v>1649</v>
      </c>
      <c r="AH205" s="300"/>
      <c r="AI205" s="321" t="s">
        <v>1649</v>
      </c>
      <c r="AJ205" s="321" t="s">
        <v>1649</v>
      </c>
      <c r="AK205" s="321" t="s">
        <v>1649</v>
      </c>
      <c r="AL205" s="321" t="s">
        <v>1649</v>
      </c>
      <c r="AM205" s="321" t="s">
        <v>1649</v>
      </c>
      <c r="AN205" s="321" t="s">
        <v>1649</v>
      </c>
      <c r="AO205" s="321" t="s">
        <v>1648</v>
      </c>
      <c r="AP205" s="321" t="s">
        <v>1648</v>
      </c>
      <c r="AQ205" s="321" t="s">
        <v>1649</v>
      </c>
      <c r="AR205" s="321" t="s">
        <v>1649</v>
      </c>
      <c r="AS205" s="321" t="s">
        <v>1649</v>
      </c>
      <c r="AT205" s="321" t="s">
        <v>1649</v>
      </c>
      <c r="AU205" s="301"/>
    </row>
    <row r="206" spans="1:47" ht="13.5" thickBot="1" x14ac:dyDescent="0.25">
      <c r="A206" s="48" t="s">
        <v>666</v>
      </c>
      <c r="B206" s="291" t="s">
        <v>665</v>
      </c>
      <c r="C206" s="298" t="s">
        <v>25</v>
      </c>
      <c r="D206" s="299" t="s">
        <v>1613</v>
      </c>
      <c r="E206" s="299" t="s">
        <v>1613</v>
      </c>
      <c r="F206" s="299" t="s">
        <v>1613</v>
      </c>
      <c r="G206" s="299" t="s">
        <v>1613</v>
      </c>
      <c r="H206" s="299" t="s">
        <v>1613</v>
      </c>
      <c r="I206" s="299" t="s">
        <v>1613</v>
      </c>
      <c r="J206" s="302">
        <v>20</v>
      </c>
      <c r="K206" s="303">
        <v>12500</v>
      </c>
      <c r="L206" s="303">
        <v>15000</v>
      </c>
      <c r="M206" s="302">
        <v>20</v>
      </c>
      <c r="N206" s="303">
        <v>8000</v>
      </c>
      <c r="O206" s="303">
        <v>10000</v>
      </c>
      <c r="P206" s="302">
        <v>20</v>
      </c>
      <c r="Q206" s="303">
        <v>12000</v>
      </c>
      <c r="R206" s="303">
        <v>15000</v>
      </c>
      <c r="S206" s="302">
        <v>10</v>
      </c>
      <c r="T206" s="303">
        <v>4000</v>
      </c>
      <c r="U206" s="303">
        <v>5000</v>
      </c>
      <c r="V206" s="321" t="s">
        <v>1649</v>
      </c>
      <c r="W206" s="321" t="s">
        <v>1649</v>
      </c>
      <c r="X206" s="321" t="s">
        <v>1649</v>
      </c>
      <c r="Y206" s="321" t="s">
        <v>1649</v>
      </c>
      <c r="Z206" s="321" t="s">
        <v>1649</v>
      </c>
      <c r="AA206" s="321" t="s">
        <v>1649</v>
      </c>
      <c r="AB206" s="321" t="s">
        <v>1649</v>
      </c>
      <c r="AC206" s="321" t="s">
        <v>1649</v>
      </c>
      <c r="AD206" s="321" t="s">
        <v>1649</v>
      </c>
      <c r="AE206" s="321" t="s">
        <v>1649</v>
      </c>
      <c r="AF206" s="321" t="s">
        <v>1649</v>
      </c>
      <c r="AG206" s="321" t="s">
        <v>1649</v>
      </c>
      <c r="AH206" s="300" t="s">
        <v>1613</v>
      </c>
      <c r="AI206" s="321" t="s">
        <v>1649</v>
      </c>
      <c r="AJ206" s="321" t="s">
        <v>1649</v>
      </c>
      <c r="AK206" s="321" t="s">
        <v>1649</v>
      </c>
      <c r="AL206" s="321" t="s">
        <v>1649</v>
      </c>
      <c r="AM206" s="321" t="s">
        <v>1649</v>
      </c>
      <c r="AN206" s="321" t="s">
        <v>1649</v>
      </c>
      <c r="AO206" s="321" t="s">
        <v>1649</v>
      </c>
      <c r="AP206" s="321" t="s">
        <v>1649</v>
      </c>
      <c r="AQ206" s="321" t="s">
        <v>1649</v>
      </c>
      <c r="AR206" s="321" t="s">
        <v>1649</v>
      </c>
      <c r="AS206" s="321" t="s">
        <v>1649</v>
      </c>
      <c r="AT206" s="321" t="s">
        <v>1649</v>
      </c>
      <c r="AU206" s="301" t="s">
        <v>1613</v>
      </c>
    </row>
    <row r="207" spans="1:47" ht="13.5" thickBot="1" x14ac:dyDescent="0.25">
      <c r="A207" s="48" t="s">
        <v>670</v>
      </c>
      <c r="B207" s="291" t="s">
        <v>669</v>
      </c>
      <c r="C207" s="298" t="s">
        <v>25</v>
      </c>
      <c r="D207" s="304"/>
      <c r="E207" s="305"/>
      <c r="F207" s="305"/>
      <c r="G207" s="302">
        <v>0</v>
      </c>
      <c r="H207" s="303">
        <v>18000</v>
      </c>
      <c r="I207" s="303">
        <v>24000</v>
      </c>
      <c r="J207" s="302">
        <v>37</v>
      </c>
      <c r="K207" s="303">
        <v>20000</v>
      </c>
      <c r="L207" s="303">
        <v>39000</v>
      </c>
      <c r="M207" s="302">
        <v>10</v>
      </c>
      <c r="N207" s="303">
        <v>5200</v>
      </c>
      <c r="O207" s="303">
        <v>19000</v>
      </c>
      <c r="P207" s="302">
        <v>10</v>
      </c>
      <c r="Q207" s="303">
        <v>5200</v>
      </c>
      <c r="R207" s="303">
        <v>19000</v>
      </c>
      <c r="S207" s="302">
        <v>30</v>
      </c>
      <c r="T207" s="303">
        <v>14000</v>
      </c>
      <c r="U207" s="303">
        <v>24000</v>
      </c>
      <c r="V207" s="321" t="s">
        <v>1648</v>
      </c>
      <c r="W207" s="321" t="s">
        <v>1648</v>
      </c>
      <c r="X207" s="321" t="s">
        <v>1649</v>
      </c>
      <c r="Y207" s="321" t="s">
        <v>1648</v>
      </c>
      <c r="Z207" s="321" t="s">
        <v>1649</v>
      </c>
      <c r="AA207" s="321" t="s">
        <v>1649</v>
      </c>
      <c r="AB207" s="321" t="s">
        <v>1648</v>
      </c>
      <c r="AC207" s="321" t="s">
        <v>1648</v>
      </c>
      <c r="AD207" s="321" t="s">
        <v>1649</v>
      </c>
      <c r="AE207" s="321" t="s">
        <v>1649</v>
      </c>
      <c r="AF207" s="321" t="s">
        <v>1648</v>
      </c>
      <c r="AG207" s="321" t="s">
        <v>1649</v>
      </c>
      <c r="AH207" s="300" t="s">
        <v>1613</v>
      </c>
      <c r="AI207" s="321" t="s">
        <v>1649</v>
      </c>
      <c r="AJ207" s="321" t="s">
        <v>1649</v>
      </c>
      <c r="AK207" s="321" t="s">
        <v>1649</v>
      </c>
      <c r="AL207" s="321" t="s">
        <v>1649</v>
      </c>
      <c r="AM207" s="321" t="s">
        <v>1649</v>
      </c>
      <c r="AN207" s="321" t="s">
        <v>1649</v>
      </c>
      <c r="AO207" s="321" t="s">
        <v>1649</v>
      </c>
      <c r="AP207" s="321" t="s">
        <v>1648</v>
      </c>
      <c r="AQ207" s="321" t="s">
        <v>1649</v>
      </c>
      <c r="AR207" s="321" t="s">
        <v>1649</v>
      </c>
      <c r="AS207" s="321" t="s">
        <v>1648</v>
      </c>
      <c r="AT207" s="321" t="s">
        <v>1649</v>
      </c>
      <c r="AU207" s="301" t="s">
        <v>1613</v>
      </c>
    </row>
    <row r="208" spans="1:47" ht="13.5" thickBot="1" x14ac:dyDescent="0.25">
      <c r="A208" s="48" t="s">
        <v>676</v>
      </c>
      <c r="B208" s="291" t="s">
        <v>675</v>
      </c>
      <c r="C208" s="298" t="s">
        <v>25</v>
      </c>
      <c r="D208" s="302">
        <v>40</v>
      </c>
      <c r="E208" s="303">
        <v>32240</v>
      </c>
      <c r="F208" s="303">
        <v>32240</v>
      </c>
      <c r="G208" s="299" t="s">
        <v>1613</v>
      </c>
      <c r="H208" s="299" t="s">
        <v>1613</v>
      </c>
      <c r="I208" s="299" t="s">
        <v>1613</v>
      </c>
      <c r="J208" s="299" t="s">
        <v>1613</v>
      </c>
      <c r="K208" s="299" t="s">
        <v>1613</v>
      </c>
      <c r="L208" s="299" t="s">
        <v>1613</v>
      </c>
      <c r="M208" s="299" t="s">
        <v>1613</v>
      </c>
      <c r="N208" s="299" t="s">
        <v>1613</v>
      </c>
      <c r="O208" s="299" t="s">
        <v>1613</v>
      </c>
      <c r="P208" s="299" t="s">
        <v>1613</v>
      </c>
      <c r="Q208" s="299" t="s">
        <v>1613</v>
      </c>
      <c r="R208" s="299" t="s">
        <v>1613</v>
      </c>
      <c r="S208" s="302">
        <v>25</v>
      </c>
      <c r="T208" s="303">
        <v>14300</v>
      </c>
      <c r="U208" s="303">
        <v>14820</v>
      </c>
      <c r="V208" s="321" t="s">
        <v>1648</v>
      </c>
      <c r="W208" s="321" t="s">
        <v>1648</v>
      </c>
      <c r="X208" s="321" t="s">
        <v>1649</v>
      </c>
      <c r="Y208" s="321" t="s">
        <v>1648</v>
      </c>
      <c r="Z208" s="321" t="s">
        <v>1649</v>
      </c>
      <c r="AA208" s="321" t="s">
        <v>1649</v>
      </c>
      <c r="AB208" s="321" t="s">
        <v>1649</v>
      </c>
      <c r="AC208" s="321" t="s">
        <v>1648</v>
      </c>
      <c r="AD208" s="321" t="s">
        <v>1649</v>
      </c>
      <c r="AE208" s="321" t="s">
        <v>1649</v>
      </c>
      <c r="AF208" s="321" t="s">
        <v>1648</v>
      </c>
      <c r="AG208" s="321" t="s">
        <v>1648</v>
      </c>
      <c r="AH208" s="300" t="s">
        <v>1613</v>
      </c>
      <c r="AI208" s="321" t="s">
        <v>1649</v>
      </c>
      <c r="AJ208" s="321" t="s">
        <v>1649</v>
      </c>
      <c r="AK208" s="321" t="s">
        <v>1649</v>
      </c>
      <c r="AL208" s="321" t="s">
        <v>1649</v>
      </c>
      <c r="AM208" s="321" t="s">
        <v>1649</v>
      </c>
      <c r="AN208" s="321" t="s">
        <v>1649</v>
      </c>
      <c r="AO208" s="321" t="s">
        <v>1649</v>
      </c>
      <c r="AP208" s="321" t="s">
        <v>1649</v>
      </c>
      <c r="AQ208" s="321" t="s">
        <v>1649</v>
      </c>
      <c r="AR208" s="321" t="s">
        <v>1649</v>
      </c>
      <c r="AS208" s="321" t="s">
        <v>1649</v>
      </c>
      <c r="AT208" s="321" t="s">
        <v>1649</v>
      </c>
      <c r="AU208" s="301" t="s">
        <v>1613</v>
      </c>
    </row>
    <row r="209" spans="1:47" ht="13.5" thickBot="1" x14ac:dyDescent="0.25">
      <c r="A209" s="48" t="s">
        <v>682</v>
      </c>
      <c r="B209" s="291" t="s">
        <v>681</v>
      </c>
      <c r="C209" s="298" t="s">
        <v>25</v>
      </c>
      <c r="D209" s="302">
        <v>35</v>
      </c>
      <c r="E209" s="303">
        <v>27000</v>
      </c>
      <c r="F209" s="303">
        <v>30000</v>
      </c>
      <c r="G209" s="304"/>
      <c r="H209" s="305"/>
      <c r="I209" s="305"/>
      <c r="J209" s="302">
        <v>30</v>
      </c>
      <c r="K209" s="303">
        <v>20000</v>
      </c>
      <c r="L209" s="303">
        <v>23000</v>
      </c>
      <c r="M209" s="302">
        <v>20</v>
      </c>
      <c r="N209" s="303">
        <v>9000</v>
      </c>
      <c r="O209" s="303">
        <v>11000</v>
      </c>
      <c r="P209" s="304"/>
      <c r="Q209" s="305"/>
      <c r="R209" s="305"/>
      <c r="S209" s="302">
        <v>9</v>
      </c>
      <c r="T209" s="303">
        <v>7000</v>
      </c>
      <c r="U209" s="303">
        <v>10000</v>
      </c>
      <c r="V209" s="321" t="s">
        <v>1648</v>
      </c>
      <c r="W209" s="321" t="s">
        <v>1649</v>
      </c>
      <c r="X209" s="321" t="s">
        <v>1649</v>
      </c>
      <c r="Y209" s="321" t="s">
        <v>1649</v>
      </c>
      <c r="Z209" s="321" t="s">
        <v>1648</v>
      </c>
      <c r="AA209" s="321" t="s">
        <v>1648</v>
      </c>
      <c r="AB209" s="321" t="s">
        <v>1648</v>
      </c>
      <c r="AC209" s="321" t="s">
        <v>1648</v>
      </c>
      <c r="AD209" s="321" t="s">
        <v>1648</v>
      </c>
      <c r="AE209" s="321" t="s">
        <v>1649</v>
      </c>
      <c r="AF209" s="321" t="s">
        <v>1648</v>
      </c>
      <c r="AG209" s="321" t="s">
        <v>1648</v>
      </c>
      <c r="AH209" s="300" t="s">
        <v>1613</v>
      </c>
      <c r="AI209" s="321" t="s">
        <v>1649</v>
      </c>
      <c r="AJ209" s="321" t="s">
        <v>1649</v>
      </c>
      <c r="AK209" s="321" t="s">
        <v>1649</v>
      </c>
      <c r="AL209" s="321" t="s">
        <v>1649</v>
      </c>
      <c r="AM209" s="321" t="s">
        <v>1649</v>
      </c>
      <c r="AN209" s="321" t="s">
        <v>1648</v>
      </c>
      <c r="AO209" s="321" t="s">
        <v>1648</v>
      </c>
      <c r="AP209" s="321" t="s">
        <v>1648</v>
      </c>
      <c r="AQ209" s="321" t="s">
        <v>1648</v>
      </c>
      <c r="AR209" s="321" t="s">
        <v>1649</v>
      </c>
      <c r="AS209" s="321" t="s">
        <v>1648</v>
      </c>
      <c r="AT209" s="321" t="s">
        <v>1648</v>
      </c>
      <c r="AU209" s="301" t="s">
        <v>1613</v>
      </c>
    </row>
    <row r="210" spans="1:47" ht="13.5" thickBot="1" x14ac:dyDescent="0.25">
      <c r="A210" s="48" t="s">
        <v>694</v>
      </c>
      <c r="B210" s="291" t="s">
        <v>693</v>
      </c>
      <c r="C210" s="298" t="s">
        <v>25</v>
      </c>
      <c r="D210" s="299" t="s">
        <v>1613</v>
      </c>
      <c r="E210" s="299" t="s">
        <v>1613</v>
      </c>
      <c r="F210" s="299" t="s">
        <v>1613</v>
      </c>
      <c r="G210" s="302">
        <v>40</v>
      </c>
      <c r="H210" s="303">
        <v>24000</v>
      </c>
      <c r="I210" s="303">
        <v>36000</v>
      </c>
      <c r="J210" s="302">
        <v>40</v>
      </c>
      <c r="K210" s="303">
        <v>24000</v>
      </c>
      <c r="L210" s="303">
        <v>42000</v>
      </c>
      <c r="M210" s="299" t="s">
        <v>1613</v>
      </c>
      <c r="N210" s="299" t="s">
        <v>1613</v>
      </c>
      <c r="O210" s="299" t="s">
        <v>1613</v>
      </c>
      <c r="P210" s="299" t="s">
        <v>1613</v>
      </c>
      <c r="Q210" s="299" t="s">
        <v>1613</v>
      </c>
      <c r="R210" s="299" t="s">
        <v>1613</v>
      </c>
      <c r="S210" s="302">
        <v>20</v>
      </c>
      <c r="T210" s="303">
        <v>9880</v>
      </c>
      <c r="U210" s="303">
        <v>15600</v>
      </c>
      <c r="V210" s="321" t="s">
        <v>1648</v>
      </c>
      <c r="W210" s="321" t="s">
        <v>1649</v>
      </c>
      <c r="X210" s="321" t="s">
        <v>1648</v>
      </c>
      <c r="Y210" s="321" t="s">
        <v>1648</v>
      </c>
      <c r="Z210" s="321" t="s">
        <v>1649</v>
      </c>
      <c r="AA210" s="321" t="s">
        <v>1648</v>
      </c>
      <c r="AB210" s="321" t="s">
        <v>1648</v>
      </c>
      <c r="AC210" s="321" t="s">
        <v>1648</v>
      </c>
      <c r="AD210" s="321" t="s">
        <v>1649</v>
      </c>
      <c r="AE210" s="321" t="s">
        <v>1648</v>
      </c>
      <c r="AF210" s="321" t="s">
        <v>1649</v>
      </c>
      <c r="AG210" s="321" t="s">
        <v>1649</v>
      </c>
      <c r="AH210" s="300" t="s">
        <v>1613</v>
      </c>
      <c r="AI210" s="321" t="s">
        <v>1649</v>
      </c>
      <c r="AJ210" s="321" t="s">
        <v>1649</v>
      </c>
      <c r="AK210" s="321" t="s">
        <v>1649</v>
      </c>
      <c r="AL210" s="321" t="s">
        <v>1649</v>
      </c>
      <c r="AM210" s="321" t="s">
        <v>1649</v>
      </c>
      <c r="AN210" s="321" t="s">
        <v>1649</v>
      </c>
      <c r="AO210" s="321" t="s">
        <v>1649</v>
      </c>
      <c r="AP210" s="321" t="s">
        <v>1649</v>
      </c>
      <c r="AQ210" s="321" t="s">
        <v>1649</v>
      </c>
      <c r="AR210" s="321" t="s">
        <v>1649</v>
      </c>
      <c r="AS210" s="321" t="s">
        <v>1649</v>
      </c>
      <c r="AT210" s="321" t="s">
        <v>1649</v>
      </c>
      <c r="AU210" s="301" t="s">
        <v>1613</v>
      </c>
    </row>
    <row r="211" spans="1:47" ht="13.5" thickBot="1" x14ac:dyDescent="0.25">
      <c r="A211" s="48" t="s">
        <v>700</v>
      </c>
      <c r="B211" s="291" t="s">
        <v>699</v>
      </c>
      <c r="C211" s="298" t="s">
        <v>25</v>
      </c>
      <c r="D211" s="302">
        <v>36</v>
      </c>
      <c r="E211" s="303">
        <v>36500</v>
      </c>
      <c r="F211" s="303">
        <v>42500</v>
      </c>
      <c r="G211" s="302">
        <v>32</v>
      </c>
      <c r="H211" s="303">
        <v>17000</v>
      </c>
      <c r="I211" s="303">
        <v>22000</v>
      </c>
      <c r="J211" s="302">
        <v>27</v>
      </c>
      <c r="K211" s="303">
        <v>10500</v>
      </c>
      <c r="L211" s="303">
        <v>15500</v>
      </c>
      <c r="M211" s="302">
        <v>11</v>
      </c>
      <c r="N211" s="303">
        <v>4500</v>
      </c>
      <c r="O211" s="303">
        <v>6500</v>
      </c>
      <c r="P211" s="304"/>
      <c r="Q211" s="305"/>
      <c r="R211" s="305"/>
      <c r="S211" s="304"/>
      <c r="T211" s="305"/>
      <c r="U211" s="305"/>
      <c r="V211" s="321" t="s">
        <v>1649</v>
      </c>
      <c r="W211" s="321" t="s">
        <v>1649</v>
      </c>
      <c r="X211" s="321" t="s">
        <v>1649</v>
      </c>
      <c r="Y211" s="321" t="s">
        <v>1649</v>
      </c>
      <c r="Z211" s="321" t="s">
        <v>1649</v>
      </c>
      <c r="AA211" s="321" t="s">
        <v>1648</v>
      </c>
      <c r="AB211" s="321" t="s">
        <v>1648</v>
      </c>
      <c r="AC211" s="321" t="s">
        <v>1648</v>
      </c>
      <c r="AD211" s="321" t="s">
        <v>1649</v>
      </c>
      <c r="AE211" s="321" t="s">
        <v>1649</v>
      </c>
      <c r="AF211" s="321" t="s">
        <v>1648</v>
      </c>
      <c r="AG211" s="321" t="s">
        <v>1649</v>
      </c>
      <c r="AH211" s="165" t="s">
        <v>3664</v>
      </c>
      <c r="AI211" s="321" t="s">
        <v>1649</v>
      </c>
      <c r="AJ211" s="321" t="s">
        <v>1649</v>
      </c>
      <c r="AK211" s="321" t="s">
        <v>1649</v>
      </c>
      <c r="AL211" s="321" t="s">
        <v>1649</v>
      </c>
      <c r="AM211" s="321" t="s">
        <v>1649</v>
      </c>
      <c r="AN211" s="321" t="s">
        <v>1649</v>
      </c>
      <c r="AO211" s="321" t="s">
        <v>1649</v>
      </c>
      <c r="AP211" s="321" t="s">
        <v>1649</v>
      </c>
      <c r="AQ211" s="321" t="s">
        <v>1649</v>
      </c>
      <c r="AR211" s="321" t="s">
        <v>1649</v>
      </c>
      <c r="AS211" s="321" t="s">
        <v>1649</v>
      </c>
      <c r="AT211" s="321" t="s">
        <v>1649</v>
      </c>
      <c r="AU211" s="301"/>
    </row>
    <row r="212" spans="1:47" ht="13.5" thickBot="1" x14ac:dyDescent="0.25">
      <c r="A212" s="48" t="s">
        <v>702</v>
      </c>
      <c r="B212" s="291" t="s">
        <v>701</v>
      </c>
      <c r="C212" s="298" t="s">
        <v>25</v>
      </c>
      <c r="D212" s="299" t="s">
        <v>1613</v>
      </c>
      <c r="E212" s="299" t="s">
        <v>1613</v>
      </c>
      <c r="F212" s="299" t="s">
        <v>1613</v>
      </c>
      <c r="G212" s="299" t="s">
        <v>1613</v>
      </c>
      <c r="H212" s="299" t="s">
        <v>1613</v>
      </c>
      <c r="I212" s="299" t="s">
        <v>1613</v>
      </c>
      <c r="J212" s="302">
        <v>35</v>
      </c>
      <c r="K212" s="303">
        <v>27027</v>
      </c>
      <c r="L212" s="303">
        <v>27664</v>
      </c>
      <c r="M212" s="299" t="s">
        <v>1613</v>
      </c>
      <c r="N212" s="299" t="s">
        <v>1613</v>
      </c>
      <c r="O212" s="299" t="s">
        <v>1613</v>
      </c>
      <c r="P212" s="302">
        <v>40</v>
      </c>
      <c r="Q212" s="303">
        <v>35360</v>
      </c>
      <c r="R212" s="303">
        <v>36088</v>
      </c>
      <c r="S212" s="302">
        <v>35</v>
      </c>
      <c r="T212" s="303">
        <v>23915</v>
      </c>
      <c r="U212" s="303">
        <v>24552</v>
      </c>
      <c r="V212" s="321" t="s">
        <v>1648</v>
      </c>
      <c r="W212" s="321" t="s">
        <v>1648</v>
      </c>
      <c r="X212" s="321" t="s">
        <v>1648</v>
      </c>
      <c r="Y212" s="321" t="s">
        <v>1648</v>
      </c>
      <c r="Z212" s="321" t="s">
        <v>1648</v>
      </c>
      <c r="AA212" s="321" t="s">
        <v>1648</v>
      </c>
      <c r="AB212" s="321" t="s">
        <v>1648</v>
      </c>
      <c r="AC212" s="321" t="s">
        <v>1648</v>
      </c>
      <c r="AD212" s="321" t="s">
        <v>1648</v>
      </c>
      <c r="AE212" s="321" t="s">
        <v>1649</v>
      </c>
      <c r="AF212" s="321" t="s">
        <v>1648</v>
      </c>
      <c r="AG212" s="321" t="s">
        <v>1648</v>
      </c>
      <c r="AH212" s="300" t="s">
        <v>1613</v>
      </c>
      <c r="AI212" s="321" t="s">
        <v>1649</v>
      </c>
      <c r="AJ212" s="321" t="s">
        <v>1649</v>
      </c>
      <c r="AK212" s="321" t="s">
        <v>1649</v>
      </c>
      <c r="AL212" s="321" t="s">
        <v>1649</v>
      </c>
      <c r="AM212" s="321" t="s">
        <v>1649</v>
      </c>
      <c r="AN212" s="321" t="s">
        <v>1648</v>
      </c>
      <c r="AO212" s="321" t="s">
        <v>1648</v>
      </c>
      <c r="AP212" s="321" t="s">
        <v>1648</v>
      </c>
      <c r="AQ212" s="321" t="s">
        <v>1648</v>
      </c>
      <c r="AR212" s="321" t="s">
        <v>1649</v>
      </c>
      <c r="AS212" s="321" t="s">
        <v>1648</v>
      </c>
      <c r="AT212" s="321" t="s">
        <v>1648</v>
      </c>
      <c r="AU212" s="301" t="s">
        <v>1613</v>
      </c>
    </row>
    <row r="213" spans="1:47" ht="13.5" thickBot="1" x14ac:dyDescent="0.25">
      <c r="A213" s="48" t="s">
        <v>718</v>
      </c>
      <c r="B213" s="291" t="s">
        <v>717</v>
      </c>
      <c r="C213" s="298" t="s">
        <v>25</v>
      </c>
      <c r="D213" s="302">
        <v>40</v>
      </c>
      <c r="E213" s="303">
        <v>25000</v>
      </c>
      <c r="F213" s="303">
        <v>33000</v>
      </c>
      <c r="G213" s="304"/>
      <c r="H213" s="305"/>
      <c r="I213" s="305"/>
      <c r="J213" s="304"/>
      <c r="K213" s="305"/>
      <c r="L213" s="305"/>
      <c r="M213" s="304"/>
      <c r="N213" s="305"/>
      <c r="O213" s="305"/>
      <c r="P213" s="304"/>
      <c r="Q213" s="305"/>
      <c r="R213" s="305"/>
      <c r="S213" s="304"/>
      <c r="T213" s="303">
        <v>20000</v>
      </c>
      <c r="U213" s="303">
        <v>30000</v>
      </c>
      <c r="V213" s="321" t="s">
        <v>1649</v>
      </c>
      <c r="W213" s="321" t="s">
        <v>1649</v>
      </c>
      <c r="X213" s="321" t="s">
        <v>1649</v>
      </c>
      <c r="Y213" s="321" t="s">
        <v>1649</v>
      </c>
      <c r="Z213" s="321" t="s">
        <v>1649</v>
      </c>
      <c r="AA213" s="321" t="s">
        <v>1648</v>
      </c>
      <c r="AB213" s="321" t="s">
        <v>1648</v>
      </c>
      <c r="AC213" s="321" t="s">
        <v>1648</v>
      </c>
      <c r="AD213" s="321" t="s">
        <v>1648</v>
      </c>
      <c r="AE213" s="321" t="s">
        <v>1649</v>
      </c>
      <c r="AF213" s="321" t="s">
        <v>1648</v>
      </c>
      <c r="AG213" s="321" t="s">
        <v>1649</v>
      </c>
      <c r="AH213" s="300" t="s">
        <v>1613</v>
      </c>
      <c r="AI213" s="321" t="s">
        <v>1649</v>
      </c>
      <c r="AJ213" s="321" t="s">
        <v>1649</v>
      </c>
      <c r="AK213" s="321" t="s">
        <v>1649</v>
      </c>
      <c r="AL213" s="321" t="s">
        <v>1649</v>
      </c>
      <c r="AM213" s="321" t="s">
        <v>1649</v>
      </c>
      <c r="AN213" s="321" t="s">
        <v>1649</v>
      </c>
      <c r="AO213" s="321" t="s">
        <v>1649</v>
      </c>
      <c r="AP213" s="321" t="s">
        <v>1649</v>
      </c>
      <c r="AQ213" s="321" t="s">
        <v>1649</v>
      </c>
      <c r="AR213" s="321" t="s">
        <v>1649</v>
      </c>
      <c r="AS213" s="321" t="s">
        <v>1649</v>
      </c>
      <c r="AT213" s="321" t="s">
        <v>1649</v>
      </c>
      <c r="AU213" s="301" t="s">
        <v>1613</v>
      </c>
    </row>
    <row r="214" spans="1:47" ht="13.5" thickBot="1" x14ac:dyDescent="0.25">
      <c r="A214" s="48" t="s">
        <v>722</v>
      </c>
      <c r="B214" s="291" t="s">
        <v>721</v>
      </c>
      <c r="C214" s="298" t="s">
        <v>25</v>
      </c>
      <c r="D214" s="304"/>
      <c r="E214" s="305"/>
      <c r="F214" s="305"/>
      <c r="G214" s="302">
        <v>40</v>
      </c>
      <c r="H214" s="303">
        <v>35568</v>
      </c>
      <c r="I214" s="303">
        <v>35568</v>
      </c>
      <c r="J214" s="304"/>
      <c r="K214" s="305"/>
      <c r="L214" s="305"/>
      <c r="M214" s="299" t="s">
        <v>1613</v>
      </c>
      <c r="N214" s="299" t="s">
        <v>1613</v>
      </c>
      <c r="O214" s="299" t="s">
        <v>1613</v>
      </c>
      <c r="P214" s="299" t="s">
        <v>1613</v>
      </c>
      <c r="Q214" s="299" t="s">
        <v>1613</v>
      </c>
      <c r="R214" s="299" t="s">
        <v>1613</v>
      </c>
      <c r="S214" s="299" t="s">
        <v>1613</v>
      </c>
      <c r="T214" s="303">
        <v>2448</v>
      </c>
      <c r="U214" s="303">
        <v>26354</v>
      </c>
      <c r="V214" s="321" t="s">
        <v>1649</v>
      </c>
      <c r="W214" s="321" t="s">
        <v>1649</v>
      </c>
      <c r="X214" s="321" t="s">
        <v>1649</v>
      </c>
      <c r="Y214" s="321" t="s">
        <v>1649</v>
      </c>
      <c r="Z214" s="321" t="s">
        <v>1649</v>
      </c>
      <c r="AA214" s="321" t="s">
        <v>1649</v>
      </c>
      <c r="AB214" s="321" t="s">
        <v>1649</v>
      </c>
      <c r="AC214" s="321" t="s">
        <v>1648</v>
      </c>
      <c r="AD214" s="321" t="s">
        <v>1649</v>
      </c>
      <c r="AE214" s="321" t="s">
        <v>1649</v>
      </c>
      <c r="AF214" s="321" t="s">
        <v>1648</v>
      </c>
      <c r="AG214" s="321" t="s">
        <v>1649</v>
      </c>
      <c r="AH214" s="300" t="s">
        <v>1613</v>
      </c>
      <c r="AI214" s="321" t="s">
        <v>1649</v>
      </c>
      <c r="AJ214" s="321" t="s">
        <v>1649</v>
      </c>
      <c r="AK214" s="321" t="s">
        <v>1649</v>
      </c>
      <c r="AL214" s="321" t="s">
        <v>1649</v>
      </c>
      <c r="AM214" s="321" t="s">
        <v>1649</v>
      </c>
      <c r="AN214" s="321" t="s">
        <v>1648</v>
      </c>
      <c r="AO214" s="321" t="s">
        <v>1649</v>
      </c>
      <c r="AP214" s="321" t="s">
        <v>1649</v>
      </c>
      <c r="AQ214" s="321" t="s">
        <v>1649</v>
      </c>
      <c r="AR214" s="321" t="s">
        <v>1649</v>
      </c>
      <c r="AS214" s="321" t="s">
        <v>1648</v>
      </c>
      <c r="AT214" s="321" t="s">
        <v>1649</v>
      </c>
      <c r="AU214" s="301" t="s">
        <v>1613</v>
      </c>
    </row>
    <row r="215" spans="1:47" ht="13.5" thickBot="1" x14ac:dyDescent="0.25">
      <c r="A215" s="48" t="s">
        <v>724</v>
      </c>
      <c r="B215" s="291" t="s">
        <v>723</v>
      </c>
      <c r="C215" s="298" t="s">
        <v>25</v>
      </c>
      <c r="D215" s="299" t="s">
        <v>1613</v>
      </c>
      <c r="E215" s="299" t="s">
        <v>1613</v>
      </c>
      <c r="F215" s="299" t="s">
        <v>1613</v>
      </c>
      <c r="G215" s="299" t="s">
        <v>1613</v>
      </c>
      <c r="H215" s="299" t="s">
        <v>1613</v>
      </c>
      <c r="I215" s="299" t="s">
        <v>1613</v>
      </c>
      <c r="J215" s="302">
        <v>40</v>
      </c>
      <c r="K215" s="303">
        <v>27040</v>
      </c>
      <c r="L215" s="303">
        <v>31200</v>
      </c>
      <c r="M215" s="299" t="s">
        <v>1613</v>
      </c>
      <c r="N215" s="299" t="s">
        <v>1613</v>
      </c>
      <c r="O215" s="299" t="s">
        <v>1613</v>
      </c>
      <c r="P215" s="302">
        <v>20</v>
      </c>
      <c r="Q215" s="303">
        <v>12480</v>
      </c>
      <c r="R215" s="303">
        <v>18397</v>
      </c>
      <c r="S215" s="302">
        <v>20</v>
      </c>
      <c r="T215" s="303">
        <v>11440</v>
      </c>
      <c r="U215" s="303">
        <v>12250</v>
      </c>
      <c r="V215" s="321" t="s">
        <v>1649</v>
      </c>
      <c r="W215" s="321" t="s">
        <v>1649</v>
      </c>
      <c r="X215" s="321" t="s">
        <v>1649</v>
      </c>
      <c r="Y215" s="321" t="s">
        <v>1649</v>
      </c>
      <c r="Z215" s="321" t="s">
        <v>1649</v>
      </c>
      <c r="AA215" s="321" t="s">
        <v>1648</v>
      </c>
      <c r="AB215" s="321" t="s">
        <v>1648</v>
      </c>
      <c r="AC215" s="321" t="s">
        <v>1648</v>
      </c>
      <c r="AD215" s="321" t="s">
        <v>1649</v>
      </c>
      <c r="AE215" s="321" t="s">
        <v>1649</v>
      </c>
      <c r="AF215" s="321" t="s">
        <v>1649</v>
      </c>
      <c r="AG215" s="321" t="s">
        <v>1649</v>
      </c>
      <c r="AH215" s="300"/>
      <c r="AI215" s="321" t="s">
        <v>1649</v>
      </c>
      <c r="AJ215" s="321" t="s">
        <v>1649</v>
      </c>
      <c r="AK215" s="321" t="s">
        <v>1649</v>
      </c>
      <c r="AL215" s="321" t="s">
        <v>1649</v>
      </c>
      <c r="AM215" s="321" t="s">
        <v>1649</v>
      </c>
      <c r="AN215" s="321" t="s">
        <v>1648</v>
      </c>
      <c r="AO215" s="321" t="s">
        <v>1648</v>
      </c>
      <c r="AP215" s="321" t="s">
        <v>1648</v>
      </c>
      <c r="AQ215" s="321" t="s">
        <v>1649</v>
      </c>
      <c r="AR215" s="321" t="s">
        <v>1649</v>
      </c>
      <c r="AS215" s="321" t="s">
        <v>1649</v>
      </c>
      <c r="AT215" s="321" t="s">
        <v>1649</v>
      </c>
      <c r="AU215" s="301"/>
    </row>
    <row r="216" spans="1:47" ht="13.5" thickBot="1" x14ac:dyDescent="0.25">
      <c r="A216" s="48" t="s">
        <v>734</v>
      </c>
      <c r="B216" s="291" t="s">
        <v>733</v>
      </c>
      <c r="C216" s="298" t="s">
        <v>25</v>
      </c>
      <c r="D216" s="299" t="s">
        <v>1613</v>
      </c>
      <c r="E216" s="299" t="s">
        <v>1613</v>
      </c>
      <c r="F216" s="299" t="s">
        <v>1613</v>
      </c>
      <c r="G216" s="299" t="s">
        <v>1613</v>
      </c>
      <c r="H216" s="299" t="s">
        <v>1613</v>
      </c>
      <c r="I216" s="299" t="s">
        <v>1613</v>
      </c>
      <c r="J216" s="299" t="s">
        <v>1613</v>
      </c>
      <c r="K216" s="299" t="s">
        <v>1613</v>
      </c>
      <c r="L216" s="299" t="s">
        <v>1613</v>
      </c>
      <c r="M216" s="302">
        <v>35</v>
      </c>
      <c r="N216" s="303">
        <v>27937</v>
      </c>
      <c r="O216" s="303">
        <v>31928</v>
      </c>
      <c r="P216" s="299" t="s">
        <v>1613</v>
      </c>
      <c r="Q216" s="299" t="s">
        <v>1613</v>
      </c>
      <c r="R216" s="299" t="s">
        <v>1613</v>
      </c>
      <c r="S216" s="302">
        <v>18</v>
      </c>
      <c r="T216" s="303">
        <v>9700</v>
      </c>
      <c r="U216" s="303">
        <v>12125</v>
      </c>
      <c r="V216" s="321" t="s">
        <v>1648</v>
      </c>
      <c r="W216" s="321" t="s">
        <v>1648</v>
      </c>
      <c r="X216" s="321" t="s">
        <v>1648</v>
      </c>
      <c r="Y216" s="321" t="s">
        <v>1649</v>
      </c>
      <c r="Z216" s="321" t="s">
        <v>1649</v>
      </c>
      <c r="AA216" s="321" t="s">
        <v>1648</v>
      </c>
      <c r="AB216" s="321" t="s">
        <v>1648</v>
      </c>
      <c r="AC216" s="321" t="s">
        <v>1648</v>
      </c>
      <c r="AD216" s="321" t="s">
        <v>1649</v>
      </c>
      <c r="AE216" s="321" t="s">
        <v>1648</v>
      </c>
      <c r="AF216" s="321" t="s">
        <v>1648</v>
      </c>
      <c r="AG216" s="321" t="s">
        <v>1649</v>
      </c>
      <c r="AH216" s="300"/>
      <c r="AI216" s="321" t="s">
        <v>1649</v>
      </c>
      <c r="AJ216" s="321" t="s">
        <v>1649</v>
      </c>
      <c r="AK216" s="321" t="s">
        <v>1649</v>
      </c>
      <c r="AL216" s="321" t="s">
        <v>1649</v>
      </c>
      <c r="AM216" s="321" t="s">
        <v>1649</v>
      </c>
      <c r="AN216" s="321" t="s">
        <v>1648</v>
      </c>
      <c r="AO216" s="321" t="s">
        <v>1649</v>
      </c>
      <c r="AP216" s="321" t="s">
        <v>1649</v>
      </c>
      <c r="AQ216" s="321" t="s">
        <v>1649</v>
      </c>
      <c r="AR216" s="321" t="s">
        <v>1649</v>
      </c>
      <c r="AS216" s="321" t="s">
        <v>1649</v>
      </c>
      <c r="AT216" s="321" t="s">
        <v>1649</v>
      </c>
      <c r="AU216" s="301"/>
    </row>
    <row r="217" spans="1:47" ht="13.5" thickBot="1" x14ac:dyDescent="0.25">
      <c r="A217" s="48" t="s">
        <v>738</v>
      </c>
      <c r="B217" s="291" t="s">
        <v>737</v>
      </c>
      <c r="C217" s="298" t="s">
        <v>25</v>
      </c>
      <c r="D217" s="299" t="s">
        <v>1613</v>
      </c>
      <c r="E217" s="299" t="s">
        <v>1613</v>
      </c>
      <c r="F217" s="299" t="s">
        <v>1613</v>
      </c>
      <c r="G217" s="302">
        <v>40</v>
      </c>
      <c r="H217" s="303">
        <v>30000</v>
      </c>
      <c r="I217" s="303">
        <v>36900</v>
      </c>
      <c r="J217" s="299" t="s">
        <v>1613</v>
      </c>
      <c r="K217" s="299" t="s">
        <v>1613</v>
      </c>
      <c r="L217" s="299" t="s">
        <v>1613</v>
      </c>
      <c r="M217" s="299" t="s">
        <v>1613</v>
      </c>
      <c r="N217" s="299" t="s">
        <v>1613</v>
      </c>
      <c r="O217" s="299" t="s">
        <v>1613</v>
      </c>
      <c r="P217" s="299" t="s">
        <v>1613</v>
      </c>
      <c r="Q217" s="299" t="s">
        <v>1613</v>
      </c>
      <c r="R217" s="299" t="s">
        <v>1613</v>
      </c>
      <c r="S217" s="302">
        <v>20</v>
      </c>
      <c r="T217" s="303">
        <v>10754</v>
      </c>
      <c r="U217" s="303">
        <v>17316</v>
      </c>
      <c r="V217" s="321" t="s">
        <v>1648</v>
      </c>
      <c r="W217" s="321" t="s">
        <v>1649</v>
      </c>
      <c r="X217" s="321" t="s">
        <v>1649</v>
      </c>
      <c r="Y217" s="321" t="s">
        <v>1649</v>
      </c>
      <c r="Z217" s="321" t="s">
        <v>1649</v>
      </c>
      <c r="AA217" s="321" t="s">
        <v>1648</v>
      </c>
      <c r="AB217" s="321" t="s">
        <v>1648</v>
      </c>
      <c r="AC217" s="321" t="s">
        <v>1648</v>
      </c>
      <c r="AD217" s="321" t="s">
        <v>1649</v>
      </c>
      <c r="AE217" s="321" t="s">
        <v>1648</v>
      </c>
      <c r="AF217" s="321" t="s">
        <v>1649</v>
      </c>
      <c r="AG217" s="321" t="s">
        <v>1649</v>
      </c>
      <c r="AH217" s="300" t="s">
        <v>1613</v>
      </c>
      <c r="AI217" s="321" t="s">
        <v>1649</v>
      </c>
      <c r="AJ217" s="321" t="s">
        <v>1649</v>
      </c>
      <c r="AK217" s="321" t="s">
        <v>1649</v>
      </c>
      <c r="AL217" s="321" t="s">
        <v>1649</v>
      </c>
      <c r="AM217" s="321" t="s">
        <v>1649</v>
      </c>
      <c r="AN217" s="321" t="s">
        <v>1649</v>
      </c>
      <c r="AO217" s="321" t="s">
        <v>1649</v>
      </c>
      <c r="AP217" s="321" t="s">
        <v>1649</v>
      </c>
      <c r="AQ217" s="321" t="s">
        <v>1649</v>
      </c>
      <c r="AR217" s="321" t="s">
        <v>1649</v>
      </c>
      <c r="AS217" s="321" t="s">
        <v>1649</v>
      </c>
      <c r="AT217" s="321" t="s">
        <v>1649</v>
      </c>
      <c r="AU217" s="307" t="s">
        <v>3667</v>
      </c>
    </row>
    <row r="218" spans="1:47" ht="13.5" thickBot="1" x14ac:dyDescent="0.25">
      <c r="A218" s="48" t="s">
        <v>740</v>
      </c>
      <c r="B218" s="291" t="s">
        <v>739</v>
      </c>
      <c r="C218" s="298" t="s">
        <v>25</v>
      </c>
      <c r="D218" s="304"/>
      <c r="E218" s="305"/>
      <c r="F218" s="305"/>
      <c r="G218" s="304"/>
      <c r="H218" s="305"/>
      <c r="I218" s="305"/>
      <c r="J218" s="304"/>
      <c r="K218" s="305"/>
      <c r="L218" s="305"/>
      <c r="M218" s="302">
        <v>14</v>
      </c>
      <c r="N218" s="303">
        <v>7000</v>
      </c>
      <c r="O218" s="303">
        <v>8000</v>
      </c>
      <c r="P218" s="304"/>
      <c r="Q218" s="305"/>
      <c r="R218" s="305"/>
      <c r="S218" s="302">
        <v>14</v>
      </c>
      <c r="T218" s="303">
        <v>7000</v>
      </c>
      <c r="U218" s="303">
        <v>8000</v>
      </c>
      <c r="V218" s="321" t="s">
        <v>1649</v>
      </c>
      <c r="W218" s="321" t="s">
        <v>1649</v>
      </c>
      <c r="X218" s="321" t="s">
        <v>1649</v>
      </c>
      <c r="Y218" s="321" t="s">
        <v>1649</v>
      </c>
      <c r="Z218" s="321" t="s">
        <v>1649</v>
      </c>
      <c r="AA218" s="321" t="s">
        <v>1649</v>
      </c>
      <c r="AB218" s="321" t="s">
        <v>1649</v>
      </c>
      <c r="AC218" s="321" t="s">
        <v>1649</v>
      </c>
      <c r="AD218" s="321" t="s">
        <v>1649</v>
      </c>
      <c r="AE218" s="321" t="s">
        <v>1649</v>
      </c>
      <c r="AF218" s="321" t="s">
        <v>1649</v>
      </c>
      <c r="AG218" s="321" t="s">
        <v>1649</v>
      </c>
      <c r="AH218" s="300" t="s">
        <v>1613</v>
      </c>
      <c r="AI218" s="321" t="s">
        <v>1649</v>
      </c>
      <c r="AJ218" s="321" t="s">
        <v>1649</v>
      </c>
      <c r="AK218" s="321" t="s">
        <v>1649</v>
      </c>
      <c r="AL218" s="321" t="s">
        <v>1649</v>
      </c>
      <c r="AM218" s="321" t="s">
        <v>1649</v>
      </c>
      <c r="AN218" s="321" t="s">
        <v>1649</v>
      </c>
      <c r="AO218" s="321" t="s">
        <v>1649</v>
      </c>
      <c r="AP218" s="321" t="s">
        <v>1649</v>
      </c>
      <c r="AQ218" s="321" t="s">
        <v>1649</v>
      </c>
      <c r="AR218" s="321" t="s">
        <v>1649</v>
      </c>
      <c r="AS218" s="321" t="s">
        <v>1649</v>
      </c>
      <c r="AT218" s="321" t="s">
        <v>1649</v>
      </c>
      <c r="AU218" s="301" t="s">
        <v>1613</v>
      </c>
    </row>
    <row r="219" spans="1:47" ht="13.5" thickBot="1" x14ac:dyDescent="0.25">
      <c r="A219" s="48" t="s">
        <v>748</v>
      </c>
      <c r="B219" s="291" t="s">
        <v>747</v>
      </c>
      <c r="C219" s="298" t="s">
        <v>25</v>
      </c>
      <c r="D219" s="302">
        <v>40</v>
      </c>
      <c r="E219" s="303">
        <v>38400</v>
      </c>
      <c r="F219" s="303">
        <v>38400</v>
      </c>
      <c r="G219" s="304"/>
      <c r="H219" s="305"/>
      <c r="I219" s="305"/>
      <c r="J219" s="304"/>
      <c r="K219" s="305"/>
      <c r="L219" s="305"/>
      <c r="M219" s="302">
        <v>24</v>
      </c>
      <c r="N219" s="303">
        <v>13248</v>
      </c>
      <c r="O219" s="303">
        <v>16128</v>
      </c>
      <c r="P219" s="299" t="s">
        <v>1613</v>
      </c>
      <c r="Q219" s="299" t="s">
        <v>1613</v>
      </c>
      <c r="R219" s="299" t="s">
        <v>1613</v>
      </c>
      <c r="S219" s="302">
        <v>21</v>
      </c>
      <c r="T219" s="303">
        <v>10080</v>
      </c>
      <c r="U219" s="303">
        <v>14112</v>
      </c>
      <c r="V219" s="321" t="s">
        <v>1648</v>
      </c>
      <c r="W219" s="321" t="s">
        <v>1648</v>
      </c>
      <c r="X219" s="321" t="s">
        <v>1649</v>
      </c>
      <c r="Y219" s="321" t="s">
        <v>1649</v>
      </c>
      <c r="Z219" s="321" t="s">
        <v>1648</v>
      </c>
      <c r="AA219" s="321" t="s">
        <v>1649</v>
      </c>
      <c r="AB219" s="321" t="s">
        <v>1648</v>
      </c>
      <c r="AC219" s="321" t="s">
        <v>1648</v>
      </c>
      <c r="AD219" s="321" t="s">
        <v>1649</v>
      </c>
      <c r="AE219" s="321" t="s">
        <v>1649</v>
      </c>
      <c r="AF219" s="321" t="s">
        <v>1648</v>
      </c>
      <c r="AG219" s="321" t="s">
        <v>1649</v>
      </c>
      <c r="AH219" s="300" t="s">
        <v>1613</v>
      </c>
      <c r="AI219" s="321" t="s">
        <v>1649</v>
      </c>
      <c r="AJ219" s="321" t="s">
        <v>1649</v>
      </c>
      <c r="AK219" s="321" t="s">
        <v>1649</v>
      </c>
      <c r="AL219" s="321" t="s">
        <v>1649</v>
      </c>
      <c r="AM219" s="321" t="s">
        <v>1649</v>
      </c>
      <c r="AN219" s="321" t="s">
        <v>1649</v>
      </c>
      <c r="AO219" s="321" t="s">
        <v>1648</v>
      </c>
      <c r="AP219" s="321" t="s">
        <v>1648</v>
      </c>
      <c r="AQ219" s="321" t="s">
        <v>1649</v>
      </c>
      <c r="AR219" s="321" t="s">
        <v>1649</v>
      </c>
      <c r="AS219" s="321" t="s">
        <v>1648</v>
      </c>
      <c r="AT219" s="321" t="s">
        <v>1649</v>
      </c>
      <c r="AU219" s="301" t="s">
        <v>1613</v>
      </c>
    </row>
    <row r="220" spans="1:47" ht="13.5" thickBot="1" x14ac:dyDescent="0.25">
      <c r="A220" s="48" t="s">
        <v>776</v>
      </c>
      <c r="B220" s="291" t="s">
        <v>775</v>
      </c>
      <c r="C220" s="298" t="s">
        <v>25</v>
      </c>
      <c r="D220" s="299" t="s">
        <v>1613</v>
      </c>
      <c r="E220" s="299" t="s">
        <v>1613</v>
      </c>
      <c r="F220" s="299" t="s">
        <v>1613</v>
      </c>
      <c r="G220" s="299" t="s">
        <v>1613</v>
      </c>
      <c r="H220" s="299" t="s">
        <v>1613</v>
      </c>
      <c r="I220" s="299" t="s">
        <v>1613</v>
      </c>
      <c r="J220" s="299" t="s">
        <v>1613</v>
      </c>
      <c r="K220" s="299" t="s">
        <v>1613</v>
      </c>
      <c r="L220" s="299" t="s">
        <v>1613</v>
      </c>
      <c r="M220" s="299" t="s">
        <v>1613</v>
      </c>
      <c r="N220" s="299" t="s">
        <v>1613</v>
      </c>
      <c r="O220" s="299" t="s">
        <v>1613</v>
      </c>
      <c r="P220" s="299" t="s">
        <v>1613</v>
      </c>
      <c r="Q220" s="299" t="s">
        <v>1613</v>
      </c>
      <c r="R220" s="299" t="s">
        <v>1613</v>
      </c>
      <c r="S220" s="302">
        <v>32</v>
      </c>
      <c r="T220" s="303">
        <v>16000</v>
      </c>
      <c r="U220" s="303">
        <v>18200</v>
      </c>
      <c r="V220" s="321" t="s">
        <v>1649</v>
      </c>
      <c r="W220" s="321" t="s">
        <v>1649</v>
      </c>
      <c r="X220" s="321" t="s">
        <v>1649</v>
      </c>
      <c r="Y220" s="321" t="s">
        <v>1649</v>
      </c>
      <c r="Z220" s="321" t="s">
        <v>1649</v>
      </c>
      <c r="AA220" s="321" t="s">
        <v>1649</v>
      </c>
      <c r="AB220" s="321" t="s">
        <v>1649</v>
      </c>
      <c r="AC220" s="321" t="s">
        <v>1649</v>
      </c>
      <c r="AD220" s="321" t="s">
        <v>1649</v>
      </c>
      <c r="AE220" s="321" t="s">
        <v>1649</v>
      </c>
      <c r="AF220" s="321" t="s">
        <v>1649</v>
      </c>
      <c r="AG220" s="321" t="s">
        <v>1649</v>
      </c>
      <c r="AH220" s="300" t="s">
        <v>1613</v>
      </c>
      <c r="AI220" s="321" t="s">
        <v>1649</v>
      </c>
      <c r="AJ220" s="321" t="s">
        <v>1649</v>
      </c>
      <c r="AK220" s="321" t="s">
        <v>1648</v>
      </c>
      <c r="AL220" s="321" t="s">
        <v>1648</v>
      </c>
      <c r="AM220" s="321" t="s">
        <v>1649</v>
      </c>
      <c r="AN220" s="321" t="s">
        <v>1649</v>
      </c>
      <c r="AO220" s="321" t="s">
        <v>1649</v>
      </c>
      <c r="AP220" s="321" t="s">
        <v>1649</v>
      </c>
      <c r="AQ220" s="321" t="s">
        <v>1649</v>
      </c>
      <c r="AR220" s="321" t="s">
        <v>1649</v>
      </c>
      <c r="AS220" s="321" t="s">
        <v>1649</v>
      </c>
      <c r="AT220" s="321" t="s">
        <v>1649</v>
      </c>
      <c r="AU220" s="301" t="s">
        <v>1613</v>
      </c>
    </row>
    <row r="221" spans="1:47" ht="13.5" thickBot="1" x14ac:dyDescent="0.25">
      <c r="A221" s="48" t="s">
        <v>790</v>
      </c>
      <c r="B221" s="291" t="s">
        <v>789</v>
      </c>
      <c r="C221" s="298" t="s">
        <v>25</v>
      </c>
      <c r="D221" s="302">
        <v>40</v>
      </c>
      <c r="E221" s="303">
        <v>32240</v>
      </c>
      <c r="F221" s="303">
        <v>38500</v>
      </c>
      <c r="G221" s="302">
        <v>40</v>
      </c>
      <c r="H221" s="303">
        <v>29120</v>
      </c>
      <c r="I221" s="303">
        <v>32240</v>
      </c>
      <c r="J221" s="302">
        <v>40</v>
      </c>
      <c r="K221" s="303">
        <v>24960</v>
      </c>
      <c r="L221" s="303">
        <v>32400</v>
      </c>
      <c r="M221" s="302">
        <v>20</v>
      </c>
      <c r="N221" s="303">
        <v>13863</v>
      </c>
      <c r="O221" s="303">
        <v>15600</v>
      </c>
      <c r="P221" s="299" t="s">
        <v>1613</v>
      </c>
      <c r="Q221" s="299" t="s">
        <v>1613</v>
      </c>
      <c r="R221" s="299" t="s">
        <v>1613</v>
      </c>
      <c r="S221" s="302">
        <v>15</v>
      </c>
      <c r="T221" s="303">
        <v>8580</v>
      </c>
      <c r="U221" s="303">
        <v>11700</v>
      </c>
      <c r="V221" s="321" t="s">
        <v>1648</v>
      </c>
      <c r="W221" s="321" t="s">
        <v>1649</v>
      </c>
      <c r="X221" s="321" t="s">
        <v>1649</v>
      </c>
      <c r="Y221" s="321" t="s">
        <v>1648</v>
      </c>
      <c r="Z221" s="321" t="s">
        <v>1649</v>
      </c>
      <c r="AA221" s="321" t="s">
        <v>1648</v>
      </c>
      <c r="AB221" s="321" t="s">
        <v>1648</v>
      </c>
      <c r="AC221" s="321" t="s">
        <v>1648</v>
      </c>
      <c r="AD221" s="321" t="s">
        <v>1649</v>
      </c>
      <c r="AE221" s="321" t="s">
        <v>1648</v>
      </c>
      <c r="AF221" s="321" t="s">
        <v>1648</v>
      </c>
      <c r="AG221" s="321" t="s">
        <v>1649</v>
      </c>
      <c r="AH221" s="300" t="s">
        <v>1613</v>
      </c>
      <c r="AI221" s="321" t="s">
        <v>1649</v>
      </c>
      <c r="AJ221" s="321" t="s">
        <v>1649</v>
      </c>
      <c r="AK221" s="321" t="s">
        <v>1649</v>
      </c>
      <c r="AL221" s="321" t="s">
        <v>1649</v>
      </c>
      <c r="AM221" s="321" t="s">
        <v>1649</v>
      </c>
      <c r="AN221" s="321" t="s">
        <v>1649</v>
      </c>
      <c r="AO221" s="321" t="s">
        <v>1649</v>
      </c>
      <c r="AP221" s="321" t="s">
        <v>1649</v>
      </c>
      <c r="AQ221" s="321" t="s">
        <v>1649</v>
      </c>
      <c r="AR221" s="321" t="s">
        <v>1649</v>
      </c>
      <c r="AS221" s="321" t="s">
        <v>1649</v>
      </c>
      <c r="AT221" s="321" t="s">
        <v>1649</v>
      </c>
      <c r="AU221" s="301" t="s">
        <v>1613</v>
      </c>
    </row>
    <row r="222" spans="1:47" ht="13.5" thickBot="1" x14ac:dyDescent="0.25">
      <c r="A222" s="48" t="s">
        <v>792</v>
      </c>
      <c r="B222" s="291" t="s">
        <v>791</v>
      </c>
      <c r="C222" s="298" t="s">
        <v>25</v>
      </c>
      <c r="D222" s="302">
        <v>35</v>
      </c>
      <c r="E222" s="303">
        <v>30000</v>
      </c>
      <c r="F222" s="303">
        <v>45000</v>
      </c>
      <c r="G222" s="302">
        <v>40</v>
      </c>
      <c r="H222" s="303">
        <v>20000</v>
      </c>
      <c r="I222" s="303">
        <v>39000</v>
      </c>
      <c r="J222" s="299" t="s">
        <v>1613</v>
      </c>
      <c r="K222" s="299" t="s">
        <v>1613</v>
      </c>
      <c r="L222" s="299" t="s">
        <v>1613</v>
      </c>
      <c r="M222" s="299" t="s">
        <v>1613</v>
      </c>
      <c r="N222" s="299" t="s">
        <v>1613</v>
      </c>
      <c r="O222" s="299" t="s">
        <v>1613</v>
      </c>
      <c r="P222" s="302">
        <v>20</v>
      </c>
      <c r="Q222" s="303">
        <v>10000</v>
      </c>
      <c r="R222" s="303">
        <v>26000</v>
      </c>
      <c r="S222" s="302">
        <v>40</v>
      </c>
      <c r="T222" s="303">
        <v>20800</v>
      </c>
      <c r="U222" s="303">
        <v>36000</v>
      </c>
      <c r="V222" s="321" t="s">
        <v>1648</v>
      </c>
      <c r="W222" s="321" t="s">
        <v>1648</v>
      </c>
      <c r="X222" s="321" t="s">
        <v>1649</v>
      </c>
      <c r="Y222" s="321" t="s">
        <v>1649</v>
      </c>
      <c r="Z222" s="321" t="s">
        <v>1648</v>
      </c>
      <c r="AA222" s="321" t="s">
        <v>1648</v>
      </c>
      <c r="AB222" s="321" t="s">
        <v>1648</v>
      </c>
      <c r="AC222" s="321" t="s">
        <v>1648</v>
      </c>
      <c r="AD222" s="321" t="s">
        <v>1649</v>
      </c>
      <c r="AE222" s="321" t="s">
        <v>1649</v>
      </c>
      <c r="AF222" s="321" t="s">
        <v>1648</v>
      </c>
      <c r="AG222" s="321" t="s">
        <v>1649</v>
      </c>
      <c r="AH222" s="300" t="s">
        <v>1613</v>
      </c>
      <c r="AI222" s="321" t="s">
        <v>1649</v>
      </c>
      <c r="AJ222" s="321" t="s">
        <v>1649</v>
      </c>
      <c r="AK222" s="321" t="s">
        <v>1649</v>
      </c>
      <c r="AL222" s="321" t="s">
        <v>1649</v>
      </c>
      <c r="AM222" s="321" t="s">
        <v>1649</v>
      </c>
      <c r="AN222" s="321" t="s">
        <v>1648</v>
      </c>
      <c r="AO222" s="321" t="s">
        <v>1649</v>
      </c>
      <c r="AP222" s="321" t="s">
        <v>1648</v>
      </c>
      <c r="AQ222" s="321" t="s">
        <v>1649</v>
      </c>
      <c r="AR222" s="321" t="s">
        <v>1649</v>
      </c>
      <c r="AS222" s="321" t="s">
        <v>1649</v>
      </c>
      <c r="AT222" s="321" t="s">
        <v>1649</v>
      </c>
      <c r="AU222" s="301" t="s">
        <v>1613</v>
      </c>
    </row>
    <row r="223" spans="1:47" ht="13.5" thickBot="1" x14ac:dyDescent="0.25">
      <c r="A223" s="48" t="s">
        <v>796</v>
      </c>
      <c r="B223" s="291" t="s">
        <v>795</v>
      </c>
      <c r="C223" s="298" t="s">
        <v>25</v>
      </c>
      <c r="D223" s="302">
        <v>34</v>
      </c>
      <c r="E223" s="303">
        <v>34565</v>
      </c>
      <c r="F223" s="303">
        <v>39445</v>
      </c>
      <c r="G223" s="304"/>
      <c r="H223" s="305"/>
      <c r="I223" s="305"/>
      <c r="J223" s="302">
        <v>34</v>
      </c>
      <c r="K223" s="303">
        <v>24752</v>
      </c>
      <c r="L223" s="303">
        <v>30541</v>
      </c>
      <c r="M223" s="302">
        <v>28</v>
      </c>
      <c r="N223" s="303">
        <v>15252</v>
      </c>
      <c r="O223" s="303">
        <v>17422</v>
      </c>
      <c r="P223" s="304"/>
      <c r="Q223" s="305"/>
      <c r="R223" s="305"/>
      <c r="S223" s="302">
        <v>20</v>
      </c>
      <c r="T223" s="303">
        <v>14414</v>
      </c>
      <c r="U223" s="303">
        <v>16816</v>
      </c>
      <c r="V223" s="321" t="s">
        <v>1649</v>
      </c>
      <c r="W223" s="321" t="s">
        <v>1649</v>
      </c>
      <c r="X223" s="321" t="s">
        <v>1648</v>
      </c>
      <c r="Y223" s="321" t="s">
        <v>1648</v>
      </c>
      <c r="Z223" s="321" t="s">
        <v>1649</v>
      </c>
      <c r="AA223" s="321" t="s">
        <v>1648</v>
      </c>
      <c r="AB223" s="321" t="s">
        <v>1648</v>
      </c>
      <c r="AC223" s="321" t="s">
        <v>1648</v>
      </c>
      <c r="AD223" s="321" t="s">
        <v>1648</v>
      </c>
      <c r="AE223" s="321" t="s">
        <v>1648</v>
      </c>
      <c r="AF223" s="321" t="s">
        <v>1648</v>
      </c>
      <c r="AG223" s="321" t="s">
        <v>1649</v>
      </c>
      <c r="AH223" s="165" t="s">
        <v>3559</v>
      </c>
      <c r="AI223" s="321" t="s">
        <v>1649</v>
      </c>
      <c r="AJ223" s="321" t="s">
        <v>1649</v>
      </c>
      <c r="AK223" s="321" t="s">
        <v>1649</v>
      </c>
      <c r="AL223" s="321" t="s">
        <v>1649</v>
      </c>
      <c r="AM223" s="321" t="s">
        <v>1649</v>
      </c>
      <c r="AN223" s="321" t="s">
        <v>1649</v>
      </c>
      <c r="AO223" s="321" t="s">
        <v>1649</v>
      </c>
      <c r="AP223" s="321" t="s">
        <v>1648</v>
      </c>
      <c r="AQ223" s="321" t="s">
        <v>1649</v>
      </c>
      <c r="AR223" s="321" t="s">
        <v>1649</v>
      </c>
      <c r="AS223" s="321" t="s">
        <v>1649</v>
      </c>
      <c r="AT223" s="321" t="s">
        <v>1649</v>
      </c>
      <c r="AU223" s="307" t="s">
        <v>3604</v>
      </c>
    </row>
    <row r="224" spans="1:47" ht="13.5" thickBot="1" x14ac:dyDescent="0.25">
      <c r="A224" s="48" t="s">
        <v>798</v>
      </c>
      <c r="B224" s="291" t="s">
        <v>797</v>
      </c>
      <c r="C224" s="298" t="s">
        <v>25</v>
      </c>
      <c r="D224" s="302">
        <v>40</v>
      </c>
      <c r="E224" s="303">
        <v>39312</v>
      </c>
      <c r="F224" s="303">
        <v>48048</v>
      </c>
      <c r="G224" s="299" t="s">
        <v>1613</v>
      </c>
      <c r="H224" s="299" t="s">
        <v>1613</v>
      </c>
      <c r="I224" s="299" t="s">
        <v>1613</v>
      </c>
      <c r="J224" s="302">
        <v>27</v>
      </c>
      <c r="K224" s="303">
        <v>15698</v>
      </c>
      <c r="L224" s="303">
        <v>19187</v>
      </c>
      <c r="M224" s="302">
        <v>24</v>
      </c>
      <c r="N224" s="303">
        <v>13478</v>
      </c>
      <c r="O224" s="303">
        <v>16474</v>
      </c>
      <c r="P224" s="299" t="s">
        <v>1613</v>
      </c>
      <c r="Q224" s="299" t="s">
        <v>1613</v>
      </c>
      <c r="R224" s="299" t="s">
        <v>1613</v>
      </c>
      <c r="S224" s="302">
        <v>12</v>
      </c>
      <c r="T224" s="303">
        <v>6273</v>
      </c>
      <c r="U224" s="303">
        <v>7033</v>
      </c>
      <c r="V224" s="321" t="s">
        <v>1649</v>
      </c>
      <c r="W224" s="321" t="s">
        <v>1649</v>
      </c>
      <c r="X224" s="321" t="s">
        <v>1649</v>
      </c>
      <c r="Y224" s="321" t="s">
        <v>1649</v>
      </c>
      <c r="Z224" s="321" t="s">
        <v>1649</v>
      </c>
      <c r="AA224" s="321" t="s">
        <v>1648</v>
      </c>
      <c r="AB224" s="321" t="s">
        <v>1648</v>
      </c>
      <c r="AC224" s="321" t="s">
        <v>1648</v>
      </c>
      <c r="AD224" s="321" t="s">
        <v>1649</v>
      </c>
      <c r="AE224" s="321" t="s">
        <v>1649</v>
      </c>
      <c r="AF224" s="321" t="s">
        <v>1649</v>
      </c>
      <c r="AG224" s="321" t="s">
        <v>1649</v>
      </c>
      <c r="AH224" s="300"/>
      <c r="AI224" s="321" t="s">
        <v>1649</v>
      </c>
      <c r="AJ224" s="321" t="s">
        <v>1649</v>
      </c>
      <c r="AK224" s="321" t="s">
        <v>1649</v>
      </c>
      <c r="AL224" s="321" t="s">
        <v>1649</v>
      </c>
      <c r="AM224" s="321" t="s">
        <v>1649</v>
      </c>
      <c r="AN224" s="321" t="s">
        <v>1648</v>
      </c>
      <c r="AO224" s="321" t="s">
        <v>1648</v>
      </c>
      <c r="AP224" s="321" t="s">
        <v>1649</v>
      </c>
      <c r="AQ224" s="321" t="s">
        <v>1649</v>
      </c>
      <c r="AR224" s="321" t="s">
        <v>1649</v>
      </c>
      <c r="AS224" s="321" t="s">
        <v>1649</v>
      </c>
      <c r="AT224" s="321" t="s">
        <v>1649</v>
      </c>
      <c r="AU224" s="301"/>
    </row>
    <row r="225" spans="1:47" ht="13.5" thickBot="1" x14ac:dyDescent="0.25">
      <c r="A225" s="48" t="s">
        <v>804</v>
      </c>
      <c r="B225" s="291" t="s">
        <v>803</v>
      </c>
      <c r="C225" s="298" t="s">
        <v>25</v>
      </c>
      <c r="D225" s="302">
        <v>34</v>
      </c>
      <c r="E225" s="303">
        <v>26520</v>
      </c>
      <c r="F225" s="303">
        <v>33462</v>
      </c>
      <c r="G225" s="302">
        <v>28</v>
      </c>
      <c r="H225" s="303">
        <v>14705</v>
      </c>
      <c r="I225" s="303">
        <v>14705</v>
      </c>
      <c r="J225" s="302">
        <v>22</v>
      </c>
      <c r="K225" s="303">
        <v>11948</v>
      </c>
      <c r="L225" s="303">
        <v>13791</v>
      </c>
      <c r="M225" s="302">
        <v>21</v>
      </c>
      <c r="N225" s="303">
        <v>11224</v>
      </c>
      <c r="O225" s="303">
        <v>11224</v>
      </c>
      <c r="P225" s="304"/>
      <c r="Q225" s="305"/>
      <c r="R225" s="305"/>
      <c r="S225" s="302">
        <v>11</v>
      </c>
      <c r="T225" s="303">
        <v>5596</v>
      </c>
      <c r="U225" s="303">
        <v>5770</v>
      </c>
      <c r="V225" s="321" t="s">
        <v>1649</v>
      </c>
      <c r="W225" s="321" t="s">
        <v>1649</v>
      </c>
      <c r="X225" s="321" t="s">
        <v>1649</v>
      </c>
      <c r="Y225" s="321" t="s">
        <v>1649</v>
      </c>
      <c r="Z225" s="321" t="s">
        <v>1649</v>
      </c>
      <c r="AA225" s="321" t="s">
        <v>1649</v>
      </c>
      <c r="AB225" s="321" t="s">
        <v>1649</v>
      </c>
      <c r="AC225" s="321" t="s">
        <v>1649</v>
      </c>
      <c r="AD225" s="321" t="s">
        <v>1649</v>
      </c>
      <c r="AE225" s="321" t="s">
        <v>1649</v>
      </c>
      <c r="AF225" s="321" t="s">
        <v>1649</v>
      </c>
      <c r="AG225" s="321" t="s">
        <v>1649</v>
      </c>
      <c r="AH225" s="300" t="s">
        <v>1613</v>
      </c>
      <c r="AI225" s="321" t="s">
        <v>1649</v>
      </c>
      <c r="AJ225" s="321" t="s">
        <v>1649</v>
      </c>
      <c r="AK225" s="321" t="s">
        <v>1649</v>
      </c>
      <c r="AL225" s="321" t="s">
        <v>1649</v>
      </c>
      <c r="AM225" s="321" t="s">
        <v>1649</v>
      </c>
      <c r="AN225" s="321" t="s">
        <v>1648</v>
      </c>
      <c r="AO225" s="321" t="s">
        <v>1648</v>
      </c>
      <c r="AP225" s="321" t="s">
        <v>1648</v>
      </c>
      <c r="AQ225" s="321" t="s">
        <v>1649</v>
      </c>
      <c r="AR225" s="321" t="s">
        <v>1649</v>
      </c>
      <c r="AS225" s="321" t="s">
        <v>1648</v>
      </c>
      <c r="AT225" s="321" t="s">
        <v>1649</v>
      </c>
      <c r="AU225" s="301" t="s">
        <v>1613</v>
      </c>
    </row>
    <row r="226" spans="1:47" ht="13.5" thickBot="1" x14ac:dyDescent="0.25">
      <c r="A226" s="48" t="s">
        <v>19</v>
      </c>
      <c r="B226" s="291" t="s">
        <v>18</v>
      </c>
      <c r="C226" s="298" t="s">
        <v>22</v>
      </c>
      <c r="D226" s="302">
        <v>40</v>
      </c>
      <c r="E226" s="303">
        <v>44000</v>
      </c>
      <c r="F226" s="303">
        <v>58000</v>
      </c>
      <c r="G226" s="304"/>
      <c r="H226" s="305"/>
      <c r="I226" s="305"/>
      <c r="J226" s="302">
        <v>40</v>
      </c>
      <c r="K226" s="303">
        <v>45864</v>
      </c>
      <c r="L226" s="303">
        <v>63461</v>
      </c>
      <c r="M226" s="302">
        <v>40</v>
      </c>
      <c r="N226" s="303">
        <v>39562</v>
      </c>
      <c r="O226" s="303">
        <v>54746</v>
      </c>
      <c r="P226" s="304"/>
      <c r="Q226" s="305"/>
      <c r="R226" s="305"/>
      <c r="S226" s="302">
        <v>20</v>
      </c>
      <c r="T226" s="303">
        <v>11586</v>
      </c>
      <c r="U226" s="303">
        <v>16026</v>
      </c>
      <c r="V226" s="321" t="s">
        <v>1648</v>
      </c>
      <c r="W226" s="321" t="s">
        <v>1648</v>
      </c>
      <c r="X226" s="321" t="s">
        <v>1649</v>
      </c>
      <c r="Y226" s="321" t="s">
        <v>1649</v>
      </c>
      <c r="Z226" s="321" t="s">
        <v>1648</v>
      </c>
      <c r="AA226" s="321" t="s">
        <v>1648</v>
      </c>
      <c r="AB226" s="321" t="s">
        <v>1648</v>
      </c>
      <c r="AC226" s="321" t="s">
        <v>1648</v>
      </c>
      <c r="AD226" s="321" t="s">
        <v>1648</v>
      </c>
      <c r="AE226" s="321" t="s">
        <v>1649</v>
      </c>
      <c r="AF226" s="321" t="s">
        <v>1649</v>
      </c>
      <c r="AG226" s="321" t="s">
        <v>1649</v>
      </c>
      <c r="AH226" s="300" t="s">
        <v>1613</v>
      </c>
      <c r="AI226" s="321" t="s">
        <v>1649</v>
      </c>
      <c r="AJ226" s="321" t="s">
        <v>1649</v>
      </c>
      <c r="AK226" s="321" t="s">
        <v>1649</v>
      </c>
      <c r="AL226" s="321" t="s">
        <v>1649</v>
      </c>
      <c r="AM226" s="321" t="s">
        <v>1649</v>
      </c>
      <c r="AN226" s="321" t="s">
        <v>1648</v>
      </c>
      <c r="AO226" s="321" t="s">
        <v>1648</v>
      </c>
      <c r="AP226" s="321" t="s">
        <v>1648</v>
      </c>
      <c r="AQ226" s="321" t="s">
        <v>1649</v>
      </c>
      <c r="AR226" s="321" t="s">
        <v>1649</v>
      </c>
      <c r="AS226" s="321" t="s">
        <v>1649</v>
      </c>
      <c r="AT226" s="321" t="s">
        <v>1649</v>
      </c>
      <c r="AU226" s="301" t="s">
        <v>1613</v>
      </c>
    </row>
    <row r="227" spans="1:47" ht="13.5" thickBot="1" x14ac:dyDescent="0.25">
      <c r="A227" s="48" t="s">
        <v>36</v>
      </c>
      <c r="B227" s="291" t="s">
        <v>35</v>
      </c>
      <c r="C227" s="298" t="s">
        <v>22</v>
      </c>
      <c r="D227" s="302">
        <v>40</v>
      </c>
      <c r="E227" s="303">
        <v>40000</v>
      </c>
      <c r="F227" s="303">
        <v>55000</v>
      </c>
      <c r="G227" s="302">
        <v>40</v>
      </c>
      <c r="H227" s="303">
        <v>30000</v>
      </c>
      <c r="I227" s="303">
        <v>45000</v>
      </c>
      <c r="J227" s="302">
        <v>40</v>
      </c>
      <c r="K227" s="303">
        <v>34300</v>
      </c>
      <c r="L227" s="303">
        <v>48000</v>
      </c>
      <c r="M227" s="299" t="s">
        <v>1613</v>
      </c>
      <c r="N227" s="299" t="s">
        <v>1613</v>
      </c>
      <c r="O227" s="299" t="s">
        <v>1613</v>
      </c>
      <c r="P227" s="302">
        <v>40</v>
      </c>
      <c r="Q227" s="303">
        <v>34300</v>
      </c>
      <c r="R227" s="303">
        <v>48000</v>
      </c>
      <c r="S227" s="302">
        <v>20</v>
      </c>
      <c r="T227" s="303">
        <v>10920</v>
      </c>
      <c r="U227" s="303">
        <v>14560</v>
      </c>
      <c r="V227" s="321" t="s">
        <v>1648</v>
      </c>
      <c r="W227" s="321" t="s">
        <v>1649</v>
      </c>
      <c r="X227" s="321" t="s">
        <v>1648</v>
      </c>
      <c r="Y227" s="321" t="s">
        <v>1649</v>
      </c>
      <c r="Z227" s="321" t="s">
        <v>1649</v>
      </c>
      <c r="AA227" s="321" t="s">
        <v>1648</v>
      </c>
      <c r="AB227" s="321" t="s">
        <v>1648</v>
      </c>
      <c r="AC227" s="321" t="s">
        <v>1648</v>
      </c>
      <c r="AD227" s="321" t="s">
        <v>1648</v>
      </c>
      <c r="AE227" s="321" t="s">
        <v>1648</v>
      </c>
      <c r="AF227" s="321" t="s">
        <v>1648</v>
      </c>
      <c r="AG227" s="321" t="s">
        <v>1649</v>
      </c>
      <c r="AH227" s="300" t="s">
        <v>1613</v>
      </c>
      <c r="AI227" s="321" t="s">
        <v>1649</v>
      </c>
      <c r="AJ227" s="321" t="s">
        <v>1649</v>
      </c>
      <c r="AK227" s="321" t="s">
        <v>1649</v>
      </c>
      <c r="AL227" s="321" t="s">
        <v>1649</v>
      </c>
      <c r="AM227" s="321" t="s">
        <v>1649</v>
      </c>
      <c r="AN227" s="321" t="s">
        <v>1648</v>
      </c>
      <c r="AO227" s="321" t="s">
        <v>1648</v>
      </c>
      <c r="AP227" s="321" t="s">
        <v>1648</v>
      </c>
      <c r="AQ227" s="321" t="s">
        <v>1648</v>
      </c>
      <c r="AR227" s="321" t="s">
        <v>1649</v>
      </c>
      <c r="AS227" s="321" t="s">
        <v>1648</v>
      </c>
      <c r="AT227" s="321" t="s">
        <v>1649</v>
      </c>
      <c r="AU227" s="301" t="s">
        <v>1613</v>
      </c>
    </row>
    <row r="228" spans="1:47" ht="13.5" thickBot="1" x14ac:dyDescent="0.25">
      <c r="A228" s="48" t="s">
        <v>64</v>
      </c>
      <c r="B228" s="291" t="s">
        <v>63</v>
      </c>
      <c r="C228" s="298" t="s">
        <v>22</v>
      </c>
      <c r="D228" s="304"/>
      <c r="E228" s="305"/>
      <c r="F228" s="305"/>
      <c r="G228" s="302">
        <v>40</v>
      </c>
      <c r="H228" s="303">
        <v>48000</v>
      </c>
      <c r="I228" s="303">
        <v>54000</v>
      </c>
      <c r="J228" s="302">
        <v>40</v>
      </c>
      <c r="K228" s="303">
        <v>45000</v>
      </c>
      <c r="L228" s="303">
        <v>48500</v>
      </c>
      <c r="M228" s="302">
        <v>24</v>
      </c>
      <c r="N228" s="303">
        <v>22464</v>
      </c>
      <c r="O228" s="303">
        <v>26208</v>
      </c>
      <c r="P228" s="302">
        <v>28</v>
      </c>
      <c r="Q228" s="303">
        <v>23296</v>
      </c>
      <c r="R228" s="303">
        <v>24752</v>
      </c>
      <c r="S228" s="302">
        <v>20</v>
      </c>
      <c r="T228" s="303">
        <v>12490</v>
      </c>
      <c r="U228" s="303">
        <v>14976</v>
      </c>
      <c r="V228" s="321" t="s">
        <v>1648</v>
      </c>
      <c r="W228" s="321" t="s">
        <v>1648</v>
      </c>
      <c r="X228" s="321" t="s">
        <v>1648</v>
      </c>
      <c r="Y228" s="321" t="s">
        <v>1649</v>
      </c>
      <c r="Z228" s="321" t="s">
        <v>1648</v>
      </c>
      <c r="AA228" s="321" t="s">
        <v>1648</v>
      </c>
      <c r="AB228" s="321" t="s">
        <v>1648</v>
      </c>
      <c r="AC228" s="321" t="s">
        <v>1648</v>
      </c>
      <c r="AD228" s="321" t="s">
        <v>1648</v>
      </c>
      <c r="AE228" s="321" t="s">
        <v>1648</v>
      </c>
      <c r="AF228" s="321" t="s">
        <v>1648</v>
      </c>
      <c r="AG228" s="321" t="s">
        <v>1649</v>
      </c>
      <c r="AH228" s="300" t="s">
        <v>1613</v>
      </c>
      <c r="AI228" s="321" t="s">
        <v>1649</v>
      </c>
      <c r="AJ228" s="321" t="s">
        <v>1649</v>
      </c>
      <c r="AK228" s="321" t="s">
        <v>1649</v>
      </c>
      <c r="AL228" s="321" t="s">
        <v>1649</v>
      </c>
      <c r="AM228" s="321" t="s">
        <v>1649</v>
      </c>
      <c r="AN228" s="321" t="s">
        <v>1649</v>
      </c>
      <c r="AO228" s="321" t="s">
        <v>1649</v>
      </c>
      <c r="AP228" s="321" t="s">
        <v>1649</v>
      </c>
      <c r="AQ228" s="321" t="s">
        <v>1649</v>
      </c>
      <c r="AR228" s="321" t="s">
        <v>1649</v>
      </c>
      <c r="AS228" s="321" t="s">
        <v>1649</v>
      </c>
      <c r="AT228" s="321" t="s">
        <v>1649</v>
      </c>
      <c r="AU228" s="301" t="s">
        <v>1613</v>
      </c>
    </row>
    <row r="229" spans="1:47" ht="13.5" thickBot="1" x14ac:dyDescent="0.25">
      <c r="A229" s="48" t="s">
        <v>68</v>
      </c>
      <c r="B229" s="291" t="s">
        <v>67</v>
      </c>
      <c r="C229" s="298" t="s">
        <v>22</v>
      </c>
      <c r="D229" s="299" t="s">
        <v>1613</v>
      </c>
      <c r="E229" s="299" t="s">
        <v>1613</v>
      </c>
      <c r="F229" s="299" t="s">
        <v>1613</v>
      </c>
      <c r="G229" s="299" t="s">
        <v>1613</v>
      </c>
      <c r="H229" s="299" t="s">
        <v>1613</v>
      </c>
      <c r="I229" s="299" t="s">
        <v>1613</v>
      </c>
      <c r="J229" s="302">
        <v>39</v>
      </c>
      <c r="K229" s="303">
        <v>42400</v>
      </c>
      <c r="L229" s="303">
        <v>52300</v>
      </c>
      <c r="M229" s="299" t="s">
        <v>1613</v>
      </c>
      <c r="N229" s="299" t="s">
        <v>1613</v>
      </c>
      <c r="O229" s="299" t="s">
        <v>1613</v>
      </c>
      <c r="P229" s="299" t="s">
        <v>1613</v>
      </c>
      <c r="Q229" s="299" t="s">
        <v>1613</v>
      </c>
      <c r="R229" s="299" t="s">
        <v>1613</v>
      </c>
      <c r="S229" s="302">
        <v>39</v>
      </c>
      <c r="T229" s="303">
        <v>42000</v>
      </c>
      <c r="U229" s="303">
        <v>42500</v>
      </c>
      <c r="V229" s="321" t="s">
        <v>1648</v>
      </c>
      <c r="W229" s="321" t="s">
        <v>1648</v>
      </c>
      <c r="X229" s="321" t="s">
        <v>1648</v>
      </c>
      <c r="Y229" s="321" t="s">
        <v>1649</v>
      </c>
      <c r="Z229" s="321" t="s">
        <v>1648</v>
      </c>
      <c r="AA229" s="321" t="s">
        <v>1648</v>
      </c>
      <c r="AB229" s="321" t="s">
        <v>1648</v>
      </c>
      <c r="AC229" s="321" t="s">
        <v>1648</v>
      </c>
      <c r="AD229" s="321" t="s">
        <v>1648</v>
      </c>
      <c r="AE229" s="321" t="s">
        <v>1648</v>
      </c>
      <c r="AF229" s="321" t="s">
        <v>1649</v>
      </c>
      <c r="AG229" s="321" t="s">
        <v>1649</v>
      </c>
      <c r="AH229" s="300"/>
      <c r="AI229" s="321" t="s">
        <v>1649</v>
      </c>
      <c r="AJ229" s="321" t="s">
        <v>1649</v>
      </c>
      <c r="AK229" s="321" t="s">
        <v>1649</v>
      </c>
      <c r="AL229" s="321" t="s">
        <v>1649</v>
      </c>
      <c r="AM229" s="321" t="s">
        <v>1649</v>
      </c>
      <c r="AN229" s="321" t="s">
        <v>1648</v>
      </c>
      <c r="AO229" s="321" t="s">
        <v>1648</v>
      </c>
      <c r="AP229" s="321" t="s">
        <v>1648</v>
      </c>
      <c r="AQ229" s="321" t="s">
        <v>1648</v>
      </c>
      <c r="AR229" s="321" t="s">
        <v>1649</v>
      </c>
      <c r="AS229" s="321" t="s">
        <v>1649</v>
      </c>
      <c r="AT229" s="321" t="s">
        <v>1649</v>
      </c>
      <c r="AU229" s="301"/>
    </row>
    <row r="230" spans="1:47" ht="13.5" thickBot="1" x14ac:dyDescent="0.25">
      <c r="A230" s="48" t="s">
        <v>88</v>
      </c>
      <c r="B230" s="291" t="s">
        <v>87</v>
      </c>
      <c r="C230" s="298" t="s">
        <v>22</v>
      </c>
      <c r="D230" s="299" t="s">
        <v>1613</v>
      </c>
      <c r="E230" s="299" t="s">
        <v>1613</v>
      </c>
      <c r="F230" s="299" t="s">
        <v>1613</v>
      </c>
      <c r="G230" s="299" t="s">
        <v>1613</v>
      </c>
      <c r="H230" s="303">
        <v>35000</v>
      </c>
      <c r="I230" s="303">
        <v>45000</v>
      </c>
      <c r="J230" s="299" t="s">
        <v>1613</v>
      </c>
      <c r="K230" s="299" t="s">
        <v>1613</v>
      </c>
      <c r="L230" s="299" t="s">
        <v>1613</v>
      </c>
      <c r="M230" s="299" t="s">
        <v>1613</v>
      </c>
      <c r="N230" s="299" t="s">
        <v>1613</v>
      </c>
      <c r="O230" s="299" t="s">
        <v>1613</v>
      </c>
      <c r="P230" s="299" t="s">
        <v>1613</v>
      </c>
      <c r="Q230" s="299" t="s">
        <v>1613</v>
      </c>
      <c r="R230" s="299" t="s">
        <v>1613</v>
      </c>
      <c r="S230" s="302">
        <v>28</v>
      </c>
      <c r="T230" s="303">
        <v>10000</v>
      </c>
      <c r="U230" s="303">
        <v>25000</v>
      </c>
      <c r="V230" s="321" t="s">
        <v>1649</v>
      </c>
      <c r="W230" s="321" t="s">
        <v>1649</v>
      </c>
      <c r="X230" s="321" t="s">
        <v>1648</v>
      </c>
      <c r="Y230" s="321" t="s">
        <v>1649</v>
      </c>
      <c r="Z230" s="321" t="s">
        <v>1649</v>
      </c>
      <c r="AA230" s="321" t="s">
        <v>1648</v>
      </c>
      <c r="AB230" s="321" t="s">
        <v>1648</v>
      </c>
      <c r="AC230" s="321" t="s">
        <v>1648</v>
      </c>
      <c r="AD230" s="321" t="s">
        <v>1649</v>
      </c>
      <c r="AE230" s="321" t="s">
        <v>1649</v>
      </c>
      <c r="AF230" s="321" t="s">
        <v>1648</v>
      </c>
      <c r="AG230" s="321" t="s">
        <v>1649</v>
      </c>
      <c r="AH230" s="165" t="s">
        <v>3668</v>
      </c>
      <c r="AI230" s="321" t="s">
        <v>1649</v>
      </c>
      <c r="AJ230" s="321" t="s">
        <v>1649</v>
      </c>
      <c r="AK230" s="321" t="s">
        <v>1649</v>
      </c>
      <c r="AL230" s="321" t="s">
        <v>1649</v>
      </c>
      <c r="AM230" s="321" t="s">
        <v>1649</v>
      </c>
      <c r="AN230" s="321" t="s">
        <v>1648</v>
      </c>
      <c r="AO230" s="321" t="s">
        <v>1648</v>
      </c>
      <c r="AP230" s="321" t="s">
        <v>1648</v>
      </c>
      <c r="AQ230" s="321" t="s">
        <v>1649</v>
      </c>
      <c r="AR230" s="321" t="s">
        <v>1649</v>
      </c>
      <c r="AS230" s="321" t="s">
        <v>1648</v>
      </c>
      <c r="AT230" s="321" t="s">
        <v>1649</v>
      </c>
      <c r="AU230" s="307" t="s">
        <v>3669</v>
      </c>
    </row>
    <row r="231" spans="1:47" ht="13.5" thickBot="1" x14ac:dyDescent="0.25">
      <c r="A231" s="48" t="s">
        <v>94</v>
      </c>
      <c r="B231" s="291" t="s">
        <v>93</v>
      </c>
      <c r="C231" s="298" t="s">
        <v>22</v>
      </c>
      <c r="D231" s="304"/>
      <c r="E231" s="305"/>
      <c r="F231" s="305"/>
      <c r="G231" s="304"/>
      <c r="H231" s="305"/>
      <c r="I231" s="305"/>
      <c r="J231" s="304"/>
      <c r="K231" s="305"/>
      <c r="L231" s="305"/>
      <c r="M231" s="302">
        <v>28</v>
      </c>
      <c r="N231" s="303">
        <v>23347</v>
      </c>
      <c r="O231" s="303">
        <v>29714</v>
      </c>
      <c r="P231" s="304"/>
      <c r="Q231" s="305"/>
      <c r="R231" s="305"/>
      <c r="S231" s="302">
        <v>40</v>
      </c>
      <c r="T231" s="303">
        <v>35020</v>
      </c>
      <c r="U231" s="303">
        <v>42979</v>
      </c>
      <c r="V231" s="321" t="s">
        <v>1648</v>
      </c>
      <c r="W231" s="321" t="s">
        <v>1648</v>
      </c>
      <c r="X231" s="321" t="s">
        <v>1648</v>
      </c>
      <c r="Y231" s="321" t="s">
        <v>1648</v>
      </c>
      <c r="Z231" s="321" t="s">
        <v>1648</v>
      </c>
      <c r="AA231" s="321" t="s">
        <v>1648</v>
      </c>
      <c r="AB231" s="321" t="s">
        <v>1648</v>
      </c>
      <c r="AC231" s="321" t="s">
        <v>1648</v>
      </c>
      <c r="AD231" s="321" t="s">
        <v>1648</v>
      </c>
      <c r="AE231" s="321" t="s">
        <v>1648</v>
      </c>
      <c r="AF231" s="321" t="s">
        <v>1648</v>
      </c>
      <c r="AG231" s="321" t="s">
        <v>1649</v>
      </c>
      <c r="AH231" s="300" t="s">
        <v>1613</v>
      </c>
      <c r="AI231" s="321" t="s">
        <v>1649</v>
      </c>
      <c r="AJ231" s="321" t="s">
        <v>1649</v>
      </c>
      <c r="AK231" s="321" t="s">
        <v>1649</v>
      </c>
      <c r="AL231" s="321" t="s">
        <v>1649</v>
      </c>
      <c r="AM231" s="321" t="s">
        <v>1649</v>
      </c>
      <c r="AN231" s="321" t="s">
        <v>1649</v>
      </c>
      <c r="AO231" s="321" t="s">
        <v>1649</v>
      </c>
      <c r="AP231" s="321" t="s">
        <v>1649</v>
      </c>
      <c r="AQ231" s="321" t="s">
        <v>1649</v>
      </c>
      <c r="AR231" s="321" t="s">
        <v>1649</v>
      </c>
      <c r="AS231" s="321" t="s">
        <v>1649</v>
      </c>
      <c r="AT231" s="321" t="s">
        <v>1649</v>
      </c>
      <c r="AU231" s="301" t="s">
        <v>1613</v>
      </c>
    </row>
    <row r="232" spans="1:47" ht="13.5" thickBot="1" x14ac:dyDescent="0.25">
      <c r="A232" s="48" t="s">
        <v>104</v>
      </c>
      <c r="B232" s="291" t="s">
        <v>103</v>
      </c>
      <c r="C232" s="298" t="s">
        <v>22</v>
      </c>
      <c r="D232" s="299" t="s">
        <v>1613</v>
      </c>
      <c r="E232" s="299" t="s">
        <v>1613</v>
      </c>
      <c r="F232" s="299" t="s">
        <v>1613</v>
      </c>
      <c r="G232" s="299" t="s">
        <v>1613</v>
      </c>
      <c r="H232" s="299" t="s">
        <v>1613</v>
      </c>
      <c r="I232" s="299" t="s">
        <v>1613</v>
      </c>
      <c r="J232" s="299" t="s">
        <v>1613</v>
      </c>
      <c r="K232" s="299" t="s">
        <v>1613</v>
      </c>
      <c r="L232" s="299" t="s">
        <v>1613</v>
      </c>
      <c r="M232" s="299" t="s">
        <v>1613</v>
      </c>
      <c r="N232" s="299" t="s">
        <v>1613</v>
      </c>
      <c r="O232" s="299" t="s">
        <v>1613</v>
      </c>
      <c r="P232" s="299" t="s">
        <v>1613</v>
      </c>
      <c r="Q232" s="299" t="s">
        <v>1613</v>
      </c>
      <c r="R232" s="299" t="s">
        <v>1613</v>
      </c>
      <c r="S232" s="299" t="s">
        <v>1613</v>
      </c>
      <c r="T232" s="299" t="s">
        <v>1613</v>
      </c>
      <c r="U232" s="299" t="s">
        <v>1613</v>
      </c>
      <c r="V232" s="321" t="s">
        <v>1648</v>
      </c>
      <c r="W232" s="321" t="s">
        <v>1648</v>
      </c>
      <c r="X232" s="321" t="s">
        <v>1648</v>
      </c>
      <c r="Y232" s="321" t="s">
        <v>1648</v>
      </c>
      <c r="Z232" s="321" t="s">
        <v>1648</v>
      </c>
      <c r="AA232" s="321" t="s">
        <v>1648</v>
      </c>
      <c r="AB232" s="321" t="s">
        <v>1648</v>
      </c>
      <c r="AC232" s="321" t="s">
        <v>1648</v>
      </c>
      <c r="AD232" s="321" t="s">
        <v>1648</v>
      </c>
      <c r="AE232" s="321" t="s">
        <v>1648</v>
      </c>
      <c r="AF232" s="321" t="s">
        <v>1648</v>
      </c>
      <c r="AG232" s="321" t="s">
        <v>1648</v>
      </c>
      <c r="AH232" s="165" t="s">
        <v>3670</v>
      </c>
      <c r="AI232" s="321" t="s">
        <v>1649</v>
      </c>
      <c r="AJ232" s="321" t="s">
        <v>1649</v>
      </c>
      <c r="AK232" s="321" t="s">
        <v>1649</v>
      </c>
      <c r="AL232" s="321" t="s">
        <v>1649</v>
      </c>
      <c r="AM232" s="321" t="s">
        <v>1649</v>
      </c>
      <c r="AN232" s="321" t="s">
        <v>1648</v>
      </c>
      <c r="AO232" s="321" t="s">
        <v>1649</v>
      </c>
      <c r="AP232" s="321" t="s">
        <v>1649</v>
      </c>
      <c r="AQ232" s="321" t="s">
        <v>1649</v>
      </c>
      <c r="AR232" s="321" t="s">
        <v>1649</v>
      </c>
      <c r="AS232" s="321" t="s">
        <v>1649</v>
      </c>
      <c r="AT232" s="321" t="s">
        <v>1649</v>
      </c>
      <c r="AU232" s="301" t="s">
        <v>1613</v>
      </c>
    </row>
    <row r="233" spans="1:47" ht="13.5" thickBot="1" x14ac:dyDescent="0.25">
      <c r="A233" s="48" t="s">
        <v>116</v>
      </c>
      <c r="B233" s="291" t="s">
        <v>115</v>
      </c>
      <c r="C233" s="298" t="s">
        <v>22</v>
      </c>
      <c r="D233" s="299" t="s">
        <v>1613</v>
      </c>
      <c r="E233" s="299" t="s">
        <v>1613</v>
      </c>
      <c r="F233" s="299" t="s">
        <v>1613</v>
      </c>
      <c r="G233" s="302">
        <v>40</v>
      </c>
      <c r="H233" s="303">
        <v>49889</v>
      </c>
      <c r="I233" s="303">
        <v>59634</v>
      </c>
      <c r="J233" s="302">
        <v>40</v>
      </c>
      <c r="K233" s="303">
        <v>41267</v>
      </c>
      <c r="L233" s="303">
        <v>49317</v>
      </c>
      <c r="M233" s="302">
        <v>29</v>
      </c>
      <c r="N233" s="303">
        <v>21866</v>
      </c>
      <c r="O233" s="303">
        <v>26133</v>
      </c>
      <c r="P233" s="299" t="s">
        <v>1613</v>
      </c>
      <c r="Q233" s="299" t="s">
        <v>1613</v>
      </c>
      <c r="R233" s="299" t="s">
        <v>1613</v>
      </c>
      <c r="S233" s="302">
        <v>29</v>
      </c>
      <c r="T233" s="303">
        <v>16588</v>
      </c>
      <c r="U233" s="303">
        <v>19830</v>
      </c>
      <c r="V233" s="321" t="s">
        <v>1648</v>
      </c>
      <c r="W233" s="321" t="s">
        <v>1648</v>
      </c>
      <c r="X233" s="321" t="s">
        <v>1648</v>
      </c>
      <c r="Y233" s="321" t="s">
        <v>1648</v>
      </c>
      <c r="Z233" s="321" t="s">
        <v>1648</v>
      </c>
      <c r="AA233" s="321" t="s">
        <v>1648</v>
      </c>
      <c r="AB233" s="321" t="s">
        <v>1648</v>
      </c>
      <c r="AC233" s="321" t="s">
        <v>1648</v>
      </c>
      <c r="AD233" s="321" t="s">
        <v>1648</v>
      </c>
      <c r="AE233" s="321" t="s">
        <v>1649</v>
      </c>
      <c r="AF233" s="321" t="s">
        <v>1649</v>
      </c>
      <c r="AG233" s="321" t="s">
        <v>1649</v>
      </c>
      <c r="AH233" s="165" t="s">
        <v>3542</v>
      </c>
      <c r="AI233" s="321" t="s">
        <v>1649</v>
      </c>
      <c r="AJ233" s="321" t="s">
        <v>1649</v>
      </c>
      <c r="AK233" s="321" t="s">
        <v>1648</v>
      </c>
      <c r="AL233" s="321" t="s">
        <v>1649</v>
      </c>
      <c r="AM233" s="321" t="s">
        <v>1649</v>
      </c>
      <c r="AN233" s="321" t="s">
        <v>1648</v>
      </c>
      <c r="AO233" s="321" t="s">
        <v>1648</v>
      </c>
      <c r="AP233" s="321" t="s">
        <v>1648</v>
      </c>
      <c r="AQ233" s="321" t="s">
        <v>1649</v>
      </c>
      <c r="AR233" s="321" t="s">
        <v>1649</v>
      </c>
      <c r="AS233" s="321" t="s">
        <v>1649</v>
      </c>
      <c r="AT233" s="321" t="s">
        <v>1649</v>
      </c>
      <c r="AU233" s="301" t="s">
        <v>1613</v>
      </c>
    </row>
    <row r="234" spans="1:47" ht="13.5" thickBot="1" x14ac:dyDescent="0.25">
      <c r="A234" s="48" t="s">
        <v>118</v>
      </c>
      <c r="B234" s="291" t="s">
        <v>117</v>
      </c>
      <c r="C234" s="298" t="s">
        <v>22</v>
      </c>
      <c r="D234" s="304"/>
      <c r="E234" s="305"/>
      <c r="F234" s="305"/>
      <c r="G234" s="302">
        <v>40</v>
      </c>
      <c r="H234" s="303">
        <v>28000</v>
      </c>
      <c r="I234" s="303">
        <v>45000</v>
      </c>
      <c r="J234" s="304"/>
      <c r="K234" s="305"/>
      <c r="L234" s="305"/>
      <c r="M234" s="302">
        <v>40</v>
      </c>
      <c r="N234" s="303">
        <v>22000</v>
      </c>
      <c r="O234" s="303">
        <v>36000</v>
      </c>
      <c r="P234" s="304"/>
      <c r="Q234" s="305"/>
      <c r="R234" s="305"/>
      <c r="S234" s="302">
        <v>25</v>
      </c>
      <c r="T234" s="303">
        <v>9000</v>
      </c>
      <c r="U234" s="303">
        <v>14000</v>
      </c>
      <c r="V234" s="321" t="s">
        <v>1648</v>
      </c>
      <c r="W234" s="321" t="s">
        <v>1648</v>
      </c>
      <c r="X234" s="321" t="s">
        <v>1648</v>
      </c>
      <c r="Y234" s="321" t="s">
        <v>1648</v>
      </c>
      <c r="Z234" s="321" t="s">
        <v>1649</v>
      </c>
      <c r="AA234" s="321" t="s">
        <v>1648</v>
      </c>
      <c r="AB234" s="321" t="s">
        <v>1648</v>
      </c>
      <c r="AC234" s="321" t="s">
        <v>1648</v>
      </c>
      <c r="AD234" s="321" t="s">
        <v>1649</v>
      </c>
      <c r="AE234" s="321" t="s">
        <v>1648</v>
      </c>
      <c r="AF234" s="321" t="s">
        <v>1648</v>
      </c>
      <c r="AG234" s="321" t="s">
        <v>1648</v>
      </c>
      <c r="AH234" s="300"/>
      <c r="AI234" s="321" t="s">
        <v>1649</v>
      </c>
      <c r="AJ234" s="321" t="s">
        <v>1649</v>
      </c>
      <c r="AK234" s="321" t="s">
        <v>1649</v>
      </c>
      <c r="AL234" s="321" t="s">
        <v>1649</v>
      </c>
      <c r="AM234" s="321" t="s">
        <v>1649</v>
      </c>
      <c r="AN234" s="321" t="s">
        <v>1648</v>
      </c>
      <c r="AO234" s="321" t="s">
        <v>1648</v>
      </c>
      <c r="AP234" s="321" t="s">
        <v>1648</v>
      </c>
      <c r="AQ234" s="321" t="s">
        <v>1649</v>
      </c>
      <c r="AR234" s="321" t="s">
        <v>1649</v>
      </c>
      <c r="AS234" s="321" t="s">
        <v>1649</v>
      </c>
      <c r="AT234" s="321" t="s">
        <v>1649</v>
      </c>
      <c r="AU234" s="301"/>
    </row>
    <row r="235" spans="1:47" ht="13.5" thickBot="1" x14ac:dyDescent="0.25">
      <c r="A235" s="48" t="s">
        <v>122</v>
      </c>
      <c r="B235" s="291" t="s">
        <v>121</v>
      </c>
      <c r="C235" s="298" t="s">
        <v>22</v>
      </c>
      <c r="D235" s="302">
        <v>40</v>
      </c>
      <c r="E235" s="303">
        <v>46205</v>
      </c>
      <c r="F235" s="303">
        <v>46205</v>
      </c>
      <c r="G235" s="299" t="s">
        <v>1613</v>
      </c>
      <c r="H235" s="299" t="s">
        <v>1613</v>
      </c>
      <c r="I235" s="299" t="s">
        <v>1613</v>
      </c>
      <c r="J235" s="302">
        <v>40</v>
      </c>
      <c r="K235" s="303">
        <v>33660</v>
      </c>
      <c r="L235" s="303">
        <v>33660</v>
      </c>
      <c r="M235" s="302">
        <v>10</v>
      </c>
      <c r="N235" s="303">
        <v>6994</v>
      </c>
      <c r="O235" s="303">
        <v>6994</v>
      </c>
      <c r="P235" s="299" t="s">
        <v>1613</v>
      </c>
      <c r="Q235" s="299" t="s">
        <v>1613</v>
      </c>
      <c r="R235" s="299" t="s">
        <v>1613</v>
      </c>
      <c r="S235" s="302">
        <v>12</v>
      </c>
      <c r="T235" s="303">
        <v>6396</v>
      </c>
      <c r="U235" s="303">
        <v>7020</v>
      </c>
      <c r="V235" s="321" t="s">
        <v>1648</v>
      </c>
      <c r="W235" s="321" t="s">
        <v>1648</v>
      </c>
      <c r="X235" s="321" t="s">
        <v>1648</v>
      </c>
      <c r="Y235" s="321" t="s">
        <v>1649</v>
      </c>
      <c r="Z235" s="321" t="s">
        <v>1648</v>
      </c>
      <c r="AA235" s="321" t="s">
        <v>1648</v>
      </c>
      <c r="AB235" s="321" t="s">
        <v>1648</v>
      </c>
      <c r="AC235" s="321" t="s">
        <v>1648</v>
      </c>
      <c r="AD235" s="321" t="s">
        <v>1648</v>
      </c>
      <c r="AE235" s="321" t="s">
        <v>1648</v>
      </c>
      <c r="AF235" s="321" t="s">
        <v>1648</v>
      </c>
      <c r="AG235" s="321" t="s">
        <v>1648</v>
      </c>
      <c r="AH235" s="300"/>
      <c r="AI235" s="321" t="s">
        <v>1649</v>
      </c>
      <c r="AJ235" s="321" t="s">
        <v>1649</v>
      </c>
      <c r="AK235" s="321" t="s">
        <v>1649</v>
      </c>
      <c r="AL235" s="321" t="s">
        <v>1649</v>
      </c>
      <c r="AM235" s="321" t="s">
        <v>1649</v>
      </c>
      <c r="AN235" s="321" t="s">
        <v>1649</v>
      </c>
      <c r="AO235" s="321" t="s">
        <v>1649</v>
      </c>
      <c r="AP235" s="321" t="s">
        <v>1648</v>
      </c>
      <c r="AQ235" s="321" t="s">
        <v>1649</v>
      </c>
      <c r="AR235" s="321" t="s">
        <v>1649</v>
      </c>
      <c r="AS235" s="321" t="s">
        <v>1648</v>
      </c>
      <c r="AT235" s="321" t="s">
        <v>1649</v>
      </c>
      <c r="AU235" s="307" t="s">
        <v>3664</v>
      </c>
    </row>
    <row r="236" spans="1:47" ht="13.5" thickBot="1" x14ac:dyDescent="0.25">
      <c r="A236" s="48" t="s">
        <v>158</v>
      </c>
      <c r="B236" s="291" t="s">
        <v>157</v>
      </c>
      <c r="C236" s="298" t="s">
        <v>22</v>
      </c>
      <c r="D236" s="302">
        <v>45</v>
      </c>
      <c r="E236" s="303">
        <v>45000</v>
      </c>
      <c r="F236" s="303">
        <v>57000</v>
      </c>
      <c r="G236" s="302">
        <v>40</v>
      </c>
      <c r="H236" s="303">
        <v>40000</v>
      </c>
      <c r="I236" s="303">
        <v>45000</v>
      </c>
      <c r="J236" s="302">
        <v>40</v>
      </c>
      <c r="K236" s="303">
        <v>27000</v>
      </c>
      <c r="L236" s="303">
        <v>35000</v>
      </c>
      <c r="M236" s="302">
        <v>20</v>
      </c>
      <c r="N236" s="303">
        <v>12000</v>
      </c>
      <c r="O236" s="303">
        <v>15000</v>
      </c>
      <c r="P236" s="302">
        <v>40</v>
      </c>
      <c r="Q236" s="303">
        <v>30000</v>
      </c>
      <c r="R236" s="303">
        <v>40000</v>
      </c>
      <c r="S236" s="302">
        <v>15</v>
      </c>
      <c r="T236" s="303">
        <v>8000</v>
      </c>
      <c r="U236" s="303">
        <v>12000</v>
      </c>
      <c r="V236" s="321" t="s">
        <v>1648</v>
      </c>
      <c r="W236" s="321" t="s">
        <v>1649</v>
      </c>
      <c r="X236" s="321" t="s">
        <v>1649</v>
      </c>
      <c r="Y236" s="321" t="s">
        <v>1649</v>
      </c>
      <c r="Z236" s="321" t="s">
        <v>1649</v>
      </c>
      <c r="AA236" s="321" t="s">
        <v>1648</v>
      </c>
      <c r="AB236" s="321" t="s">
        <v>1648</v>
      </c>
      <c r="AC236" s="321" t="s">
        <v>1648</v>
      </c>
      <c r="AD236" s="321" t="s">
        <v>1649</v>
      </c>
      <c r="AE236" s="321" t="s">
        <v>1648</v>
      </c>
      <c r="AF236" s="321" t="s">
        <v>1648</v>
      </c>
      <c r="AG236" s="321" t="s">
        <v>1649</v>
      </c>
      <c r="AH236" s="300" t="s">
        <v>1613</v>
      </c>
      <c r="AI236" s="321" t="s">
        <v>1649</v>
      </c>
      <c r="AJ236" s="321" t="s">
        <v>1649</v>
      </c>
      <c r="AK236" s="321" t="s">
        <v>1649</v>
      </c>
      <c r="AL236" s="321" t="s">
        <v>1649</v>
      </c>
      <c r="AM236" s="321" t="s">
        <v>1649</v>
      </c>
      <c r="AN236" s="321" t="s">
        <v>1649</v>
      </c>
      <c r="AO236" s="321" t="s">
        <v>1649</v>
      </c>
      <c r="AP236" s="321" t="s">
        <v>1649</v>
      </c>
      <c r="AQ236" s="321" t="s">
        <v>1649</v>
      </c>
      <c r="AR236" s="321" t="s">
        <v>1649</v>
      </c>
      <c r="AS236" s="321" t="s">
        <v>1649</v>
      </c>
      <c r="AT236" s="321" t="s">
        <v>1649</v>
      </c>
      <c r="AU236" s="301" t="s">
        <v>1613</v>
      </c>
    </row>
    <row r="237" spans="1:47" ht="13.5" thickBot="1" x14ac:dyDescent="0.25">
      <c r="A237" s="48" t="s">
        <v>162</v>
      </c>
      <c r="B237" s="291" t="s">
        <v>161</v>
      </c>
      <c r="C237" s="298" t="s">
        <v>22</v>
      </c>
      <c r="D237" s="299" t="s">
        <v>1613</v>
      </c>
      <c r="E237" s="299" t="s">
        <v>1613</v>
      </c>
      <c r="F237" s="299" t="s">
        <v>1613</v>
      </c>
      <c r="G237" s="299" t="s">
        <v>1613</v>
      </c>
      <c r="H237" s="299" t="s">
        <v>1613</v>
      </c>
      <c r="I237" s="299" t="s">
        <v>1613</v>
      </c>
      <c r="J237" s="302">
        <v>35</v>
      </c>
      <c r="K237" s="299" t="s">
        <v>1613</v>
      </c>
      <c r="L237" s="299" t="s">
        <v>1613</v>
      </c>
      <c r="M237" s="302">
        <v>35</v>
      </c>
      <c r="N237" s="303">
        <v>30940</v>
      </c>
      <c r="O237" s="303">
        <v>36400</v>
      </c>
      <c r="P237" s="299" t="s">
        <v>1613</v>
      </c>
      <c r="Q237" s="299" t="s">
        <v>1613</v>
      </c>
      <c r="R237" s="299" t="s">
        <v>1613</v>
      </c>
      <c r="S237" s="302">
        <v>25</v>
      </c>
      <c r="T237" s="303">
        <v>13000</v>
      </c>
      <c r="U237" s="303">
        <v>14950</v>
      </c>
      <c r="V237" s="321" t="s">
        <v>1648</v>
      </c>
      <c r="W237" s="321" t="s">
        <v>1648</v>
      </c>
      <c r="X237" s="321" t="s">
        <v>1648</v>
      </c>
      <c r="Y237" s="321" t="s">
        <v>1648</v>
      </c>
      <c r="Z237" s="321" t="s">
        <v>1648</v>
      </c>
      <c r="AA237" s="321" t="s">
        <v>1648</v>
      </c>
      <c r="AB237" s="321" t="s">
        <v>1648</v>
      </c>
      <c r="AC237" s="321" t="s">
        <v>1648</v>
      </c>
      <c r="AD237" s="321" t="s">
        <v>1648</v>
      </c>
      <c r="AE237" s="321" t="s">
        <v>1648</v>
      </c>
      <c r="AF237" s="321" t="s">
        <v>1648</v>
      </c>
      <c r="AG237" s="321" t="s">
        <v>1648</v>
      </c>
      <c r="AH237" s="300" t="s">
        <v>1613</v>
      </c>
      <c r="AI237" s="321" t="s">
        <v>1649</v>
      </c>
      <c r="AJ237" s="321" t="s">
        <v>1649</v>
      </c>
      <c r="AK237" s="321" t="s">
        <v>1649</v>
      </c>
      <c r="AL237" s="321" t="s">
        <v>1649</v>
      </c>
      <c r="AM237" s="321" t="s">
        <v>1649</v>
      </c>
      <c r="AN237" s="321" t="s">
        <v>1649</v>
      </c>
      <c r="AO237" s="321" t="s">
        <v>1649</v>
      </c>
      <c r="AP237" s="321" t="s">
        <v>1648</v>
      </c>
      <c r="AQ237" s="321" t="s">
        <v>1648</v>
      </c>
      <c r="AR237" s="321" t="s">
        <v>1649</v>
      </c>
      <c r="AS237" s="321" t="s">
        <v>1648</v>
      </c>
      <c r="AT237" s="321" t="s">
        <v>1648</v>
      </c>
      <c r="AU237" s="301" t="s">
        <v>1613</v>
      </c>
    </row>
    <row r="238" spans="1:47" ht="13.5" thickBot="1" x14ac:dyDescent="0.25">
      <c r="A238" s="48" t="s">
        <v>166</v>
      </c>
      <c r="B238" s="291" t="s">
        <v>165</v>
      </c>
      <c r="C238" s="298" t="s">
        <v>22</v>
      </c>
      <c r="D238" s="302">
        <v>40</v>
      </c>
      <c r="E238" s="303">
        <v>38000</v>
      </c>
      <c r="F238" s="303">
        <v>50000</v>
      </c>
      <c r="G238" s="299" t="s">
        <v>1613</v>
      </c>
      <c r="H238" s="299" t="s">
        <v>1613</v>
      </c>
      <c r="I238" s="299" t="s">
        <v>1613</v>
      </c>
      <c r="J238" s="302">
        <v>40</v>
      </c>
      <c r="K238" s="303">
        <v>36000</v>
      </c>
      <c r="L238" s="303">
        <v>42000</v>
      </c>
      <c r="M238" s="299" t="s">
        <v>1613</v>
      </c>
      <c r="N238" s="299" t="s">
        <v>1613</v>
      </c>
      <c r="O238" s="299" t="s">
        <v>1613</v>
      </c>
      <c r="P238" s="299" t="s">
        <v>1613</v>
      </c>
      <c r="Q238" s="299" t="s">
        <v>1613</v>
      </c>
      <c r="R238" s="299" t="s">
        <v>1613</v>
      </c>
      <c r="S238" s="302">
        <v>24</v>
      </c>
      <c r="T238" s="303">
        <v>12000</v>
      </c>
      <c r="U238" s="303">
        <v>20000</v>
      </c>
      <c r="V238" s="321" t="s">
        <v>1648</v>
      </c>
      <c r="W238" s="321" t="s">
        <v>1648</v>
      </c>
      <c r="X238" s="321" t="s">
        <v>1648</v>
      </c>
      <c r="Y238" s="321" t="s">
        <v>1648</v>
      </c>
      <c r="Z238" s="321" t="s">
        <v>1648</v>
      </c>
      <c r="AA238" s="321" t="s">
        <v>1648</v>
      </c>
      <c r="AB238" s="321" t="s">
        <v>1648</v>
      </c>
      <c r="AC238" s="321" t="s">
        <v>1648</v>
      </c>
      <c r="AD238" s="321" t="s">
        <v>1649</v>
      </c>
      <c r="AE238" s="321" t="s">
        <v>1649</v>
      </c>
      <c r="AF238" s="321" t="s">
        <v>1649</v>
      </c>
      <c r="AG238" s="321" t="s">
        <v>1648</v>
      </c>
      <c r="AH238" s="300" t="s">
        <v>1613</v>
      </c>
      <c r="AI238" s="321" t="s">
        <v>1649</v>
      </c>
      <c r="AJ238" s="321" t="s">
        <v>1649</v>
      </c>
      <c r="AK238" s="321" t="s">
        <v>1649</v>
      </c>
      <c r="AL238" s="321" t="s">
        <v>1648</v>
      </c>
      <c r="AM238" s="321" t="s">
        <v>1649</v>
      </c>
      <c r="AN238" s="321" t="s">
        <v>1648</v>
      </c>
      <c r="AO238" s="321" t="s">
        <v>1648</v>
      </c>
      <c r="AP238" s="321" t="s">
        <v>1648</v>
      </c>
      <c r="AQ238" s="321" t="s">
        <v>1649</v>
      </c>
      <c r="AR238" s="321" t="s">
        <v>1649</v>
      </c>
      <c r="AS238" s="321" t="s">
        <v>1649</v>
      </c>
      <c r="AT238" s="321" t="s">
        <v>1648</v>
      </c>
      <c r="AU238" s="301" t="s">
        <v>1613</v>
      </c>
    </row>
    <row r="239" spans="1:47" ht="13.5" thickBot="1" x14ac:dyDescent="0.25">
      <c r="A239" s="48" t="s">
        <v>168</v>
      </c>
      <c r="B239" s="291" t="s">
        <v>167</v>
      </c>
      <c r="C239" s="298" t="s">
        <v>22</v>
      </c>
      <c r="D239" s="302">
        <v>40</v>
      </c>
      <c r="E239" s="303">
        <v>52741</v>
      </c>
      <c r="F239" s="303">
        <v>68427</v>
      </c>
      <c r="G239" s="302">
        <v>40</v>
      </c>
      <c r="H239" s="303">
        <v>45822</v>
      </c>
      <c r="I239" s="303">
        <v>60599</v>
      </c>
      <c r="J239" s="302">
        <v>40</v>
      </c>
      <c r="K239" s="303">
        <v>36456</v>
      </c>
      <c r="L239" s="303">
        <v>48213</v>
      </c>
      <c r="M239" s="302">
        <v>40</v>
      </c>
      <c r="N239" s="303">
        <v>36456</v>
      </c>
      <c r="O239" s="303">
        <v>48213</v>
      </c>
      <c r="P239" s="302">
        <v>40</v>
      </c>
      <c r="Q239" s="303">
        <v>43841</v>
      </c>
      <c r="R239" s="303">
        <v>57980</v>
      </c>
      <c r="S239" s="302">
        <v>40</v>
      </c>
      <c r="T239" s="303">
        <v>23254</v>
      </c>
      <c r="U239" s="303">
        <v>30763</v>
      </c>
      <c r="V239" s="321" t="s">
        <v>1648</v>
      </c>
      <c r="W239" s="321" t="s">
        <v>1649</v>
      </c>
      <c r="X239" s="321" t="s">
        <v>1648</v>
      </c>
      <c r="Y239" s="321" t="s">
        <v>1648</v>
      </c>
      <c r="Z239" s="321" t="s">
        <v>1649</v>
      </c>
      <c r="AA239" s="321" t="s">
        <v>1648</v>
      </c>
      <c r="AB239" s="321" t="s">
        <v>1648</v>
      </c>
      <c r="AC239" s="321" t="s">
        <v>1648</v>
      </c>
      <c r="AD239" s="321" t="s">
        <v>1648</v>
      </c>
      <c r="AE239" s="321" t="s">
        <v>1648</v>
      </c>
      <c r="AF239" s="321" t="s">
        <v>1648</v>
      </c>
      <c r="AG239" s="321" t="s">
        <v>1649</v>
      </c>
      <c r="AH239" s="300" t="s">
        <v>1613</v>
      </c>
      <c r="AI239" s="321" t="s">
        <v>1649</v>
      </c>
      <c r="AJ239" s="321" t="s">
        <v>1649</v>
      </c>
      <c r="AK239" s="321" t="s">
        <v>1649</v>
      </c>
      <c r="AL239" s="321" t="s">
        <v>1649</v>
      </c>
      <c r="AM239" s="321" t="s">
        <v>1649</v>
      </c>
      <c r="AN239" s="321" t="s">
        <v>1648</v>
      </c>
      <c r="AO239" s="321" t="s">
        <v>1648</v>
      </c>
      <c r="AP239" s="321" t="s">
        <v>1648</v>
      </c>
      <c r="AQ239" s="321" t="s">
        <v>1648</v>
      </c>
      <c r="AR239" s="321" t="s">
        <v>1648</v>
      </c>
      <c r="AS239" s="321" t="s">
        <v>1648</v>
      </c>
      <c r="AT239" s="321" t="s">
        <v>1649</v>
      </c>
      <c r="AU239" s="301" t="s">
        <v>1613</v>
      </c>
    </row>
    <row r="240" spans="1:47" ht="13.5" thickBot="1" x14ac:dyDescent="0.25">
      <c r="A240" s="48" t="s">
        <v>182</v>
      </c>
      <c r="B240" s="291" t="s">
        <v>181</v>
      </c>
      <c r="C240" s="298" t="s">
        <v>22</v>
      </c>
      <c r="D240" s="302">
        <v>40</v>
      </c>
      <c r="E240" s="303">
        <v>33280</v>
      </c>
      <c r="F240" s="303">
        <v>51000</v>
      </c>
      <c r="G240" s="299" t="s">
        <v>1613</v>
      </c>
      <c r="H240" s="299" t="s">
        <v>1613</v>
      </c>
      <c r="I240" s="299" t="s">
        <v>1613</v>
      </c>
      <c r="J240" s="299" t="s">
        <v>1613</v>
      </c>
      <c r="K240" s="299" t="s">
        <v>1613</v>
      </c>
      <c r="L240" s="299" t="s">
        <v>1613</v>
      </c>
      <c r="M240" s="299" t="s">
        <v>1613</v>
      </c>
      <c r="N240" s="299" t="s">
        <v>1613</v>
      </c>
      <c r="O240" s="299" t="s">
        <v>1613</v>
      </c>
      <c r="P240" s="299" t="s">
        <v>1613</v>
      </c>
      <c r="Q240" s="299" t="s">
        <v>1613</v>
      </c>
      <c r="R240" s="299" t="s">
        <v>1613</v>
      </c>
      <c r="S240" s="302">
        <v>38</v>
      </c>
      <c r="T240" s="303">
        <v>13520</v>
      </c>
      <c r="U240" s="303">
        <v>28275</v>
      </c>
      <c r="V240" s="321" t="s">
        <v>1648</v>
      </c>
      <c r="W240" s="321" t="s">
        <v>1649</v>
      </c>
      <c r="X240" s="321" t="s">
        <v>1649</v>
      </c>
      <c r="Y240" s="321" t="s">
        <v>1649</v>
      </c>
      <c r="Z240" s="321" t="s">
        <v>1649</v>
      </c>
      <c r="AA240" s="321" t="s">
        <v>1648</v>
      </c>
      <c r="AB240" s="321" t="s">
        <v>1648</v>
      </c>
      <c r="AC240" s="321" t="s">
        <v>1648</v>
      </c>
      <c r="AD240" s="321" t="s">
        <v>1649</v>
      </c>
      <c r="AE240" s="321" t="s">
        <v>1649</v>
      </c>
      <c r="AF240" s="321" t="s">
        <v>1648</v>
      </c>
      <c r="AG240" s="321" t="s">
        <v>1649</v>
      </c>
      <c r="AH240" s="300" t="s">
        <v>1613</v>
      </c>
      <c r="AI240" s="321" t="s">
        <v>1649</v>
      </c>
      <c r="AJ240" s="321" t="s">
        <v>1649</v>
      </c>
      <c r="AK240" s="321" t="s">
        <v>1649</v>
      </c>
      <c r="AL240" s="321" t="s">
        <v>1649</v>
      </c>
      <c r="AM240" s="321" t="s">
        <v>1649</v>
      </c>
      <c r="AN240" s="321" t="s">
        <v>1649</v>
      </c>
      <c r="AO240" s="321" t="s">
        <v>1649</v>
      </c>
      <c r="AP240" s="321" t="s">
        <v>1649</v>
      </c>
      <c r="AQ240" s="321" t="s">
        <v>1649</v>
      </c>
      <c r="AR240" s="321" t="s">
        <v>1649</v>
      </c>
      <c r="AS240" s="321" t="s">
        <v>1649</v>
      </c>
      <c r="AT240" s="321" t="s">
        <v>1649</v>
      </c>
      <c r="AU240" s="301" t="s">
        <v>1613</v>
      </c>
    </row>
    <row r="241" spans="1:47" ht="13.5" thickBot="1" x14ac:dyDescent="0.25">
      <c r="A241" s="48" t="s">
        <v>192</v>
      </c>
      <c r="B241" s="291" t="s">
        <v>191</v>
      </c>
      <c r="C241" s="298" t="s">
        <v>22</v>
      </c>
      <c r="D241" s="304"/>
      <c r="E241" s="305"/>
      <c r="F241" s="305"/>
      <c r="G241" s="302">
        <v>38</v>
      </c>
      <c r="H241" s="303">
        <v>39000</v>
      </c>
      <c r="I241" s="303">
        <v>46000</v>
      </c>
      <c r="J241" s="304"/>
      <c r="K241" s="305"/>
      <c r="L241" s="305"/>
      <c r="M241" s="302">
        <v>20</v>
      </c>
      <c r="N241" s="303">
        <v>17000</v>
      </c>
      <c r="O241" s="303">
        <v>20000</v>
      </c>
      <c r="P241" s="304"/>
      <c r="Q241" s="305"/>
      <c r="R241" s="305"/>
      <c r="S241" s="302">
        <v>20</v>
      </c>
      <c r="T241" s="303">
        <v>11000</v>
      </c>
      <c r="U241" s="303">
        <v>20000</v>
      </c>
      <c r="V241" s="321" t="s">
        <v>1648</v>
      </c>
      <c r="W241" s="321" t="s">
        <v>1648</v>
      </c>
      <c r="X241" s="321" t="s">
        <v>1649</v>
      </c>
      <c r="Y241" s="321" t="s">
        <v>1648</v>
      </c>
      <c r="Z241" s="321" t="s">
        <v>1648</v>
      </c>
      <c r="AA241" s="321" t="s">
        <v>1648</v>
      </c>
      <c r="AB241" s="321" t="s">
        <v>1648</v>
      </c>
      <c r="AC241" s="321" t="s">
        <v>1648</v>
      </c>
      <c r="AD241" s="321" t="s">
        <v>1648</v>
      </c>
      <c r="AE241" s="321" t="s">
        <v>1648</v>
      </c>
      <c r="AF241" s="321" t="s">
        <v>1648</v>
      </c>
      <c r="AG241" s="321" t="s">
        <v>1649</v>
      </c>
      <c r="AH241" s="165" t="s">
        <v>3549</v>
      </c>
      <c r="AI241" s="321" t="s">
        <v>1649</v>
      </c>
      <c r="AJ241" s="321" t="s">
        <v>1649</v>
      </c>
      <c r="AK241" s="321" t="s">
        <v>1649</v>
      </c>
      <c r="AL241" s="321" t="s">
        <v>1649</v>
      </c>
      <c r="AM241" s="321" t="s">
        <v>1649</v>
      </c>
      <c r="AN241" s="321" t="s">
        <v>1648</v>
      </c>
      <c r="AO241" s="321" t="s">
        <v>1648</v>
      </c>
      <c r="AP241" s="321" t="s">
        <v>1648</v>
      </c>
      <c r="AQ241" s="321" t="s">
        <v>1649</v>
      </c>
      <c r="AR241" s="321" t="s">
        <v>1648</v>
      </c>
      <c r="AS241" s="321" t="s">
        <v>1648</v>
      </c>
      <c r="AT241" s="321" t="s">
        <v>1649</v>
      </c>
      <c r="AU241" s="307" t="s">
        <v>3549</v>
      </c>
    </row>
    <row r="242" spans="1:47" ht="13.5" thickBot="1" x14ac:dyDescent="0.25">
      <c r="A242" s="48" t="s">
        <v>198</v>
      </c>
      <c r="B242" s="291" t="s">
        <v>197</v>
      </c>
      <c r="C242" s="298" t="s">
        <v>22</v>
      </c>
      <c r="D242" s="304"/>
      <c r="E242" s="305"/>
      <c r="F242" s="305"/>
      <c r="G242" s="302">
        <v>40</v>
      </c>
      <c r="H242" s="303">
        <v>25000</v>
      </c>
      <c r="I242" s="303">
        <v>35000</v>
      </c>
      <c r="J242" s="304"/>
      <c r="K242" s="305"/>
      <c r="L242" s="305"/>
      <c r="M242" s="302">
        <v>20</v>
      </c>
      <c r="N242" s="303">
        <v>10500</v>
      </c>
      <c r="O242" s="303">
        <v>13500</v>
      </c>
      <c r="P242" s="302">
        <v>40</v>
      </c>
      <c r="Q242" s="303">
        <v>25000</v>
      </c>
      <c r="R242" s="303">
        <v>35000</v>
      </c>
      <c r="S242" s="302">
        <v>20</v>
      </c>
      <c r="T242" s="303">
        <v>10400</v>
      </c>
      <c r="U242" s="303">
        <v>12480</v>
      </c>
      <c r="V242" s="321" t="s">
        <v>1648</v>
      </c>
      <c r="W242" s="321" t="s">
        <v>1648</v>
      </c>
      <c r="X242" s="321" t="s">
        <v>1648</v>
      </c>
      <c r="Y242" s="321" t="s">
        <v>1648</v>
      </c>
      <c r="Z242" s="321" t="s">
        <v>1648</v>
      </c>
      <c r="AA242" s="321" t="s">
        <v>1648</v>
      </c>
      <c r="AB242" s="321" t="s">
        <v>1648</v>
      </c>
      <c r="AC242" s="321" t="s">
        <v>1648</v>
      </c>
      <c r="AD242" s="321" t="s">
        <v>1648</v>
      </c>
      <c r="AE242" s="321" t="s">
        <v>1649</v>
      </c>
      <c r="AF242" s="321" t="s">
        <v>1648</v>
      </c>
      <c r="AG242" s="321" t="s">
        <v>1648</v>
      </c>
      <c r="AH242" s="300" t="s">
        <v>1613</v>
      </c>
      <c r="AI242" s="321" t="s">
        <v>1649</v>
      </c>
      <c r="AJ242" s="321" t="s">
        <v>1649</v>
      </c>
      <c r="AK242" s="321" t="s">
        <v>1649</v>
      </c>
      <c r="AL242" s="321" t="s">
        <v>1649</v>
      </c>
      <c r="AM242" s="321" t="s">
        <v>1649</v>
      </c>
      <c r="AN242" s="321" t="s">
        <v>1648</v>
      </c>
      <c r="AO242" s="321" t="s">
        <v>1648</v>
      </c>
      <c r="AP242" s="321" t="s">
        <v>1649</v>
      </c>
      <c r="AQ242" s="321" t="s">
        <v>1649</v>
      </c>
      <c r="AR242" s="321" t="s">
        <v>1649</v>
      </c>
      <c r="AS242" s="321" t="s">
        <v>1648</v>
      </c>
      <c r="AT242" s="321" t="s">
        <v>1649</v>
      </c>
      <c r="AU242" s="301" t="s">
        <v>1613</v>
      </c>
    </row>
    <row r="243" spans="1:47" ht="13.5" thickBot="1" x14ac:dyDescent="0.25">
      <c r="A243" s="48" t="s">
        <v>224</v>
      </c>
      <c r="B243" s="291" t="s">
        <v>223</v>
      </c>
      <c r="C243" s="298" t="s">
        <v>22</v>
      </c>
      <c r="D243" s="302">
        <v>40</v>
      </c>
      <c r="E243" s="303">
        <v>47278</v>
      </c>
      <c r="F243" s="303">
        <v>55000</v>
      </c>
      <c r="G243" s="299" t="s">
        <v>1613</v>
      </c>
      <c r="H243" s="299" t="s">
        <v>1613</v>
      </c>
      <c r="I243" s="299" t="s">
        <v>1613</v>
      </c>
      <c r="J243" s="299" t="s">
        <v>1613</v>
      </c>
      <c r="K243" s="299" t="s">
        <v>1613</v>
      </c>
      <c r="L243" s="299" t="s">
        <v>1613</v>
      </c>
      <c r="M243" s="299" t="s">
        <v>1613</v>
      </c>
      <c r="N243" s="299" t="s">
        <v>1613</v>
      </c>
      <c r="O243" s="299" t="s">
        <v>1613</v>
      </c>
      <c r="P243" s="299" t="s">
        <v>1613</v>
      </c>
      <c r="Q243" s="299" t="s">
        <v>1613</v>
      </c>
      <c r="R243" s="299" t="s">
        <v>1613</v>
      </c>
      <c r="S243" s="299" t="s">
        <v>1613</v>
      </c>
      <c r="T243" s="299" t="s">
        <v>1613</v>
      </c>
      <c r="U243" s="299" t="s">
        <v>1613</v>
      </c>
      <c r="V243" s="321" t="s">
        <v>1648</v>
      </c>
      <c r="W243" s="321" t="s">
        <v>1648</v>
      </c>
      <c r="X243" s="321" t="s">
        <v>1648</v>
      </c>
      <c r="Y243" s="321" t="s">
        <v>1648</v>
      </c>
      <c r="Z243" s="321" t="s">
        <v>1648</v>
      </c>
      <c r="AA243" s="321" t="s">
        <v>1648</v>
      </c>
      <c r="AB243" s="321" t="s">
        <v>1648</v>
      </c>
      <c r="AC243" s="321" t="s">
        <v>1648</v>
      </c>
      <c r="AD243" s="321" t="s">
        <v>1649</v>
      </c>
      <c r="AE243" s="321" t="s">
        <v>1649</v>
      </c>
      <c r="AF243" s="321" t="s">
        <v>1649</v>
      </c>
      <c r="AG243" s="321" t="s">
        <v>1649</v>
      </c>
      <c r="AH243" s="300" t="s">
        <v>1613</v>
      </c>
      <c r="AI243" s="321" t="s">
        <v>1649</v>
      </c>
      <c r="AJ243" s="321" t="s">
        <v>1649</v>
      </c>
      <c r="AK243" s="321" t="s">
        <v>1649</v>
      </c>
      <c r="AL243" s="321" t="s">
        <v>1649</v>
      </c>
      <c r="AM243" s="321" t="s">
        <v>1649</v>
      </c>
      <c r="AN243" s="321" t="s">
        <v>1649</v>
      </c>
      <c r="AO243" s="321" t="s">
        <v>1649</v>
      </c>
      <c r="AP243" s="321" t="s">
        <v>1649</v>
      </c>
      <c r="AQ243" s="321" t="s">
        <v>1649</v>
      </c>
      <c r="AR243" s="321" t="s">
        <v>1649</v>
      </c>
      <c r="AS243" s="321" t="s">
        <v>1649</v>
      </c>
      <c r="AT243" s="321" t="s">
        <v>1649</v>
      </c>
      <c r="AU243" s="301" t="s">
        <v>1613</v>
      </c>
    </row>
    <row r="244" spans="1:47" ht="13.5" thickBot="1" x14ac:dyDescent="0.25">
      <c r="A244" s="48" t="s">
        <v>226</v>
      </c>
      <c r="B244" s="291" t="s">
        <v>225</v>
      </c>
      <c r="C244" s="298" t="s">
        <v>22</v>
      </c>
      <c r="D244" s="299" t="s">
        <v>1613</v>
      </c>
      <c r="E244" s="299" t="s">
        <v>1613</v>
      </c>
      <c r="F244" s="299" t="s">
        <v>1613</v>
      </c>
      <c r="G244" s="302">
        <v>40</v>
      </c>
      <c r="H244" s="303">
        <v>50000</v>
      </c>
      <c r="I244" s="303">
        <v>65000</v>
      </c>
      <c r="J244" s="302">
        <v>40</v>
      </c>
      <c r="K244" s="303">
        <v>43888</v>
      </c>
      <c r="L244" s="303">
        <v>55000</v>
      </c>
      <c r="M244" s="302">
        <v>20</v>
      </c>
      <c r="N244" s="303">
        <v>18980</v>
      </c>
      <c r="O244" s="303">
        <v>30000</v>
      </c>
      <c r="P244" s="302">
        <v>40</v>
      </c>
      <c r="Q244" s="303">
        <v>50000</v>
      </c>
      <c r="R244" s="303">
        <v>65000</v>
      </c>
      <c r="S244" s="302">
        <v>15</v>
      </c>
      <c r="T244" s="303">
        <v>9375</v>
      </c>
      <c r="U244" s="303">
        <v>12500</v>
      </c>
      <c r="V244" s="321" t="s">
        <v>1648</v>
      </c>
      <c r="W244" s="321" t="s">
        <v>1649</v>
      </c>
      <c r="X244" s="321" t="s">
        <v>1648</v>
      </c>
      <c r="Y244" s="321" t="s">
        <v>1649</v>
      </c>
      <c r="Z244" s="321" t="s">
        <v>1649</v>
      </c>
      <c r="AA244" s="321" t="s">
        <v>1648</v>
      </c>
      <c r="AB244" s="321" t="s">
        <v>1648</v>
      </c>
      <c r="AC244" s="321" t="s">
        <v>1648</v>
      </c>
      <c r="AD244" s="321" t="s">
        <v>1648</v>
      </c>
      <c r="AE244" s="321" t="s">
        <v>1648</v>
      </c>
      <c r="AF244" s="321" t="s">
        <v>1649</v>
      </c>
      <c r="AG244" s="321" t="s">
        <v>1648</v>
      </c>
      <c r="AH244" s="165" t="s">
        <v>3554</v>
      </c>
      <c r="AI244" s="321" t="s">
        <v>1649</v>
      </c>
      <c r="AJ244" s="321" t="s">
        <v>1649</v>
      </c>
      <c r="AK244" s="321" t="s">
        <v>1649</v>
      </c>
      <c r="AL244" s="321" t="s">
        <v>1649</v>
      </c>
      <c r="AM244" s="321" t="s">
        <v>1649</v>
      </c>
      <c r="AN244" s="321" t="s">
        <v>1649</v>
      </c>
      <c r="AO244" s="321" t="s">
        <v>1649</v>
      </c>
      <c r="AP244" s="321" t="s">
        <v>1649</v>
      </c>
      <c r="AQ244" s="321" t="s">
        <v>1648</v>
      </c>
      <c r="AR244" s="321" t="s">
        <v>1649</v>
      </c>
      <c r="AS244" s="321" t="s">
        <v>1649</v>
      </c>
      <c r="AT244" s="321" t="s">
        <v>1648</v>
      </c>
      <c r="AU244" s="301" t="s">
        <v>1613</v>
      </c>
    </row>
    <row r="245" spans="1:47" ht="13.5" thickBot="1" x14ac:dyDescent="0.25">
      <c r="A245" s="48" t="s">
        <v>234</v>
      </c>
      <c r="B245" s="291" t="s">
        <v>233</v>
      </c>
      <c r="C245" s="298" t="s">
        <v>22</v>
      </c>
      <c r="D245" s="304"/>
      <c r="E245" s="305"/>
      <c r="F245" s="305"/>
      <c r="G245" s="302">
        <v>40</v>
      </c>
      <c r="H245" s="303">
        <v>30389</v>
      </c>
      <c r="I245" s="303">
        <v>40992</v>
      </c>
      <c r="J245" s="304"/>
      <c r="K245" s="305"/>
      <c r="L245" s="305"/>
      <c r="M245" s="304"/>
      <c r="N245" s="305"/>
      <c r="O245" s="305"/>
      <c r="P245" s="304"/>
      <c r="Q245" s="305"/>
      <c r="R245" s="305"/>
      <c r="S245" s="302">
        <v>16</v>
      </c>
      <c r="T245" s="303">
        <v>6848</v>
      </c>
      <c r="U245" s="303">
        <v>14795</v>
      </c>
      <c r="V245" s="321" t="s">
        <v>1648</v>
      </c>
      <c r="W245" s="321" t="s">
        <v>1648</v>
      </c>
      <c r="X245" s="321" t="s">
        <v>1648</v>
      </c>
      <c r="Y245" s="321" t="s">
        <v>1648</v>
      </c>
      <c r="Z245" s="321" t="s">
        <v>1648</v>
      </c>
      <c r="AA245" s="321" t="s">
        <v>1648</v>
      </c>
      <c r="AB245" s="321" t="s">
        <v>1648</v>
      </c>
      <c r="AC245" s="321" t="s">
        <v>1648</v>
      </c>
      <c r="AD245" s="321" t="s">
        <v>1648</v>
      </c>
      <c r="AE245" s="321" t="s">
        <v>1649</v>
      </c>
      <c r="AF245" s="321" t="s">
        <v>1648</v>
      </c>
      <c r="AG245" s="321" t="s">
        <v>1649</v>
      </c>
      <c r="AH245" s="300" t="s">
        <v>1613</v>
      </c>
      <c r="AI245" s="321" t="s">
        <v>1649</v>
      </c>
      <c r="AJ245" s="321" t="s">
        <v>1649</v>
      </c>
      <c r="AK245" s="321" t="s">
        <v>1649</v>
      </c>
      <c r="AL245" s="321" t="s">
        <v>1649</v>
      </c>
      <c r="AM245" s="321" t="s">
        <v>1649</v>
      </c>
      <c r="AN245" s="321" t="s">
        <v>1648</v>
      </c>
      <c r="AO245" s="321" t="s">
        <v>1649</v>
      </c>
      <c r="AP245" s="321" t="s">
        <v>1648</v>
      </c>
      <c r="AQ245" s="321" t="s">
        <v>1648</v>
      </c>
      <c r="AR245" s="321" t="s">
        <v>1649</v>
      </c>
      <c r="AS245" s="321" t="s">
        <v>1649</v>
      </c>
      <c r="AT245" s="321" t="s">
        <v>1649</v>
      </c>
      <c r="AU245" s="301" t="s">
        <v>1613</v>
      </c>
    </row>
    <row r="246" spans="1:47" ht="13.5" thickBot="1" x14ac:dyDescent="0.25">
      <c r="A246" s="48" t="s">
        <v>244</v>
      </c>
      <c r="B246" s="291" t="s">
        <v>243</v>
      </c>
      <c r="C246" s="298" t="s">
        <v>22</v>
      </c>
      <c r="D246" s="302">
        <v>35</v>
      </c>
      <c r="E246" s="303">
        <v>35000</v>
      </c>
      <c r="F246" s="303">
        <v>40000</v>
      </c>
      <c r="G246" s="304"/>
      <c r="H246" s="305"/>
      <c r="I246" s="305"/>
      <c r="J246" s="304"/>
      <c r="K246" s="305"/>
      <c r="L246" s="305"/>
      <c r="M246" s="302">
        <v>30</v>
      </c>
      <c r="N246" s="303">
        <v>20150</v>
      </c>
      <c r="O246" s="303">
        <v>23957</v>
      </c>
      <c r="P246" s="302">
        <v>27</v>
      </c>
      <c r="Q246" s="303">
        <v>20150</v>
      </c>
      <c r="R246" s="303">
        <v>23957</v>
      </c>
      <c r="S246" s="302">
        <v>22</v>
      </c>
      <c r="T246" s="303">
        <v>10621</v>
      </c>
      <c r="U246" s="303">
        <v>24140</v>
      </c>
      <c r="V246" s="321" t="s">
        <v>1648</v>
      </c>
      <c r="W246" s="321" t="s">
        <v>1648</v>
      </c>
      <c r="X246" s="321" t="s">
        <v>1649</v>
      </c>
      <c r="Y246" s="321" t="s">
        <v>1649</v>
      </c>
      <c r="Z246" s="321" t="s">
        <v>1648</v>
      </c>
      <c r="AA246" s="321" t="s">
        <v>1648</v>
      </c>
      <c r="AB246" s="321" t="s">
        <v>1648</v>
      </c>
      <c r="AC246" s="321" t="s">
        <v>1648</v>
      </c>
      <c r="AD246" s="321" t="s">
        <v>1648</v>
      </c>
      <c r="AE246" s="321" t="s">
        <v>1649</v>
      </c>
      <c r="AF246" s="321" t="s">
        <v>1648</v>
      </c>
      <c r="AG246" s="321" t="s">
        <v>1649</v>
      </c>
      <c r="AH246" s="300"/>
      <c r="AI246" s="321" t="s">
        <v>1648</v>
      </c>
      <c r="AJ246" s="321" t="s">
        <v>1648</v>
      </c>
      <c r="AK246" s="321" t="s">
        <v>1649</v>
      </c>
      <c r="AL246" s="321" t="s">
        <v>1649</v>
      </c>
      <c r="AM246" s="321" t="s">
        <v>1648</v>
      </c>
      <c r="AN246" s="321" t="s">
        <v>1648</v>
      </c>
      <c r="AO246" s="321" t="s">
        <v>1648</v>
      </c>
      <c r="AP246" s="321" t="s">
        <v>1648</v>
      </c>
      <c r="AQ246" s="321" t="s">
        <v>1648</v>
      </c>
      <c r="AR246" s="321" t="s">
        <v>1649</v>
      </c>
      <c r="AS246" s="321" t="s">
        <v>1648</v>
      </c>
      <c r="AT246" s="321" t="s">
        <v>1649</v>
      </c>
      <c r="AU246" s="301"/>
    </row>
    <row r="247" spans="1:47" ht="13.5" thickBot="1" x14ac:dyDescent="0.25">
      <c r="A247" s="48" t="s">
        <v>260</v>
      </c>
      <c r="B247" s="291" t="s">
        <v>259</v>
      </c>
      <c r="C247" s="298" t="s">
        <v>22</v>
      </c>
      <c r="D247" s="299" t="s">
        <v>1613</v>
      </c>
      <c r="E247" s="299" t="s">
        <v>1613</v>
      </c>
      <c r="F247" s="299" t="s">
        <v>1613</v>
      </c>
      <c r="G247" s="302">
        <v>40</v>
      </c>
      <c r="H247" s="303">
        <v>40000</v>
      </c>
      <c r="I247" s="303">
        <v>48890</v>
      </c>
      <c r="J247" s="302">
        <v>40</v>
      </c>
      <c r="K247" s="303">
        <v>30000</v>
      </c>
      <c r="L247" s="303">
        <v>43614</v>
      </c>
      <c r="M247" s="299" t="s">
        <v>1613</v>
      </c>
      <c r="N247" s="299" t="s">
        <v>1613</v>
      </c>
      <c r="O247" s="299" t="s">
        <v>1613</v>
      </c>
      <c r="P247" s="299" t="s">
        <v>1613</v>
      </c>
      <c r="Q247" s="299" t="s">
        <v>1613</v>
      </c>
      <c r="R247" s="299" t="s">
        <v>1613</v>
      </c>
      <c r="S247" s="302">
        <v>40</v>
      </c>
      <c r="T247" s="303">
        <v>30000</v>
      </c>
      <c r="U247" s="303">
        <v>38929</v>
      </c>
      <c r="V247" s="321" t="s">
        <v>1648</v>
      </c>
      <c r="W247" s="321" t="s">
        <v>1648</v>
      </c>
      <c r="X247" s="321" t="s">
        <v>1648</v>
      </c>
      <c r="Y247" s="321" t="s">
        <v>1648</v>
      </c>
      <c r="Z247" s="321" t="s">
        <v>1648</v>
      </c>
      <c r="AA247" s="321" t="s">
        <v>1648</v>
      </c>
      <c r="AB247" s="321" t="s">
        <v>1648</v>
      </c>
      <c r="AC247" s="321" t="s">
        <v>1648</v>
      </c>
      <c r="AD247" s="321" t="s">
        <v>1649</v>
      </c>
      <c r="AE247" s="321" t="s">
        <v>1649</v>
      </c>
      <c r="AF247" s="321" t="s">
        <v>1648</v>
      </c>
      <c r="AG247" s="321" t="s">
        <v>1648</v>
      </c>
      <c r="AH247" s="165" t="s">
        <v>3555</v>
      </c>
      <c r="AI247" s="321" t="s">
        <v>1649</v>
      </c>
      <c r="AJ247" s="321" t="s">
        <v>1649</v>
      </c>
      <c r="AK247" s="321" t="s">
        <v>1649</v>
      </c>
      <c r="AL247" s="321" t="s">
        <v>1648</v>
      </c>
      <c r="AM247" s="321" t="s">
        <v>1649</v>
      </c>
      <c r="AN247" s="321" t="s">
        <v>1649</v>
      </c>
      <c r="AO247" s="321" t="s">
        <v>1649</v>
      </c>
      <c r="AP247" s="321" t="s">
        <v>1648</v>
      </c>
      <c r="AQ247" s="321" t="s">
        <v>1649</v>
      </c>
      <c r="AR247" s="321" t="s">
        <v>1649</v>
      </c>
      <c r="AS247" s="321" t="s">
        <v>1649</v>
      </c>
      <c r="AT247" s="321" t="s">
        <v>1648</v>
      </c>
      <c r="AU247" s="307" t="s">
        <v>3555</v>
      </c>
    </row>
    <row r="248" spans="1:47" ht="13.5" thickBot="1" x14ac:dyDescent="0.25">
      <c r="A248" s="48" t="s">
        <v>268</v>
      </c>
      <c r="B248" s="291" t="s">
        <v>267</v>
      </c>
      <c r="C248" s="298" t="s">
        <v>22</v>
      </c>
      <c r="D248" s="299" t="s">
        <v>1613</v>
      </c>
      <c r="E248" s="299" t="s">
        <v>1613</v>
      </c>
      <c r="F248" s="299" t="s">
        <v>1613</v>
      </c>
      <c r="G248" s="299" t="s">
        <v>1613</v>
      </c>
      <c r="H248" s="299" t="s">
        <v>1613</v>
      </c>
      <c r="I248" s="299" t="s">
        <v>1613</v>
      </c>
      <c r="J248" s="299" t="s">
        <v>1613</v>
      </c>
      <c r="K248" s="299" t="s">
        <v>1613</v>
      </c>
      <c r="L248" s="299" t="s">
        <v>1613</v>
      </c>
      <c r="M248" s="299" t="s">
        <v>1613</v>
      </c>
      <c r="N248" s="299" t="s">
        <v>1613</v>
      </c>
      <c r="O248" s="299" t="s">
        <v>1613</v>
      </c>
      <c r="P248" s="299" t="s">
        <v>1613</v>
      </c>
      <c r="Q248" s="299" t="s">
        <v>1613</v>
      </c>
      <c r="R248" s="299" t="s">
        <v>1613</v>
      </c>
      <c r="S248" s="302">
        <v>28</v>
      </c>
      <c r="T248" s="303">
        <v>18928</v>
      </c>
      <c r="U248" s="303">
        <v>21767</v>
      </c>
      <c r="V248" s="321" t="s">
        <v>1649</v>
      </c>
      <c r="W248" s="321" t="s">
        <v>1649</v>
      </c>
      <c r="X248" s="321" t="s">
        <v>1649</v>
      </c>
      <c r="Y248" s="321" t="s">
        <v>1649</v>
      </c>
      <c r="Z248" s="321" t="s">
        <v>1649</v>
      </c>
      <c r="AA248" s="321" t="s">
        <v>1648</v>
      </c>
      <c r="AB248" s="321" t="s">
        <v>1648</v>
      </c>
      <c r="AC248" s="321" t="s">
        <v>1648</v>
      </c>
      <c r="AD248" s="321" t="s">
        <v>1649</v>
      </c>
      <c r="AE248" s="321" t="s">
        <v>1649</v>
      </c>
      <c r="AF248" s="321" t="s">
        <v>1648</v>
      </c>
      <c r="AG248" s="321" t="s">
        <v>1649</v>
      </c>
      <c r="AH248" s="300"/>
      <c r="AI248" s="321" t="s">
        <v>1649</v>
      </c>
      <c r="AJ248" s="321" t="s">
        <v>1649</v>
      </c>
      <c r="AK248" s="321" t="s">
        <v>1649</v>
      </c>
      <c r="AL248" s="321" t="s">
        <v>1649</v>
      </c>
      <c r="AM248" s="321" t="s">
        <v>1649</v>
      </c>
      <c r="AN248" s="321" t="s">
        <v>1648</v>
      </c>
      <c r="AO248" s="321" t="s">
        <v>1648</v>
      </c>
      <c r="AP248" s="321" t="s">
        <v>1648</v>
      </c>
      <c r="AQ248" s="321" t="s">
        <v>1649</v>
      </c>
      <c r="AR248" s="321" t="s">
        <v>1649</v>
      </c>
      <c r="AS248" s="321" t="s">
        <v>1648</v>
      </c>
      <c r="AT248" s="321" t="s">
        <v>1649</v>
      </c>
      <c r="AU248" s="301"/>
    </row>
    <row r="249" spans="1:47" ht="13.5" thickBot="1" x14ac:dyDescent="0.25">
      <c r="A249" s="48" t="s">
        <v>270</v>
      </c>
      <c r="B249" s="291" t="s">
        <v>269</v>
      </c>
      <c r="C249" s="298" t="s">
        <v>22</v>
      </c>
      <c r="D249" s="302">
        <v>40</v>
      </c>
      <c r="E249" s="303">
        <v>50000</v>
      </c>
      <c r="F249" s="303">
        <v>62000</v>
      </c>
      <c r="G249" s="302">
        <v>40</v>
      </c>
      <c r="H249" s="303">
        <v>38000</v>
      </c>
      <c r="I249" s="303">
        <v>52000</v>
      </c>
      <c r="J249" s="299" t="s">
        <v>1613</v>
      </c>
      <c r="K249" s="299" t="s">
        <v>1613</v>
      </c>
      <c r="L249" s="299" t="s">
        <v>1613</v>
      </c>
      <c r="M249" s="302">
        <v>40</v>
      </c>
      <c r="N249" s="303">
        <v>34000</v>
      </c>
      <c r="O249" s="303">
        <v>45000</v>
      </c>
      <c r="P249" s="299" t="s">
        <v>1613</v>
      </c>
      <c r="Q249" s="299" t="s">
        <v>1613</v>
      </c>
      <c r="R249" s="299" t="s">
        <v>1613</v>
      </c>
      <c r="S249" s="302">
        <v>25</v>
      </c>
      <c r="T249" s="303">
        <v>15600</v>
      </c>
      <c r="U249" s="303">
        <v>22750</v>
      </c>
      <c r="V249" s="321" t="s">
        <v>1648</v>
      </c>
      <c r="W249" s="321" t="s">
        <v>1648</v>
      </c>
      <c r="X249" s="321" t="s">
        <v>1648</v>
      </c>
      <c r="Y249" s="321" t="s">
        <v>1649</v>
      </c>
      <c r="Z249" s="321" t="s">
        <v>1648</v>
      </c>
      <c r="AA249" s="321" t="s">
        <v>1648</v>
      </c>
      <c r="AB249" s="321" t="s">
        <v>1648</v>
      </c>
      <c r="AC249" s="321" t="s">
        <v>1648</v>
      </c>
      <c r="AD249" s="321" t="s">
        <v>1649</v>
      </c>
      <c r="AE249" s="321" t="s">
        <v>1648</v>
      </c>
      <c r="AF249" s="321" t="s">
        <v>1648</v>
      </c>
      <c r="AG249" s="321" t="s">
        <v>1649</v>
      </c>
      <c r="AH249" s="165" t="s">
        <v>3556</v>
      </c>
      <c r="AI249" s="321" t="s">
        <v>1648</v>
      </c>
      <c r="AJ249" s="321" t="s">
        <v>1648</v>
      </c>
      <c r="AK249" s="321" t="s">
        <v>1649</v>
      </c>
      <c r="AL249" s="321" t="s">
        <v>1649</v>
      </c>
      <c r="AM249" s="321" t="s">
        <v>1648</v>
      </c>
      <c r="AN249" s="321" t="s">
        <v>1648</v>
      </c>
      <c r="AO249" s="321" t="s">
        <v>1648</v>
      </c>
      <c r="AP249" s="321" t="s">
        <v>1648</v>
      </c>
      <c r="AQ249" s="321" t="s">
        <v>1649</v>
      </c>
      <c r="AR249" s="321" t="s">
        <v>1649</v>
      </c>
      <c r="AS249" s="321" t="s">
        <v>1648</v>
      </c>
      <c r="AT249" s="321" t="s">
        <v>1649</v>
      </c>
      <c r="AU249" s="301" t="s">
        <v>1613</v>
      </c>
    </row>
    <row r="250" spans="1:47" ht="13.5" thickBot="1" x14ac:dyDescent="0.25">
      <c r="A250" s="48" t="s">
        <v>274</v>
      </c>
      <c r="B250" s="291" t="s">
        <v>273</v>
      </c>
      <c r="C250" s="298" t="s">
        <v>22</v>
      </c>
      <c r="D250" s="299" t="s">
        <v>1613</v>
      </c>
      <c r="E250" s="299" t="s">
        <v>1613</v>
      </c>
      <c r="F250" s="299" t="s">
        <v>1613</v>
      </c>
      <c r="G250" s="302">
        <v>40</v>
      </c>
      <c r="H250" s="303">
        <v>30000</v>
      </c>
      <c r="I250" s="303">
        <v>35000</v>
      </c>
      <c r="J250" s="302">
        <v>40</v>
      </c>
      <c r="K250" s="303">
        <v>40000</v>
      </c>
      <c r="L250" s="303">
        <v>45000</v>
      </c>
      <c r="M250" s="302">
        <v>40</v>
      </c>
      <c r="N250" s="303">
        <v>35000</v>
      </c>
      <c r="O250" s="303">
        <v>40000</v>
      </c>
      <c r="P250" s="299" t="s">
        <v>1613</v>
      </c>
      <c r="Q250" s="299" t="s">
        <v>1613</v>
      </c>
      <c r="R250" s="299" t="s">
        <v>1613</v>
      </c>
      <c r="S250" s="302">
        <v>20</v>
      </c>
      <c r="T250" s="303">
        <v>8500</v>
      </c>
      <c r="U250" s="303">
        <v>20000</v>
      </c>
      <c r="V250" s="321" t="s">
        <v>1648</v>
      </c>
      <c r="W250" s="321" t="s">
        <v>1648</v>
      </c>
      <c r="X250" s="321" t="s">
        <v>1648</v>
      </c>
      <c r="Y250" s="321" t="s">
        <v>1649</v>
      </c>
      <c r="Z250" s="321" t="s">
        <v>1648</v>
      </c>
      <c r="AA250" s="321" t="s">
        <v>1648</v>
      </c>
      <c r="AB250" s="321" t="s">
        <v>1648</v>
      </c>
      <c r="AC250" s="321" t="s">
        <v>1648</v>
      </c>
      <c r="AD250" s="321" t="s">
        <v>1649</v>
      </c>
      <c r="AE250" s="321" t="s">
        <v>1649</v>
      </c>
      <c r="AF250" s="321" t="s">
        <v>1649</v>
      </c>
      <c r="AG250" s="321" t="s">
        <v>1648</v>
      </c>
      <c r="AH250" s="165" t="s">
        <v>3557</v>
      </c>
      <c r="AI250" s="321" t="s">
        <v>1649</v>
      </c>
      <c r="AJ250" s="321" t="s">
        <v>1649</v>
      </c>
      <c r="AK250" s="321" t="s">
        <v>1649</v>
      </c>
      <c r="AL250" s="321" t="s">
        <v>1649</v>
      </c>
      <c r="AM250" s="321" t="s">
        <v>1649</v>
      </c>
      <c r="AN250" s="321" t="s">
        <v>1648</v>
      </c>
      <c r="AO250" s="321" t="s">
        <v>1648</v>
      </c>
      <c r="AP250" s="321" t="s">
        <v>1648</v>
      </c>
      <c r="AQ250" s="321" t="s">
        <v>1649</v>
      </c>
      <c r="AR250" s="321" t="s">
        <v>1649</v>
      </c>
      <c r="AS250" s="321" t="s">
        <v>1649</v>
      </c>
      <c r="AT250" s="321" t="s">
        <v>1649</v>
      </c>
      <c r="AU250" s="301" t="s">
        <v>1613</v>
      </c>
    </row>
    <row r="251" spans="1:47" ht="13.5" thickBot="1" x14ac:dyDescent="0.25">
      <c r="A251" s="48" t="s">
        <v>276</v>
      </c>
      <c r="B251" s="291" t="s">
        <v>275</v>
      </c>
      <c r="C251" s="298" t="s">
        <v>22</v>
      </c>
      <c r="D251" s="304"/>
      <c r="E251" s="305"/>
      <c r="F251" s="305"/>
      <c r="G251" s="304"/>
      <c r="H251" s="305"/>
      <c r="I251" s="305"/>
      <c r="J251" s="302">
        <v>40</v>
      </c>
      <c r="K251" s="303">
        <v>47180</v>
      </c>
      <c r="L251" s="303">
        <v>47180</v>
      </c>
      <c r="M251" s="302">
        <v>4</v>
      </c>
      <c r="N251" s="303">
        <v>3733</v>
      </c>
      <c r="O251" s="303">
        <v>3733</v>
      </c>
      <c r="P251" s="302">
        <v>6</v>
      </c>
      <c r="Q251" s="303">
        <v>12810</v>
      </c>
      <c r="R251" s="303">
        <v>12810</v>
      </c>
      <c r="S251" s="302">
        <v>16</v>
      </c>
      <c r="T251" s="303">
        <v>8694</v>
      </c>
      <c r="U251" s="303">
        <v>13752</v>
      </c>
      <c r="V251" s="321" t="s">
        <v>1649</v>
      </c>
      <c r="W251" s="321" t="s">
        <v>1649</v>
      </c>
      <c r="X251" s="321" t="s">
        <v>1648</v>
      </c>
      <c r="Y251" s="321" t="s">
        <v>1649</v>
      </c>
      <c r="Z251" s="321" t="s">
        <v>1649</v>
      </c>
      <c r="AA251" s="321" t="s">
        <v>1648</v>
      </c>
      <c r="AB251" s="321" t="s">
        <v>1648</v>
      </c>
      <c r="AC251" s="321" t="s">
        <v>1648</v>
      </c>
      <c r="AD251" s="321" t="s">
        <v>1649</v>
      </c>
      <c r="AE251" s="321" t="s">
        <v>1649</v>
      </c>
      <c r="AF251" s="321" t="s">
        <v>1648</v>
      </c>
      <c r="AG251" s="321" t="s">
        <v>1648</v>
      </c>
      <c r="AH251" s="300"/>
      <c r="AI251" s="321" t="s">
        <v>1649</v>
      </c>
      <c r="AJ251" s="321" t="s">
        <v>1649</v>
      </c>
      <c r="AK251" s="321" t="s">
        <v>1649</v>
      </c>
      <c r="AL251" s="321" t="s">
        <v>1649</v>
      </c>
      <c r="AM251" s="321" t="s">
        <v>1649</v>
      </c>
      <c r="AN251" s="321" t="s">
        <v>1649</v>
      </c>
      <c r="AO251" s="321" t="s">
        <v>1649</v>
      </c>
      <c r="AP251" s="321" t="s">
        <v>1649</v>
      </c>
      <c r="AQ251" s="321" t="s">
        <v>1649</v>
      </c>
      <c r="AR251" s="321" t="s">
        <v>1649</v>
      </c>
      <c r="AS251" s="321" t="s">
        <v>1649</v>
      </c>
      <c r="AT251" s="321" t="s">
        <v>1649</v>
      </c>
      <c r="AU251" s="301"/>
    </row>
    <row r="252" spans="1:47" ht="13.5" thickBot="1" x14ac:dyDescent="0.25">
      <c r="A252" s="48" t="s">
        <v>282</v>
      </c>
      <c r="B252" s="291" t="s">
        <v>281</v>
      </c>
      <c r="C252" s="298" t="s">
        <v>22</v>
      </c>
      <c r="D252" s="302">
        <v>35</v>
      </c>
      <c r="E252" s="303">
        <v>60000</v>
      </c>
      <c r="F252" s="303">
        <v>70000</v>
      </c>
      <c r="G252" s="302">
        <v>35</v>
      </c>
      <c r="H252" s="303">
        <v>27300</v>
      </c>
      <c r="I252" s="303">
        <v>50000</v>
      </c>
      <c r="J252" s="302">
        <v>20</v>
      </c>
      <c r="K252" s="303">
        <v>14560</v>
      </c>
      <c r="L252" s="303">
        <v>23660</v>
      </c>
      <c r="M252" s="302">
        <v>18</v>
      </c>
      <c r="N252" s="303">
        <v>13104</v>
      </c>
      <c r="O252" s="303">
        <v>18252</v>
      </c>
      <c r="P252" s="304"/>
      <c r="Q252" s="305"/>
      <c r="R252" s="305"/>
      <c r="S252" s="302">
        <v>4</v>
      </c>
      <c r="T252" s="303">
        <v>2132</v>
      </c>
      <c r="U252" s="303">
        <v>2912</v>
      </c>
      <c r="V252" s="321" t="s">
        <v>1648</v>
      </c>
      <c r="W252" s="321" t="s">
        <v>1648</v>
      </c>
      <c r="X252" s="321" t="s">
        <v>1649</v>
      </c>
      <c r="Y252" s="321" t="s">
        <v>1648</v>
      </c>
      <c r="Z252" s="321" t="s">
        <v>1648</v>
      </c>
      <c r="AA252" s="321" t="s">
        <v>1648</v>
      </c>
      <c r="AB252" s="321" t="s">
        <v>1648</v>
      </c>
      <c r="AC252" s="321" t="s">
        <v>1648</v>
      </c>
      <c r="AD252" s="321" t="s">
        <v>1649</v>
      </c>
      <c r="AE252" s="321" t="s">
        <v>1649</v>
      </c>
      <c r="AF252" s="321" t="s">
        <v>1648</v>
      </c>
      <c r="AG252" s="321" t="s">
        <v>1649</v>
      </c>
      <c r="AH252" s="300" t="s">
        <v>1613</v>
      </c>
      <c r="AI252" s="321" t="s">
        <v>1649</v>
      </c>
      <c r="AJ252" s="321" t="s">
        <v>1649</v>
      </c>
      <c r="AK252" s="321" t="s">
        <v>1649</v>
      </c>
      <c r="AL252" s="321" t="s">
        <v>1649</v>
      </c>
      <c r="AM252" s="321" t="s">
        <v>1649</v>
      </c>
      <c r="AN252" s="321" t="s">
        <v>1648</v>
      </c>
      <c r="AO252" s="321" t="s">
        <v>1649</v>
      </c>
      <c r="AP252" s="321" t="s">
        <v>1649</v>
      </c>
      <c r="AQ252" s="321" t="s">
        <v>1649</v>
      </c>
      <c r="AR252" s="321" t="s">
        <v>1649</v>
      </c>
      <c r="AS252" s="321" t="s">
        <v>1648</v>
      </c>
      <c r="AT252" s="321" t="s">
        <v>1649</v>
      </c>
      <c r="AU252" s="301" t="s">
        <v>1613</v>
      </c>
    </row>
    <row r="253" spans="1:47" ht="13.5" thickBot="1" x14ac:dyDescent="0.25">
      <c r="A253" s="48" t="s">
        <v>288</v>
      </c>
      <c r="B253" s="291" t="s">
        <v>287</v>
      </c>
      <c r="C253" s="298" t="s">
        <v>22</v>
      </c>
      <c r="D253" s="304"/>
      <c r="E253" s="305"/>
      <c r="F253" s="305"/>
      <c r="G253" s="302">
        <v>38</v>
      </c>
      <c r="H253" s="303">
        <v>37000</v>
      </c>
      <c r="I253" s="303">
        <v>42000</v>
      </c>
      <c r="J253" s="302">
        <v>22</v>
      </c>
      <c r="K253" s="303">
        <v>19176</v>
      </c>
      <c r="L253" s="303">
        <v>24108</v>
      </c>
      <c r="M253" s="302">
        <v>9</v>
      </c>
      <c r="N253" s="303">
        <v>3248</v>
      </c>
      <c r="O253" s="303">
        <v>7245</v>
      </c>
      <c r="P253" s="304"/>
      <c r="Q253" s="305"/>
      <c r="R253" s="305"/>
      <c r="S253" s="302">
        <v>20</v>
      </c>
      <c r="T253" s="303">
        <v>4890</v>
      </c>
      <c r="U253" s="303">
        <v>19010</v>
      </c>
      <c r="V253" s="321" t="s">
        <v>1648</v>
      </c>
      <c r="W253" s="321" t="s">
        <v>1648</v>
      </c>
      <c r="X253" s="321" t="s">
        <v>1648</v>
      </c>
      <c r="Y253" s="321" t="s">
        <v>1649</v>
      </c>
      <c r="Z253" s="321" t="s">
        <v>1648</v>
      </c>
      <c r="AA253" s="321" t="s">
        <v>1648</v>
      </c>
      <c r="AB253" s="321" t="s">
        <v>1648</v>
      </c>
      <c r="AC253" s="321" t="s">
        <v>1648</v>
      </c>
      <c r="AD253" s="321" t="s">
        <v>1648</v>
      </c>
      <c r="AE253" s="321" t="s">
        <v>1648</v>
      </c>
      <c r="AF253" s="321" t="s">
        <v>1649</v>
      </c>
      <c r="AG253" s="321" t="s">
        <v>1649</v>
      </c>
      <c r="AH253" s="165" t="s">
        <v>3559</v>
      </c>
      <c r="AI253" s="321" t="s">
        <v>1649</v>
      </c>
      <c r="AJ253" s="321" t="s">
        <v>1649</v>
      </c>
      <c r="AK253" s="321" t="s">
        <v>1648</v>
      </c>
      <c r="AL253" s="321" t="s">
        <v>1649</v>
      </c>
      <c r="AM253" s="321" t="s">
        <v>1649</v>
      </c>
      <c r="AN253" s="321" t="s">
        <v>1648</v>
      </c>
      <c r="AO253" s="321" t="s">
        <v>1648</v>
      </c>
      <c r="AP253" s="321" t="s">
        <v>1648</v>
      </c>
      <c r="AQ253" s="321" t="s">
        <v>1649</v>
      </c>
      <c r="AR253" s="321" t="s">
        <v>1648</v>
      </c>
      <c r="AS253" s="321" t="s">
        <v>1649</v>
      </c>
      <c r="AT253" s="321" t="s">
        <v>1649</v>
      </c>
      <c r="AU253" s="307" t="s">
        <v>3559</v>
      </c>
    </row>
    <row r="254" spans="1:47" ht="13.5" thickBot="1" x14ac:dyDescent="0.25">
      <c r="A254" s="48" t="s">
        <v>292</v>
      </c>
      <c r="B254" s="291" t="s">
        <v>291</v>
      </c>
      <c r="C254" s="298" t="s">
        <v>22</v>
      </c>
      <c r="D254" s="299" t="s">
        <v>1613</v>
      </c>
      <c r="E254" s="299" t="s">
        <v>1613</v>
      </c>
      <c r="F254" s="299" t="s">
        <v>1613</v>
      </c>
      <c r="G254" s="302">
        <v>36</v>
      </c>
      <c r="H254" s="303">
        <v>30684</v>
      </c>
      <c r="I254" s="303">
        <v>50179</v>
      </c>
      <c r="J254" s="302">
        <v>36</v>
      </c>
      <c r="K254" s="303">
        <v>46012</v>
      </c>
      <c r="L254" s="303">
        <v>50179</v>
      </c>
      <c r="M254" s="304"/>
      <c r="N254" s="305"/>
      <c r="O254" s="305"/>
      <c r="P254" s="304"/>
      <c r="Q254" s="305"/>
      <c r="R254" s="305"/>
      <c r="S254" s="302">
        <v>20</v>
      </c>
      <c r="T254" s="303">
        <v>15000</v>
      </c>
      <c r="U254" s="303">
        <v>27000</v>
      </c>
      <c r="V254" s="321" t="s">
        <v>1648</v>
      </c>
      <c r="W254" s="321" t="s">
        <v>1648</v>
      </c>
      <c r="X254" s="321" t="s">
        <v>1648</v>
      </c>
      <c r="Y254" s="321" t="s">
        <v>1648</v>
      </c>
      <c r="Z254" s="321" t="s">
        <v>1649</v>
      </c>
      <c r="AA254" s="321" t="s">
        <v>1648</v>
      </c>
      <c r="AB254" s="321" t="s">
        <v>1648</v>
      </c>
      <c r="AC254" s="321" t="s">
        <v>1648</v>
      </c>
      <c r="AD254" s="321" t="s">
        <v>1648</v>
      </c>
      <c r="AE254" s="321" t="s">
        <v>1649</v>
      </c>
      <c r="AF254" s="321" t="s">
        <v>1648</v>
      </c>
      <c r="AG254" s="321" t="s">
        <v>1649</v>
      </c>
      <c r="AH254" s="165" t="s">
        <v>3560</v>
      </c>
      <c r="AI254" s="321" t="s">
        <v>1649</v>
      </c>
      <c r="AJ254" s="321" t="s">
        <v>1649</v>
      </c>
      <c r="AK254" s="321" t="s">
        <v>1649</v>
      </c>
      <c r="AL254" s="321" t="s">
        <v>1649</v>
      </c>
      <c r="AM254" s="321" t="s">
        <v>1649</v>
      </c>
      <c r="AN254" s="321" t="s">
        <v>1648</v>
      </c>
      <c r="AO254" s="321" t="s">
        <v>1648</v>
      </c>
      <c r="AP254" s="321" t="s">
        <v>1648</v>
      </c>
      <c r="AQ254" s="321" t="s">
        <v>1649</v>
      </c>
      <c r="AR254" s="321" t="s">
        <v>1649</v>
      </c>
      <c r="AS254" s="321" t="s">
        <v>1648</v>
      </c>
      <c r="AT254" s="321" t="s">
        <v>1649</v>
      </c>
      <c r="AU254" s="307" t="s">
        <v>3560</v>
      </c>
    </row>
    <row r="255" spans="1:47" ht="13.5" thickBot="1" x14ac:dyDescent="0.25">
      <c r="A255" s="48" t="s">
        <v>294</v>
      </c>
      <c r="B255" s="291" t="s">
        <v>293</v>
      </c>
      <c r="C255" s="298" t="s">
        <v>22</v>
      </c>
      <c r="D255" s="304"/>
      <c r="E255" s="305"/>
      <c r="F255" s="305"/>
      <c r="G255" s="302">
        <v>25</v>
      </c>
      <c r="H255" s="303">
        <v>16640</v>
      </c>
      <c r="I255" s="303">
        <v>24960</v>
      </c>
      <c r="J255" s="304"/>
      <c r="K255" s="305"/>
      <c r="L255" s="305"/>
      <c r="M255" s="304"/>
      <c r="N255" s="305"/>
      <c r="O255" s="305"/>
      <c r="P255" s="304"/>
      <c r="Q255" s="305"/>
      <c r="R255" s="305"/>
      <c r="S255" s="302">
        <v>35</v>
      </c>
      <c r="T255" s="303">
        <v>15184</v>
      </c>
      <c r="U255" s="303">
        <v>32760</v>
      </c>
      <c r="V255" s="321" t="s">
        <v>1649</v>
      </c>
      <c r="W255" s="321" t="s">
        <v>1649</v>
      </c>
      <c r="X255" s="321" t="s">
        <v>1649</v>
      </c>
      <c r="Y255" s="321" t="s">
        <v>1649</v>
      </c>
      <c r="Z255" s="321" t="s">
        <v>1649</v>
      </c>
      <c r="AA255" s="321" t="s">
        <v>1649</v>
      </c>
      <c r="AB255" s="321" t="s">
        <v>1649</v>
      </c>
      <c r="AC255" s="321" t="s">
        <v>1649</v>
      </c>
      <c r="AD255" s="321" t="s">
        <v>1649</v>
      </c>
      <c r="AE255" s="321" t="s">
        <v>1649</v>
      </c>
      <c r="AF255" s="321" t="s">
        <v>1649</v>
      </c>
      <c r="AG255" s="321" t="s">
        <v>1649</v>
      </c>
      <c r="AH255" s="300" t="s">
        <v>1613</v>
      </c>
      <c r="AI255" s="321" t="s">
        <v>1649</v>
      </c>
      <c r="AJ255" s="321" t="s">
        <v>1649</v>
      </c>
      <c r="AK255" s="321" t="s">
        <v>1649</v>
      </c>
      <c r="AL255" s="321" t="s">
        <v>1649</v>
      </c>
      <c r="AM255" s="321" t="s">
        <v>1649</v>
      </c>
      <c r="AN255" s="321" t="s">
        <v>1649</v>
      </c>
      <c r="AO255" s="321" t="s">
        <v>1649</v>
      </c>
      <c r="AP255" s="321" t="s">
        <v>1649</v>
      </c>
      <c r="AQ255" s="321" t="s">
        <v>1649</v>
      </c>
      <c r="AR255" s="321" t="s">
        <v>1649</v>
      </c>
      <c r="AS255" s="321" t="s">
        <v>1649</v>
      </c>
      <c r="AT255" s="321" t="s">
        <v>1649</v>
      </c>
      <c r="AU255" s="301" t="s">
        <v>1613</v>
      </c>
    </row>
    <row r="256" spans="1:47" ht="13.5" thickBot="1" x14ac:dyDescent="0.25">
      <c r="A256" s="48" t="s">
        <v>312</v>
      </c>
      <c r="B256" s="291" t="s">
        <v>311</v>
      </c>
      <c r="C256" s="298" t="s">
        <v>22</v>
      </c>
      <c r="D256" s="302">
        <v>40</v>
      </c>
      <c r="E256" s="303">
        <v>42354</v>
      </c>
      <c r="F256" s="303">
        <v>42354</v>
      </c>
      <c r="G256" s="299" t="s">
        <v>1613</v>
      </c>
      <c r="H256" s="299" t="s">
        <v>1613</v>
      </c>
      <c r="I256" s="299" t="s">
        <v>1613</v>
      </c>
      <c r="J256" s="299" t="s">
        <v>1613</v>
      </c>
      <c r="K256" s="299" t="s">
        <v>1613</v>
      </c>
      <c r="L256" s="299" t="s">
        <v>1613</v>
      </c>
      <c r="M256" s="299" t="s">
        <v>1613</v>
      </c>
      <c r="N256" s="299" t="s">
        <v>1613</v>
      </c>
      <c r="O256" s="299" t="s">
        <v>1613</v>
      </c>
      <c r="P256" s="299" t="s">
        <v>1613</v>
      </c>
      <c r="Q256" s="299" t="s">
        <v>1613</v>
      </c>
      <c r="R256" s="299" t="s">
        <v>1613</v>
      </c>
      <c r="S256" s="302">
        <v>30</v>
      </c>
      <c r="T256" s="303">
        <v>15054</v>
      </c>
      <c r="U256" s="303">
        <v>25974</v>
      </c>
      <c r="V256" s="321" t="s">
        <v>1648</v>
      </c>
      <c r="W256" s="321" t="s">
        <v>1648</v>
      </c>
      <c r="X256" s="321" t="s">
        <v>1648</v>
      </c>
      <c r="Y256" s="321" t="s">
        <v>1649</v>
      </c>
      <c r="Z256" s="321" t="s">
        <v>1648</v>
      </c>
      <c r="AA256" s="321" t="s">
        <v>1648</v>
      </c>
      <c r="AB256" s="321" t="s">
        <v>1648</v>
      </c>
      <c r="AC256" s="321" t="s">
        <v>1648</v>
      </c>
      <c r="AD256" s="321" t="s">
        <v>1649</v>
      </c>
      <c r="AE256" s="321" t="s">
        <v>1649</v>
      </c>
      <c r="AF256" s="321" t="s">
        <v>1649</v>
      </c>
      <c r="AG256" s="321" t="s">
        <v>1649</v>
      </c>
      <c r="AH256" s="165" t="s">
        <v>3671</v>
      </c>
      <c r="AI256" s="321" t="s">
        <v>1649</v>
      </c>
      <c r="AJ256" s="321" t="s">
        <v>1649</v>
      </c>
      <c r="AK256" s="321" t="s">
        <v>1649</v>
      </c>
      <c r="AL256" s="321" t="s">
        <v>1649</v>
      </c>
      <c r="AM256" s="321" t="s">
        <v>1649</v>
      </c>
      <c r="AN256" s="321" t="s">
        <v>1648</v>
      </c>
      <c r="AO256" s="321" t="s">
        <v>1648</v>
      </c>
      <c r="AP256" s="321" t="s">
        <v>1648</v>
      </c>
      <c r="AQ256" s="321" t="s">
        <v>1649</v>
      </c>
      <c r="AR256" s="321" t="s">
        <v>1649</v>
      </c>
      <c r="AS256" s="321" t="s">
        <v>1649</v>
      </c>
      <c r="AT256" s="321" t="s">
        <v>1649</v>
      </c>
      <c r="AU256" s="307" t="s">
        <v>3561</v>
      </c>
    </row>
    <row r="257" spans="1:47" ht="13.5" thickBot="1" x14ac:dyDescent="0.25">
      <c r="A257" s="48" t="s">
        <v>320</v>
      </c>
      <c r="B257" s="291" t="s">
        <v>319</v>
      </c>
      <c r="C257" s="298" t="s">
        <v>22</v>
      </c>
      <c r="D257" s="299" t="s">
        <v>1613</v>
      </c>
      <c r="E257" s="299" t="s">
        <v>1613</v>
      </c>
      <c r="F257" s="299" t="s">
        <v>1613</v>
      </c>
      <c r="G257" s="299" t="s">
        <v>1613</v>
      </c>
      <c r="H257" s="299" t="s">
        <v>1613</v>
      </c>
      <c r="I257" s="299" t="s">
        <v>1613</v>
      </c>
      <c r="J257" s="299" t="s">
        <v>1613</v>
      </c>
      <c r="K257" s="299" t="s">
        <v>1613</v>
      </c>
      <c r="L257" s="299" t="s">
        <v>1613</v>
      </c>
      <c r="M257" s="299" t="s">
        <v>1613</v>
      </c>
      <c r="N257" s="299" t="s">
        <v>1613</v>
      </c>
      <c r="O257" s="299" t="s">
        <v>1613</v>
      </c>
      <c r="P257" s="302">
        <v>24</v>
      </c>
      <c r="Q257" s="303">
        <v>15000</v>
      </c>
      <c r="R257" s="303">
        <v>21000</v>
      </c>
      <c r="S257" s="302">
        <v>22</v>
      </c>
      <c r="T257" s="303">
        <v>8000</v>
      </c>
      <c r="U257" s="303">
        <v>32000</v>
      </c>
      <c r="V257" s="321" t="s">
        <v>1649</v>
      </c>
      <c r="W257" s="321" t="s">
        <v>1649</v>
      </c>
      <c r="X257" s="321" t="s">
        <v>1649</v>
      </c>
      <c r="Y257" s="321" t="s">
        <v>1649</v>
      </c>
      <c r="Z257" s="321" t="s">
        <v>1649</v>
      </c>
      <c r="AA257" s="321" t="s">
        <v>1649</v>
      </c>
      <c r="AB257" s="321" t="s">
        <v>1649</v>
      </c>
      <c r="AC257" s="321" t="s">
        <v>1649</v>
      </c>
      <c r="AD257" s="321" t="s">
        <v>1649</v>
      </c>
      <c r="AE257" s="321" t="s">
        <v>1649</v>
      </c>
      <c r="AF257" s="321" t="s">
        <v>1649</v>
      </c>
      <c r="AG257" s="321" t="s">
        <v>1649</v>
      </c>
      <c r="AH257" s="300" t="s">
        <v>1613</v>
      </c>
      <c r="AI257" s="321" t="s">
        <v>1649</v>
      </c>
      <c r="AJ257" s="321" t="s">
        <v>1649</v>
      </c>
      <c r="AK257" s="321" t="s">
        <v>1648</v>
      </c>
      <c r="AL257" s="321" t="s">
        <v>1649</v>
      </c>
      <c r="AM257" s="321" t="s">
        <v>1649</v>
      </c>
      <c r="AN257" s="321" t="s">
        <v>1649</v>
      </c>
      <c r="AO257" s="321" t="s">
        <v>1649</v>
      </c>
      <c r="AP257" s="321" t="s">
        <v>1648</v>
      </c>
      <c r="AQ257" s="321" t="s">
        <v>1648</v>
      </c>
      <c r="AR257" s="321" t="s">
        <v>1648</v>
      </c>
      <c r="AS257" s="321" t="s">
        <v>1648</v>
      </c>
      <c r="AT257" s="321" t="s">
        <v>1649</v>
      </c>
      <c r="AU257" s="307" t="s">
        <v>3562</v>
      </c>
    </row>
    <row r="258" spans="1:47" ht="13.5" thickBot="1" x14ac:dyDescent="0.25">
      <c r="A258" s="48" t="s">
        <v>330</v>
      </c>
      <c r="B258" s="291" t="s">
        <v>329</v>
      </c>
      <c r="C258" s="298" t="s">
        <v>22</v>
      </c>
      <c r="D258" s="299" t="s">
        <v>1613</v>
      </c>
      <c r="E258" s="299" t="s">
        <v>1613</v>
      </c>
      <c r="F258" s="299" t="s">
        <v>1613</v>
      </c>
      <c r="G258" s="302">
        <v>40</v>
      </c>
      <c r="H258" s="303">
        <v>52915</v>
      </c>
      <c r="I258" s="303">
        <v>52915</v>
      </c>
      <c r="J258" s="299" t="s">
        <v>1613</v>
      </c>
      <c r="K258" s="299" t="s">
        <v>1613</v>
      </c>
      <c r="L258" s="299" t="s">
        <v>1613</v>
      </c>
      <c r="M258" s="299" t="s">
        <v>1613</v>
      </c>
      <c r="N258" s="299" t="s">
        <v>1613</v>
      </c>
      <c r="O258" s="299" t="s">
        <v>1613</v>
      </c>
      <c r="P258" s="299" t="s">
        <v>1613</v>
      </c>
      <c r="Q258" s="299" t="s">
        <v>1613</v>
      </c>
      <c r="R258" s="299" t="s">
        <v>1613</v>
      </c>
      <c r="S258" s="302">
        <v>27</v>
      </c>
      <c r="T258" s="303">
        <v>24079</v>
      </c>
      <c r="U258" s="303">
        <v>24709</v>
      </c>
      <c r="V258" s="321" t="s">
        <v>1648</v>
      </c>
      <c r="W258" s="321" t="s">
        <v>1648</v>
      </c>
      <c r="X258" s="321" t="s">
        <v>1648</v>
      </c>
      <c r="Y258" s="321" t="s">
        <v>1649</v>
      </c>
      <c r="Z258" s="321" t="s">
        <v>1648</v>
      </c>
      <c r="AA258" s="321" t="s">
        <v>1648</v>
      </c>
      <c r="AB258" s="321" t="s">
        <v>1648</v>
      </c>
      <c r="AC258" s="321" t="s">
        <v>1648</v>
      </c>
      <c r="AD258" s="321" t="s">
        <v>1648</v>
      </c>
      <c r="AE258" s="321" t="s">
        <v>1648</v>
      </c>
      <c r="AF258" s="321" t="s">
        <v>1648</v>
      </c>
      <c r="AG258" s="321" t="s">
        <v>1649</v>
      </c>
      <c r="AH258" s="300" t="s">
        <v>1613</v>
      </c>
      <c r="AI258" s="321" t="s">
        <v>1648</v>
      </c>
      <c r="AJ258" s="321" t="s">
        <v>1648</v>
      </c>
      <c r="AK258" s="321" t="s">
        <v>1649</v>
      </c>
      <c r="AL258" s="321" t="s">
        <v>1649</v>
      </c>
      <c r="AM258" s="321" t="s">
        <v>1648</v>
      </c>
      <c r="AN258" s="321" t="s">
        <v>1648</v>
      </c>
      <c r="AO258" s="321" t="s">
        <v>1648</v>
      </c>
      <c r="AP258" s="321" t="s">
        <v>1648</v>
      </c>
      <c r="AQ258" s="321" t="s">
        <v>1649</v>
      </c>
      <c r="AR258" s="321" t="s">
        <v>1649</v>
      </c>
      <c r="AS258" s="321" t="s">
        <v>1649</v>
      </c>
      <c r="AT258" s="321" t="s">
        <v>1648</v>
      </c>
      <c r="AU258" s="301" t="s">
        <v>1613</v>
      </c>
    </row>
    <row r="259" spans="1:47" ht="13.5" thickBot="1" x14ac:dyDescent="0.25">
      <c r="A259" s="48" t="s">
        <v>332</v>
      </c>
      <c r="B259" s="291" t="s">
        <v>331</v>
      </c>
      <c r="C259" s="298" t="s">
        <v>22</v>
      </c>
      <c r="D259" s="304"/>
      <c r="E259" s="305"/>
      <c r="F259" s="305"/>
      <c r="G259" s="304"/>
      <c r="H259" s="305"/>
      <c r="I259" s="305"/>
      <c r="J259" s="302">
        <v>20</v>
      </c>
      <c r="K259" s="303" t="s">
        <v>1660</v>
      </c>
      <c r="L259" s="303" t="s">
        <v>1660</v>
      </c>
      <c r="M259" s="302">
        <v>20</v>
      </c>
      <c r="N259" s="303">
        <v>40000</v>
      </c>
      <c r="O259" s="303">
        <v>46000</v>
      </c>
      <c r="P259" s="302">
        <v>29</v>
      </c>
      <c r="Q259" s="303">
        <v>30000</v>
      </c>
      <c r="R259" s="303">
        <v>42000</v>
      </c>
      <c r="S259" s="302">
        <v>40</v>
      </c>
      <c r="T259" s="303">
        <v>32000</v>
      </c>
      <c r="U259" s="303">
        <v>39000</v>
      </c>
      <c r="V259" s="321" t="s">
        <v>1648</v>
      </c>
      <c r="W259" s="321" t="s">
        <v>1649</v>
      </c>
      <c r="X259" s="321" t="s">
        <v>1648</v>
      </c>
      <c r="Y259" s="321" t="s">
        <v>1648</v>
      </c>
      <c r="Z259" s="321" t="s">
        <v>1648</v>
      </c>
      <c r="AA259" s="321" t="s">
        <v>1648</v>
      </c>
      <c r="AB259" s="321" t="s">
        <v>1648</v>
      </c>
      <c r="AC259" s="321" t="s">
        <v>1648</v>
      </c>
      <c r="AD259" s="321" t="s">
        <v>1649</v>
      </c>
      <c r="AE259" s="321" t="s">
        <v>1649</v>
      </c>
      <c r="AF259" s="321" t="s">
        <v>1648</v>
      </c>
      <c r="AG259" s="321" t="s">
        <v>1649</v>
      </c>
      <c r="AH259" s="300"/>
      <c r="AI259" s="321" t="s">
        <v>1649</v>
      </c>
      <c r="AJ259" s="321" t="s">
        <v>1649</v>
      </c>
      <c r="AK259" s="321" t="s">
        <v>1649</v>
      </c>
      <c r="AL259" s="321" t="s">
        <v>1649</v>
      </c>
      <c r="AM259" s="321" t="s">
        <v>1649</v>
      </c>
      <c r="AN259" s="321" t="s">
        <v>1649</v>
      </c>
      <c r="AO259" s="321" t="s">
        <v>1649</v>
      </c>
      <c r="AP259" s="321" t="s">
        <v>1649</v>
      </c>
      <c r="AQ259" s="321" t="s">
        <v>1649</v>
      </c>
      <c r="AR259" s="321" t="s">
        <v>1649</v>
      </c>
      <c r="AS259" s="321" t="s">
        <v>1649</v>
      </c>
      <c r="AT259" s="321" t="s">
        <v>1649</v>
      </c>
      <c r="AU259" s="301"/>
    </row>
    <row r="260" spans="1:47" ht="13.5" thickBot="1" x14ac:dyDescent="0.25">
      <c r="A260" s="48" t="s">
        <v>336</v>
      </c>
      <c r="B260" s="291" t="s">
        <v>335</v>
      </c>
      <c r="C260" s="298" t="s">
        <v>22</v>
      </c>
      <c r="D260" s="299" t="s">
        <v>1613</v>
      </c>
      <c r="E260" s="299" t="s">
        <v>1613</v>
      </c>
      <c r="F260" s="299" t="s">
        <v>1613</v>
      </c>
      <c r="G260" s="299" t="s">
        <v>1613</v>
      </c>
      <c r="H260" s="299" t="s">
        <v>1613</v>
      </c>
      <c r="I260" s="299" t="s">
        <v>1613</v>
      </c>
      <c r="J260" s="302">
        <v>38</v>
      </c>
      <c r="K260" s="303">
        <v>35000</v>
      </c>
      <c r="L260" s="303">
        <v>50000</v>
      </c>
      <c r="M260" s="302">
        <v>20</v>
      </c>
      <c r="N260" s="303">
        <v>18000</v>
      </c>
      <c r="O260" s="303">
        <v>20000</v>
      </c>
      <c r="P260" s="302">
        <v>38</v>
      </c>
      <c r="Q260" s="303">
        <v>35000</v>
      </c>
      <c r="R260" s="303">
        <v>40000</v>
      </c>
      <c r="S260" s="302">
        <v>20</v>
      </c>
      <c r="T260" s="303">
        <v>10000</v>
      </c>
      <c r="U260" s="303">
        <v>13000</v>
      </c>
      <c r="V260" s="321" t="s">
        <v>1648</v>
      </c>
      <c r="W260" s="321" t="s">
        <v>1648</v>
      </c>
      <c r="X260" s="321" t="s">
        <v>1648</v>
      </c>
      <c r="Y260" s="321" t="s">
        <v>1648</v>
      </c>
      <c r="Z260" s="321" t="s">
        <v>1648</v>
      </c>
      <c r="AA260" s="321" t="s">
        <v>1648</v>
      </c>
      <c r="AB260" s="321" t="s">
        <v>1648</v>
      </c>
      <c r="AC260" s="321" t="s">
        <v>1648</v>
      </c>
      <c r="AD260" s="321" t="s">
        <v>1648</v>
      </c>
      <c r="AE260" s="321" t="s">
        <v>1649</v>
      </c>
      <c r="AF260" s="321" t="s">
        <v>1648</v>
      </c>
      <c r="AG260" s="321" t="s">
        <v>1648</v>
      </c>
      <c r="AH260" s="300"/>
      <c r="AI260" s="321" t="s">
        <v>1649</v>
      </c>
      <c r="AJ260" s="321" t="s">
        <v>1649</v>
      </c>
      <c r="AK260" s="321" t="s">
        <v>1649</v>
      </c>
      <c r="AL260" s="321" t="s">
        <v>1649</v>
      </c>
      <c r="AM260" s="321" t="s">
        <v>1649</v>
      </c>
      <c r="AN260" s="321" t="s">
        <v>1649</v>
      </c>
      <c r="AO260" s="321" t="s">
        <v>1649</v>
      </c>
      <c r="AP260" s="321" t="s">
        <v>1649</v>
      </c>
      <c r="AQ260" s="321" t="s">
        <v>1649</v>
      </c>
      <c r="AR260" s="321" t="s">
        <v>1649</v>
      </c>
      <c r="AS260" s="321" t="s">
        <v>1649</v>
      </c>
      <c r="AT260" s="321" t="s">
        <v>1649</v>
      </c>
      <c r="AU260" s="301"/>
    </row>
    <row r="261" spans="1:47" ht="13.5" thickBot="1" x14ac:dyDescent="0.25">
      <c r="A261" s="48" t="s">
        <v>338</v>
      </c>
      <c r="B261" s="291" t="s">
        <v>337</v>
      </c>
      <c r="C261" s="298" t="s">
        <v>22</v>
      </c>
      <c r="D261" s="302">
        <v>20</v>
      </c>
      <c r="E261" s="303">
        <v>20000</v>
      </c>
      <c r="F261" s="303">
        <v>30000</v>
      </c>
      <c r="G261" s="302">
        <v>32</v>
      </c>
      <c r="H261" s="303">
        <v>24000</v>
      </c>
      <c r="I261" s="303">
        <v>40000</v>
      </c>
      <c r="J261" s="304"/>
      <c r="K261" s="305"/>
      <c r="L261" s="305"/>
      <c r="M261" s="304"/>
      <c r="N261" s="305"/>
      <c r="O261" s="305"/>
      <c r="P261" s="302">
        <v>20</v>
      </c>
      <c r="Q261" s="303">
        <v>16640</v>
      </c>
      <c r="R261" s="303">
        <v>22000</v>
      </c>
      <c r="S261" s="302">
        <v>20</v>
      </c>
      <c r="T261" s="303">
        <v>10400</v>
      </c>
      <c r="U261" s="303">
        <v>14000</v>
      </c>
      <c r="V261" s="321" t="s">
        <v>1649</v>
      </c>
      <c r="W261" s="321" t="s">
        <v>1649</v>
      </c>
      <c r="X261" s="321" t="s">
        <v>1649</v>
      </c>
      <c r="Y261" s="321" t="s">
        <v>1649</v>
      </c>
      <c r="Z261" s="321" t="s">
        <v>1649</v>
      </c>
      <c r="AA261" s="321" t="s">
        <v>1648</v>
      </c>
      <c r="AB261" s="321" t="s">
        <v>1648</v>
      </c>
      <c r="AC261" s="321" t="s">
        <v>1648</v>
      </c>
      <c r="AD261" s="321" t="s">
        <v>1649</v>
      </c>
      <c r="AE261" s="321" t="s">
        <v>1649</v>
      </c>
      <c r="AF261" s="321" t="s">
        <v>1648</v>
      </c>
      <c r="AG261" s="321" t="s">
        <v>1649</v>
      </c>
      <c r="AH261" s="165" t="s">
        <v>3563</v>
      </c>
      <c r="AI261" s="321" t="s">
        <v>1649</v>
      </c>
      <c r="AJ261" s="321" t="s">
        <v>1649</v>
      </c>
      <c r="AK261" s="321" t="s">
        <v>1649</v>
      </c>
      <c r="AL261" s="321" t="s">
        <v>1649</v>
      </c>
      <c r="AM261" s="321" t="s">
        <v>1649</v>
      </c>
      <c r="AN261" s="321" t="s">
        <v>1649</v>
      </c>
      <c r="AO261" s="321" t="s">
        <v>1649</v>
      </c>
      <c r="AP261" s="321" t="s">
        <v>1648</v>
      </c>
      <c r="AQ261" s="321" t="s">
        <v>1649</v>
      </c>
      <c r="AR261" s="321" t="s">
        <v>1649</v>
      </c>
      <c r="AS261" s="321" t="s">
        <v>1648</v>
      </c>
      <c r="AT261" s="321" t="s">
        <v>1649</v>
      </c>
      <c r="AU261" s="307" t="s">
        <v>3563</v>
      </c>
    </row>
    <row r="262" spans="1:47" ht="13.5" thickBot="1" x14ac:dyDescent="0.25">
      <c r="A262" s="48" t="s">
        <v>340</v>
      </c>
      <c r="B262" s="291" t="s">
        <v>339</v>
      </c>
      <c r="C262" s="298" t="s">
        <v>22</v>
      </c>
      <c r="D262" s="299" t="s">
        <v>1613</v>
      </c>
      <c r="E262" s="299" t="s">
        <v>1613</v>
      </c>
      <c r="F262" s="299" t="s">
        <v>1613</v>
      </c>
      <c r="G262" s="299" t="s">
        <v>1613</v>
      </c>
      <c r="H262" s="299" t="s">
        <v>1613</v>
      </c>
      <c r="I262" s="299" t="s">
        <v>1613</v>
      </c>
      <c r="J262" s="302">
        <v>25</v>
      </c>
      <c r="K262" s="303">
        <v>26000</v>
      </c>
      <c r="L262" s="303">
        <v>26000</v>
      </c>
      <c r="M262" s="299" t="s">
        <v>1613</v>
      </c>
      <c r="N262" s="299" t="s">
        <v>1613</v>
      </c>
      <c r="O262" s="299" t="s">
        <v>1613</v>
      </c>
      <c r="P262" s="302">
        <v>1</v>
      </c>
      <c r="Q262" s="303">
        <v>4200</v>
      </c>
      <c r="R262" s="303">
        <v>4320</v>
      </c>
      <c r="S262" s="302">
        <v>15</v>
      </c>
      <c r="T262" s="303">
        <v>8190</v>
      </c>
      <c r="U262" s="303">
        <v>8190</v>
      </c>
      <c r="V262" s="321" t="s">
        <v>1649</v>
      </c>
      <c r="W262" s="321" t="s">
        <v>1649</v>
      </c>
      <c r="X262" s="321" t="s">
        <v>1649</v>
      </c>
      <c r="Y262" s="321" t="s">
        <v>1649</v>
      </c>
      <c r="Z262" s="321" t="s">
        <v>1649</v>
      </c>
      <c r="AA262" s="321" t="s">
        <v>1649</v>
      </c>
      <c r="AB262" s="321" t="s">
        <v>1649</v>
      </c>
      <c r="AC262" s="321" t="s">
        <v>1649</v>
      </c>
      <c r="AD262" s="321" t="s">
        <v>1649</v>
      </c>
      <c r="AE262" s="321" t="s">
        <v>1649</v>
      </c>
      <c r="AF262" s="321" t="s">
        <v>1649</v>
      </c>
      <c r="AG262" s="321" t="s">
        <v>1649</v>
      </c>
      <c r="AH262" s="300" t="s">
        <v>1613</v>
      </c>
      <c r="AI262" s="321" t="s">
        <v>1649</v>
      </c>
      <c r="AJ262" s="321" t="s">
        <v>1649</v>
      </c>
      <c r="AK262" s="321" t="s">
        <v>1649</v>
      </c>
      <c r="AL262" s="321" t="s">
        <v>1649</v>
      </c>
      <c r="AM262" s="321" t="s">
        <v>1649</v>
      </c>
      <c r="AN262" s="321" t="s">
        <v>1649</v>
      </c>
      <c r="AO262" s="321" t="s">
        <v>1649</v>
      </c>
      <c r="AP262" s="321" t="s">
        <v>1648</v>
      </c>
      <c r="AQ262" s="321" t="s">
        <v>1649</v>
      </c>
      <c r="AR262" s="321" t="s">
        <v>1649</v>
      </c>
      <c r="AS262" s="321" t="s">
        <v>1649</v>
      </c>
      <c r="AT262" s="321" t="s">
        <v>1649</v>
      </c>
      <c r="AU262" s="301" t="s">
        <v>1613</v>
      </c>
    </row>
    <row r="263" spans="1:47" ht="13.5" thickBot="1" x14ac:dyDescent="0.25">
      <c r="A263" s="48" t="s">
        <v>346</v>
      </c>
      <c r="B263" s="291" t="s">
        <v>345</v>
      </c>
      <c r="C263" s="298" t="s">
        <v>22</v>
      </c>
      <c r="D263" s="302">
        <v>28</v>
      </c>
      <c r="E263" s="303">
        <v>24000</v>
      </c>
      <c r="F263" s="303">
        <v>25000</v>
      </c>
      <c r="G263" s="302">
        <v>40</v>
      </c>
      <c r="H263" s="303">
        <v>32000</v>
      </c>
      <c r="I263" s="303">
        <v>34400</v>
      </c>
      <c r="J263" s="302">
        <v>40</v>
      </c>
      <c r="K263" s="303">
        <v>24600</v>
      </c>
      <c r="L263" s="303">
        <v>26000</v>
      </c>
      <c r="M263" s="299" t="s">
        <v>1613</v>
      </c>
      <c r="N263" s="299" t="s">
        <v>1613</v>
      </c>
      <c r="O263" s="299" t="s">
        <v>1613</v>
      </c>
      <c r="P263" s="299" t="s">
        <v>1613</v>
      </c>
      <c r="Q263" s="299" t="s">
        <v>1613</v>
      </c>
      <c r="R263" s="299" t="s">
        <v>1613</v>
      </c>
      <c r="S263" s="302">
        <v>15</v>
      </c>
      <c r="T263" s="303">
        <v>7800</v>
      </c>
      <c r="U263" s="303">
        <v>8100</v>
      </c>
      <c r="V263" s="321" t="s">
        <v>1648</v>
      </c>
      <c r="W263" s="321" t="s">
        <v>1648</v>
      </c>
      <c r="X263" s="321" t="s">
        <v>1648</v>
      </c>
      <c r="Y263" s="321" t="s">
        <v>1648</v>
      </c>
      <c r="Z263" s="321" t="s">
        <v>1649</v>
      </c>
      <c r="AA263" s="321" t="s">
        <v>1648</v>
      </c>
      <c r="AB263" s="321" t="s">
        <v>1648</v>
      </c>
      <c r="AC263" s="321" t="s">
        <v>1648</v>
      </c>
      <c r="AD263" s="321" t="s">
        <v>1649</v>
      </c>
      <c r="AE263" s="321" t="s">
        <v>1649</v>
      </c>
      <c r="AF263" s="321" t="s">
        <v>1648</v>
      </c>
      <c r="AG263" s="321" t="s">
        <v>1649</v>
      </c>
      <c r="AH263" s="300" t="s">
        <v>1613</v>
      </c>
      <c r="AI263" s="321" t="s">
        <v>1649</v>
      </c>
      <c r="AJ263" s="321" t="s">
        <v>1649</v>
      </c>
      <c r="AK263" s="321" t="s">
        <v>1649</v>
      </c>
      <c r="AL263" s="321" t="s">
        <v>1649</v>
      </c>
      <c r="AM263" s="321" t="s">
        <v>1649</v>
      </c>
      <c r="AN263" s="321" t="s">
        <v>1649</v>
      </c>
      <c r="AO263" s="321" t="s">
        <v>1649</v>
      </c>
      <c r="AP263" s="321" t="s">
        <v>1649</v>
      </c>
      <c r="AQ263" s="321" t="s">
        <v>1649</v>
      </c>
      <c r="AR263" s="321" t="s">
        <v>1649</v>
      </c>
      <c r="AS263" s="321" t="s">
        <v>1649</v>
      </c>
      <c r="AT263" s="321" t="s">
        <v>1649</v>
      </c>
      <c r="AU263" s="301" t="s">
        <v>1613</v>
      </c>
    </row>
    <row r="264" spans="1:47" ht="13.5" thickBot="1" x14ac:dyDescent="0.25">
      <c r="A264" s="48" t="s">
        <v>348</v>
      </c>
      <c r="B264" s="291" t="s">
        <v>347</v>
      </c>
      <c r="C264" s="298" t="s">
        <v>22</v>
      </c>
      <c r="D264" s="304"/>
      <c r="E264" s="305"/>
      <c r="F264" s="305"/>
      <c r="G264" s="304"/>
      <c r="H264" s="305"/>
      <c r="I264" s="305"/>
      <c r="J264" s="302">
        <v>40</v>
      </c>
      <c r="K264" s="303">
        <v>40000</v>
      </c>
      <c r="L264" s="303">
        <v>45000</v>
      </c>
      <c r="M264" s="302">
        <v>4</v>
      </c>
      <c r="N264" s="303">
        <v>3744</v>
      </c>
      <c r="O264" s="303">
        <v>28080</v>
      </c>
      <c r="P264" s="302">
        <v>14</v>
      </c>
      <c r="Q264" s="303">
        <v>15000</v>
      </c>
      <c r="R264" s="303">
        <v>20000</v>
      </c>
      <c r="S264" s="302">
        <v>16</v>
      </c>
      <c r="T264" s="303">
        <v>10000</v>
      </c>
      <c r="U264" s="303">
        <v>34000</v>
      </c>
      <c r="V264" s="321" t="s">
        <v>1648</v>
      </c>
      <c r="W264" s="321" t="s">
        <v>1648</v>
      </c>
      <c r="X264" s="321" t="s">
        <v>1648</v>
      </c>
      <c r="Y264" s="321" t="s">
        <v>1648</v>
      </c>
      <c r="Z264" s="321" t="s">
        <v>1648</v>
      </c>
      <c r="AA264" s="321" t="s">
        <v>1648</v>
      </c>
      <c r="AB264" s="321" t="s">
        <v>1648</v>
      </c>
      <c r="AC264" s="321" t="s">
        <v>1648</v>
      </c>
      <c r="AD264" s="321" t="s">
        <v>1648</v>
      </c>
      <c r="AE264" s="321" t="s">
        <v>1648</v>
      </c>
      <c r="AF264" s="321" t="s">
        <v>1649</v>
      </c>
      <c r="AG264" s="321" t="s">
        <v>1649</v>
      </c>
      <c r="AH264" s="300" t="s">
        <v>1613</v>
      </c>
      <c r="AI264" s="321" t="s">
        <v>1649</v>
      </c>
      <c r="AJ264" s="321" t="s">
        <v>1649</v>
      </c>
      <c r="AK264" s="321" t="s">
        <v>1649</v>
      </c>
      <c r="AL264" s="321" t="s">
        <v>1649</v>
      </c>
      <c r="AM264" s="321" t="s">
        <v>1649</v>
      </c>
      <c r="AN264" s="321" t="s">
        <v>1649</v>
      </c>
      <c r="AO264" s="321" t="s">
        <v>1649</v>
      </c>
      <c r="AP264" s="321" t="s">
        <v>1649</v>
      </c>
      <c r="AQ264" s="321" t="s">
        <v>1649</v>
      </c>
      <c r="AR264" s="321" t="s">
        <v>1649</v>
      </c>
      <c r="AS264" s="321" t="s">
        <v>1649</v>
      </c>
      <c r="AT264" s="321" t="s">
        <v>1649</v>
      </c>
      <c r="AU264" s="301" t="s">
        <v>1613</v>
      </c>
    </row>
    <row r="265" spans="1:47" ht="13.5" thickBot="1" x14ac:dyDescent="0.25">
      <c r="A265" s="48" t="s">
        <v>356</v>
      </c>
      <c r="B265" s="291" t="s">
        <v>355</v>
      </c>
      <c r="C265" s="298" t="s">
        <v>22</v>
      </c>
      <c r="D265" s="299" t="s">
        <v>1613</v>
      </c>
      <c r="E265" s="299" t="s">
        <v>1613</v>
      </c>
      <c r="F265" s="299" t="s">
        <v>1613</v>
      </c>
      <c r="G265" s="302">
        <v>38</v>
      </c>
      <c r="H265" s="303">
        <v>40540</v>
      </c>
      <c r="I265" s="303">
        <v>56647</v>
      </c>
      <c r="J265" s="299" t="s">
        <v>1613</v>
      </c>
      <c r="K265" s="299" t="s">
        <v>1613</v>
      </c>
      <c r="L265" s="299" t="s">
        <v>1613</v>
      </c>
      <c r="M265" s="302">
        <v>38</v>
      </c>
      <c r="N265" s="303">
        <v>37674</v>
      </c>
      <c r="O265" s="303">
        <v>52630</v>
      </c>
      <c r="P265" s="299" t="s">
        <v>1613</v>
      </c>
      <c r="Q265" s="299" t="s">
        <v>1613</v>
      </c>
      <c r="R265" s="299" t="s">
        <v>1613</v>
      </c>
      <c r="S265" s="302">
        <v>38</v>
      </c>
      <c r="T265" s="303">
        <v>22230</v>
      </c>
      <c r="U265" s="303">
        <v>38064</v>
      </c>
      <c r="V265" s="321" t="s">
        <v>1648</v>
      </c>
      <c r="W265" s="321" t="s">
        <v>1648</v>
      </c>
      <c r="X265" s="321" t="s">
        <v>1648</v>
      </c>
      <c r="Y265" s="321" t="s">
        <v>1648</v>
      </c>
      <c r="Z265" s="321" t="s">
        <v>1648</v>
      </c>
      <c r="AA265" s="321" t="s">
        <v>1648</v>
      </c>
      <c r="AB265" s="321" t="s">
        <v>1648</v>
      </c>
      <c r="AC265" s="321" t="s">
        <v>1648</v>
      </c>
      <c r="AD265" s="321" t="s">
        <v>1648</v>
      </c>
      <c r="AE265" s="321" t="s">
        <v>1649</v>
      </c>
      <c r="AF265" s="321" t="s">
        <v>1648</v>
      </c>
      <c r="AG265" s="321" t="s">
        <v>1649</v>
      </c>
      <c r="AH265" s="300" t="s">
        <v>1613</v>
      </c>
      <c r="AI265" s="321" t="s">
        <v>1649</v>
      </c>
      <c r="AJ265" s="321" t="s">
        <v>1649</v>
      </c>
      <c r="AK265" s="321" t="s">
        <v>1649</v>
      </c>
      <c r="AL265" s="321" t="s">
        <v>1649</v>
      </c>
      <c r="AM265" s="321" t="s">
        <v>1649</v>
      </c>
      <c r="AN265" s="321" t="s">
        <v>1648</v>
      </c>
      <c r="AO265" s="321" t="s">
        <v>1648</v>
      </c>
      <c r="AP265" s="321" t="s">
        <v>1648</v>
      </c>
      <c r="AQ265" s="321" t="s">
        <v>1648</v>
      </c>
      <c r="AR265" s="321" t="s">
        <v>1649</v>
      </c>
      <c r="AS265" s="321" t="s">
        <v>1648</v>
      </c>
      <c r="AT265" s="321" t="s">
        <v>1649</v>
      </c>
      <c r="AU265" s="307" t="s">
        <v>3672</v>
      </c>
    </row>
    <row r="266" spans="1:47" ht="13.5" thickBot="1" x14ac:dyDescent="0.25">
      <c r="A266" s="48" t="s">
        <v>360</v>
      </c>
      <c r="B266" s="291" t="s">
        <v>359</v>
      </c>
      <c r="C266" s="298" t="s">
        <v>22</v>
      </c>
      <c r="D266" s="299" t="s">
        <v>1613</v>
      </c>
      <c r="E266" s="299" t="s">
        <v>1613</v>
      </c>
      <c r="F266" s="299" t="s">
        <v>1613</v>
      </c>
      <c r="G266" s="302">
        <v>40</v>
      </c>
      <c r="H266" s="303">
        <v>27000</v>
      </c>
      <c r="I266" s="303">
        <v>40000</v>
      </c>
      <c r="J266" s="304"/>
      <c r="K266" s="305"/>
      <c r="L266" s="305"/>
      <c r="M266" s="302">
        <v>40</v>
      </c>
      <c r="N266" s="303">
        <v>23700</v>
      </c>
      <c r="O266" s="303">
        <v>35000</v>
      </c>
      <c r="P266" s="299" t="s">
        <v>1613</v>
      </c>
      <c r="Q266" s="299" t="s">
        <v>1613</v>
      </c>
      <c r="R266" s="299" t="s">
        <v>1613</v>
      </c>
      <c r="S266" s="299" t="s">
        <v>1613</v>
      </c>
      <c r="T266" s="303">
        <v>7200</v>
      </c>
      <c r="U266" s="303">
        <v>29120</v>
      </c>
      <c r="V266" s="321" t="s">
        <v>1649</v>
      </c>
      <c r="W266" s="321" t="s">
        <v>1649</v>
      </c>
      <c r="X266" s="321" t="s">
        <v>1649</v>
      </c>
      <c r="Y266" s="321" t="s">
        <v>1649</v>
      </c>
      <c r="Z266" s="321" t="s">
        <v>1648</v>
      </c>
      <c r="AA266" s="321" t="s">
        <v>1648</v>
      </c>
      <c r="AB266" s="321" t="s">
        <v>1648</v>
      </c>
      <c r="AC266" s="321" t="s">
        <v>1648</v>
      </c>
      <c r="AD266" s="321" t="s">
        <v>1649</v>
      </c>
      <c r="AE266" s="321" t="s">
        <v>1649</v>
      </c>
      <c r="AF266" s="321" t="s">
        <v>1648</v>
      </c>
      <c r="AG266" s="321" t="s">
        <v>1649</v>
      </c>
      <c r="AH266" s="300" t="s">
        <v>1613</v>
      </c>
      <c r="AI266" s="321" t="s">
        <v>1649</v>
      </c>
      <c r="AJ266" s="321" t="s">
        <v>1649</v>
      </c>
      <c r="AK266" s="321" t="s">
        <v>1649</v>
      </c>
      <c r="AL266" s="321" t="s">
        <v>1649</v>
      </c>
      <c r="AM266" s="321" t="s">
        <v>1649</v>
      </c>
      <c r="AN266" s="321" t="s">
        <v>1648</v>
      </c>
      <c r="AO266" s="321" t="s">
        <v>1648</v>
      </c>
      <c r="AP266" s="321" t="s">
        <v>1648</v>
      </c>
      <c r="AQ266" s="321" t="s">
        <v>1649</v>
      </c>
      <c r="AR266" s="321" t="s">
        <v>1649</v>
      </c>
      <c r="AS266" s="321" t="s">
        <v>1648</v>
      </c>
      <c r="AT266" s="321" t="s">
        <v>1649</v>
      </c>
      <c r="AU266" s="301" t="s">
        <v>1613</v>
      </c>
    </row>
    <row r="267" spans="1:47" ht="13.5" thickBot="1" x14ac:dyDescent="0.25">
      <c r="A267" s="48" t="s">
        <v>368</v>
      </c>
      <c r="B267" s="291" t="s">
        <v>367</v>
      </c>
      <c r="C267" s="298" t="s">
        <v>22</v>
      </c>
      <c r="D267" s="299" t="s">
        <v>1613</v>
      </c>
      <c r="E267" s="299" t="s">
        <v>1613</v>
      </c>
      <c r="F267" s="299" t="s">
        <v>1613</v>
      </c>
      <c r="G267" s="302">
        <v>40</v>
      </c>
      <c r="H267" s="303">
        <v>35360</v>
      </c>
      <c r="I267" s="303">
        <v>45760</v>
      </c>
      <c r="J267" s="299" t="s">
        <v>1613</v>
      </c>
      <c r="K267" s="299" t="s">
        <v>1613</v>
      </c>
      <c r="L267" s="299" t="s">
        <v>1613</v>
      </c>
      <c r="M267" s="302">
        <v>40</v>
      </c>
      <c r="N267" s="303">
        <v>31200</v>
      </c>
      <c r="O267" s="303">
        <v>45760</v>
      </c>
      <c r="P267" s="302">
        <v>40</v>
      </c>
      <c r="Q267" s="303">
        <v>35360</v>
      </c>
      <c r="R267" s="303">
        <v>45760</v>
      </c>
      <c r="S267" s="302">
        <v>40</v>
      </c>
      <c r="T267" s="303">
        <v>24960</v>
      </c>
      <c r="U267" s="303">
        <v>34320</v>
      </c>
      <c r="V267" s="321" t="s">
        <v>1648</v>
      </c>
      <c r="W267" s="321" t="s">
        <v>1648</v>
      </c>
      <c r="X267" s="321" t="s">
        <v>1648</v>
      </c>
      <c r="Y267" s="321" t="s">
        <v>1648</v>
      </c>
      <c r="Z267" s="321" t="s">
        <v>1648</v>
      </c>
      <c r="AA267" s="321" t="s">
        <v>1648</v>
      </c>
      <c r="AB267" s="321" t="s">
        <v>1648</v>
      </c>
      <c r="AC267" s="321" t="s">
        <v>1648</v>
      </c>
      <c r="AD267" s="321" t="s">
        <v>1649</v>
      </c>
      <c r="AE267" s="321" t="s">
        <v>1648</v>
      </c>
      <c r="AF267" s="321" t="s">
        <v>1648</v>
      </c>
      <c r="AG267" s="321" t="s">
        <v>1649</v>
      </c>
      <c r="AH267" s="300" t="s">
        <v>1613</v>
      </c>
      <c r="AI267" s="321" t="s">
        <v>1649</v>
      </c>
      <c r="AJ267" s="321" t="s">
        <v>1649</v>
      </c>
      <c r="AK267" s="321" t="s">
        <v>1649</v>
      </c>
      <c r="AL267" s="321" t="s">
        <v>1649</v>
      </c>
      <c r="AM267" s="321" t="s">
        <v>1649</v>
      </c>
      <c r="AN267" s="321" t="s">
        <v>1649</v>
      </c>
      <c r="AO267" s="321" t="s">
        <v>1649</v>
      </c>
      <c r="AP267" s="321" t="s">
        <v>1649</v>
      </c>
      <c r="AQ267" s="321" t="s">
        <v>1649</v>
      </c>
      <c r="AR267" s="321" t="s">
        <v>1649</v>
      </c>
      <c r="AS267" s="321" t="s">
        <v>1649</v>
      </c>
      <c r="AT267" s="321" t="s">
        <v>1649</v>
      </c>
      <c r="AU267" s="301"/>
    </row>
    <row r="268" spans="1:47" ht="13.5" thickBot="1" x14ac:dyDescent="0.25">
      <c r="A268" s="48" t="s">
        <v>370</v>
      </c>
      <c r="B268" s="291" t="s">
        <v>369</v>
      </c>
      <c r="C268" s="298" t="s">
        <v>22</v>
      </c>
      <c r="D268" s="302">
        <v>40</v>
      </c>
      <c r="E268" s="303">
        <v>40384</v>
      </c>
      <c r="F268" s="303">
        <v>52498</v>
      </c>
      <c r="G268" s="304"/>
      <c r="H268" s="305"/>
      <c r="I268" s="305"/>
      <c r="J268" s="302">
        <v>40</v>
      </c>
      <c r="K268" s="303">
        <v>40384</v>
      </c>
      <c r="L268" s="303">
        <v>52498</v>
      </c>
      <c r="M268" s="302">
        <v>18</v>
      </c>
      <c r="N268" s="303">
        <v>12879</v>
      </c>
      <c r="O268" s="303">
        <v>17166</v>
      </c>
      <c r="P268" s="302">
        <v>24</v>
      </c>
      <c r="Q268" s="303">
        <v>17609</v>
      </c>
      <c r="R268" s="303">
        <v>23462</v>
      </c>
      <c r="S268" s="302">
        <v>15</v>
      </c>
      <c r="T268" s="303">
        <v>7378</v>
      </c>
      <c r="U268" s="303">
        <v>9586</v>
      </c>
      <c r="V268" s="321" t="s">
        <v>1648</v>
      </c>
      <c r="W268" s="321" t="s">
        <v>1648</v>
      </c>
      <c r="X268" s="321" t="s">
        <v>1648</v>
      </c>
      <c r="Y268" s="321" t="s">
        <v>1648</v>
      </c>
      <c r="Z268" s="321" t="s">
        <v>1649</v>
      </c>
      <c r="AA268" s="321" t="s">
        <v>1648</v>
      </c>
      <c r="AB268" s="321" t="s">
        <v>1648</v>
      </c>
      <c r="AC268" s="321" t="s">
        <v>1648</v>
      </c>
      <c r="AD268" s="321" t="s">
        <v>1648</v>
      </c>
      <c r="AE268" s="321" t="s">
        <v>1648</v>
      </c>
      <c r="AF268" s="321" t="s">
        <v>1648</v>
      </c>
      <c r="AG268" s="321" t="s">
        <v>1648</v>
      </c>
      <c r="AH268" s="165" t="s">
        <v>3564</v>
      </c>
      <c r="AI268" s="321" t="s">
        <v>1649</v>
      </c>
      <c r="AJ268" s="321" t="s">
        <v>1649</v>
      </c>
      <c r="AK268" s="321" t="s">
        <v>1649</v>
      </c>
      <c r="AL268" s="321" t="s">
        <v>1649</v>
      </c>
      <c r="AM268" s="321" t="s">
        <v>1649</v>
      </c>
      <c r="AN268" s="321" t="s">
        <v>1649</v>
      </c>
      <c r="AO268" s="321" t="s">
        <v>1649</v>
      </c>
      <c r="AP268" s="321" t="s">
        <v>1649</v>
      </c>
      <c r="AQ268" s="321" t="s">
        <v>1649</v>
      </c>
      <c r="AR268" s="321" t="s">
        <v>1649</v>
      </c>
      <c r="AS268" s="321" t="s">
        <v>1649</v>
      </c>
      <c r="AT268" s="321" t="s">
        <v>1649</v>
      </c>
      <c r="AU268" s="307" t="s">
        <v>3564</v>
      </c>
    </row>
    <row r="269" spans="1:47" ht="13.5" thickBot="1" x14ac:dyDescent="0.25">
      <c r="A269" s="48" t="s">
        <v>384</v>
      </c>
      <c r="B269" s="291" t="s">
        <v>383</v>
      </c>
      <c r="C269" s="298" t="s">
        <v>22</v>
      </c>
      <c r="D269" s="299" t="s">
        <v>1613</v>
      </c>
      <c r="E269" s="299" t="s">
        <v>1613</v>
      </c>
      <c r="F269" s="299" t="s">
        <v>1613</v>
      </c>
      <c r="G269" s="302">
        <v>40</v>
      </c>
      <c r="H269" s="303">
        <v>47861</v>
      </c>
      <c r="I269" s="303">
        <v>47861</v>
      </c>
      <c r="J269" s="302">
        <v>40</v>
      </c>
      <c r="K269" s="303">
        <v>42515</v>
      </c>
      <c r="L269" s="303">
        <v>42515</v>
      </c>
      <c r="M269" s="302">
        <v>32</v>
      </c>
      <c r="N269" s="303">
        <v>34012</v>
      </c>
      <c r="O269" s="303">
        <v>34012</v>
      </c>
      <c r="P269" s="302">
        <v>32</v>
      </c>
      <c r="Q269" s="303">
        <v>29253</v>
      </c>
      <c r="R269" s="303">
        <v>29253</v>
      </c>
      <c r="S269" s="302">
        <v>40</v>
      </c>
      <c r="T269" s="303">
        <v>31907</v>
      </c>
      <c r="U269" s="303">
        <v>31907</v>
      </c>
      <c r="V269" s="321" t="s">
        <v>1648</v>
      </c>
      <c r="W269" s="321" t="s">
        <v>1648</v>
      </c>
      <c r="X269" s="321" t="s">
        <v>1648</v>
      </c>
      <c r="Y269" s="321" t="s">
        <v>1648</v>
      </c>
      <c r="Z269" s="321" t="s">
        <v>1648</v>
      </c>
      <c r="AA269" s="321" t="s">
        <v>1648</v>
      </c>
      <c r="AB269" s="321" t="s">
        <v>1648</v>
      </c>
      <c r="AC269" s="321" t="s">
        <v>1648</v>
      </c>
      <c r="AD269" s="321" t="s">
        <v>1648</v>
      </c>
      <c r="AE269" s="321" t="s">
        <v>1649</v>
      </c>
      <c r="AF269" s="321" t="s">
        <v>1648</v>
      </c>
      <c r="AG269" s="321" t="s">
        <v>1648</v>
      </c>
      <c r="AH269" s="165" t="s">
        <v>3673</v>
      </c>
      <c r="AI269" s="321" t="s">
        <v>1649</v>
      </c>
      <c r="AJ269" s="321" t="s">
        <v>1649</v>
      </c>
      <c r="AK269" s="321" t="s">
        <v>1648</v>
      </c>
      <c r="AL269" s="321" t="s">
        <v>1649</v>
      </c>
      <c r="AM269" s="321" t="s">
        <v>1649</v>
      </c>
      <c r="AN269" s="321" t="s">
        <v>1648</v>
      </c>
      <c r="AO269" s="321" t="s">
        <v>1648</v>
      </c>
      <c r="AP269" s="321" t="s">
        <v>1648</v>
      </c>
      <c r="AQ269" s="321" t="s">
        <v>1648</v>
      </c>
      <c r="AR269" s="321" t="s">
        <v>1648</v>
      </c>
      <c r="AS269" s="321" t="s">
        <v>1648</v>
      </c>
      <c r="AT269" s="321" t="s">
        <v>1648</v>
      </c>
      <c r="AU269" s="307" t="s">
        <v>3674</v>
      </c>
    </row>
    <row r="270" spans="1:47" ht="13.5" thickBot="1" x14ac:dyDescent="0.25">
      <c r="A270" s="48" t="s">
        <v>390</v>
      </c>
      <c r="B270" s="291" t="s">
        <v>389</v>
      </c>
      <c r="C270" s="298" t="s">
        <v>22</v>
      </c>
      <c r="D270" s="299" t="s">
        <v>1613</v>
      </c>
      <c r="E270" s="299" t="s">
        <v>1613</v>
      </c>
      <c r="F270" s="299" t="s">
        <v>1613</v>
      </c>
      <c r="G270" s="299" t="s">
        <v>1613</v>
      </c>
      <c r="H270" s="299" t="s">
        <v>1613</v>
      </c>
      <c r="I270" s="299" t="s">
        <v>1613</v>
      </c>
      <c r="J270" s="302">
        <v>40</v>
      </c>
      <c r="K270" s="303">
        <v>44324</v>
      </c>
      <c r="L270" s="303">
        <v>44324</v>
      </c>
      <c r="M270" s="302">
        <v>27</v>
      </c>
      <c r="N270" s="303">
        <v>28866</v>
      </c>
      <c r="O270" s="303">
        <v>28866</v>
      </c>
      <c r="P270" s="299" t="s">
        <v>1613</v>
      </c>
      <c r="Q270" s="299" t="s">
        <v>1613</v>
      </c>
      <c r="R270" s="299" t="s">
        <v>1613</v>
      </c>
      <c r="S270" s="302">
        <v>20</v>
      </c>
      <c r="T270" s="303">
        <v>10826</v>
      </c>
      <c r="U270" s="303">
        <v>10826</v>
      </c>
      <c r="V270" s="321" t="s">
        <v>1648</v>
      </c>
      <c r="W270" s="321" t="s">
        <v>1648</v>
      </c>
      <c r="X270" s="321" t="s">
        <v>1648</v>
      </c>
      <c r="Y270" s="321" t="s">
        <v>1648</v>
      </c>
      <c r="Z270" s="321" t="s">
        <v>1648</v>
      </c>
      <c r="AA270" s="321" t="s">
        <v>1648</v>
      </c>
      <c r="AB270" s="321" t="s">
        <v>1648</v>
      </c>
      <c r="AC270" s="321" t="s">
        <v>1648</v>
      </c>
      <c r="AD270" s="321" t="s">
        <v>1649</v>
      </c>
      <c r="AE270" s="321" t="s">
        <v>1649</v>
      </c>
      <c r="AF270" s="321" t="s">
        <v>1648</v>
      </c>
      <c r="AG270" s="321" t="s">
        <v>1648</v>
      </c>
      <c r="AH270" s="300" t="s">
        <v>1613</v>
      </c>
      <c r="AI270" s="321" t="s">
        <v>1649</v>
      </c>
      <c r="AJ270" s="321" t="s">
        <v>1649</v>
      </c>
      <c r="AK270" s="321" t="s">
        <v>1649</v>
      </c>
      <c r="AL270" s="321" t="s">
        <v>1649</v>
      </c>
      <c r="AM270" s="321" t="s">
        <v>1649</v>
      </c>
      <c r="AN270" s="321" t="s">
        <v>1649</v>
      </c>
      <c r="AO270" s="321" t="s">
        <v>1648</v>
      </c>
      <c r="AP270" s="321" t="s">
        <v>1648</v>
      </c>
      <c r="AQ270" s="321" t="s">
        <v>1649</v>
      </c>
      <c r="AR270" s="321" t="s">
        <v>1649</v>
      </c>
      <c r="AS270" s="321" t="s">
        <v>1649</v>
      </c>
      <c r="AT270" s="321" t="s">
        <v>1649</v>
      </c>
      <c r="AU270" s="301" t="s">
        <v>1613</v>
      </c>
    </row>
    <row r="271" spans="1:47" ht="13.5" thickBot="1" x14ac:dyDescent="0.25">
      <c r="A271" s="48" t="s">
        <v>404</v>
      </c>
      <c r="B271" s="291" t="s">
        <v>403</v>
      </c>
      <c r="C271" s="298" t="s">
        <v>22</v>
      </c>
      <c r="D271" s="304"/>
      <c r="E271" s="305"/>
      <c r="F271" s="305"/>
      <c r="G271" s="304"/>
      <c r="H271" s="305"/>
      <c r="I271" s="305"/>
      <c r="J271" s="302">
        <v>35</v>
      </c>
      <c r="K271" s="303">
        <v>32760</v>
      </c>
      <c r="L271" s="303">
        <v>38948</v>
      </c>
      <c r="M271" s="302">
        <v>35</v>
      </c>
      <c r="N271" s="303">
        <v>27300</v>
      </c>
      <c r="O271" s="303">
        <v>32451</v>
      </c>
      <c r="P271" s="302">
        <v>19</v>
      </c>
      <c r="Q271" s="303">
        <v>12844</v>
      </c>
      <c r="R271" s="303">
        <v>15265</v>
      </c>
      <c r="S271" s="302">
        <v>17</v>
      </c>
      <c r="T271" s="303">
        <v>8354</v>
      </c>
      <c r="U271" s="303">
        <v>9927</v>
      </c>
      <c r="V271" s="321" t="s">
        <v>1648</v>
      </c>
      <c r="W271" s="321" t="s">
        <v>1648</v>
      </c>
      <c r="X271" s="321" t="s">
        <v>1648</v>
      </c>
      <c r="Y271" s="321" t="s">
        <v>1648</v>
      </c>
      <c r="Z271" s="321" t="s">
        <v>1648</v>
      </c>
      <c r="AA271" s="321" t="s">
        <v>1648</v>
      </c>
      <c r="AB271" s="321" t="s">
        <v>1648</v>
      </c>
      <c r="AC271" s="321" t="s">
        <v>1648</v>
      </c>
      <c r="AD271" s="321" t="s">
        <v>1648</v>
      </c>
      <c r="AE271" s="321" t="s">
        <v>1648</v>
      </c>
      <c r="AF271" s="321" t="s">
        <v>1649</v>
      </c>
      <c r="AG271" s="321" t="s">
        <v>1649</v>
      </c>
      <c r="AH271" s="165" t="s">
        <v>3568</v>
      </c>
      <c r="AI271" s="321" t="s">
        <v>1649</v>
      </c>
      <c r="AJ271" s="321" t="s">
        <v>1649</v>
      </c>
      <c r="AK271" s="321" t="s">
        <v>1649</v>
      </c>
      <c r="AL271" s="321" t="s">
        <v>1649</v>
      </c>
      <c r="AM271" s="321" t="s">
        <v>1649</v>
      </c>
      <c r="AN271" s="321" t="s">
        <v>1648</v>
      </c>
      <c r="AO271" s="321" t="s">
        <v>1648</v>
      </c>
      <c r="AP271" s="321" t="s">
        <v>1648</v>
      </c>
      <c r="AQ271" s="321" t="s">
        <v>1648</v>
      </c>
      <c r="AR271" s="321" t="s">
        <v>1648</v>
      </c>
      <c r="AS271" s="321" t="s">
        <v>1649</v>
      </c>
      <c r="AT271" s="321" t="s">
        <v>1649</v>
      </c>
      <c r="AU271" s="307" t="s">
        <v>3568</v>
      </c>
    </row>
    <row r="272" spans="1:47" ht="13.5" thickBot="1" x14ac:dyDescent="0.25">
      <c r="A272" s="48" t="s">
        <v>423</v>
      </c>
      <c r="B272" s="291" t="s">
        <v>422</v>
      </c>
      <c r="C272" s="298" t="s">
        <v>22</v>
      </c>
      <c r="D272" s="299" t="s">
        <v>1613</v>
      </c>
      <c r="E272" s="299" t="s">
        <v>1613</v>
      </c>
      <c r="F272" s="299" t="s">
        <v>1613</v>
      </c>
      <c r="G272" s="299" t="s">
        <v>1613</v>
      </c>
      <c r="H272" s="299" t="s">
        <v>1613</v>
      </c>
      <c r="I272" s="299" t="s">
        <v>1613</v>
      </c>
      <c r="J272" s="299" t="s">
        <v>1613</v>
      </c>
      <c r="K272" s="299" t="s">
        <v>1613</v>
      </c>
      <c r="L272" s="299" t="s">
        <v>1613</v>
      </c>
      <c r="M272" s="302">
        <v>40</v>
      </c>
      <c r="N272" s="303">
        <v>40000</v>
      </c>
      <c r="O272" s="303">
        <v>40000</v>
      </c>
      <c r="P272" s="299" t="s">
        <v>1613</v>
      </c>
      <c r="Q272" s="299" t="s">
        <v>1613</v>
      </c>
      <c r="R272" s="299" t="s">
        <v>1613</v>
      </c>
      <c r="S272" s="302">
        <v>22</v>
      </c>
      <c r="T272" s="303">
        <v>8320</v>
      </c>
      <c r="U272" s="303">
        <v>18096</v>
      </c>
      <c r="V272" s="321" t="s">
        <v>1648</v>
      </c>
      <c r="W272" s="321" t="s">
        <v>1648</v>
      </c>
      <c r="X272" s="321" t="s">
        <v>1648</v>
      </c>
      <c r="Y272" s="321" t="s">
        <v>1649</v>
      </c>
      <c r="Z272" s="321" t="s">
        <v>1648</v>
      </c>
      <c r="AA272" s="321" t="s">
        <v>1649</v>
      </c>
      <c r="AB272" s="321" t="s">
        <v>1649</v>
      </c>
      <c r="AC272" s="321" t="s">
        <v>1648</v>
      </c>
      <c r="AD272" s="321" t="s">
        <v>1649</v>
      </c>
      <c r="AE272" s="321" t="s">
        <v>1649</v>
      </c>
      <c r="AF272" s="321" t="s">
        <v>1648</v>
      </c>
      <c r="AG272" s="321" t="s">
        <v>1649</v>
      </c>
      <c r="AH272" s="300"/>
      <c r="AI272" s="321" t="s">
        <v>1649</v>
      </c>
      <c r="AJ272" s="321" t="s">
        <v>1649</v>
      </c>
      <c r="AK272" s="321" t="s">
        <v>1649</v>
      </c>
      <c r="AL272" s="321" t="s">
        <v>1649</v>
      </c>
      <c r="AM272" s="321" t="s">
        <v>1649</v>
      </c>
      <c r="AN272" s="321" t="s">
        <v>1649</v>
      </c>
      <c r="AO272" s="321" t="s">
        <v>1649</v>
      </c>
      <c r="AP272" s="321" t="s">
        <v>1649</v>
      </c>
      <c r="AQ272" s="321" t="s">
        <v>1649</v>
      </c>
      <c r="AR272" s="321" t="s">
        <v>1649</v>
      </c>
      <c r="AS272" s="321" t="s">
        <v>1649</v>
      </c>
      <c r="AT272" s="321" t="s">
        <v>1649</v>
      </c>
      <c r="AU272" s="301" t="s">
        <v>1613</v>
      </c>
    </row>
    <row r="273" spans="1:47" ht="13.5" thickBot="1" x14ac:dyDescent="0.25">
      <c r="A273" s="48" t="s">
        <v>439</v>
      </c>
      <c r="B273" s="291" t="s">
        <v>438</v>
      </c>
      <c r="C273" s="298" t="s">
        <v>22</v>
      </c>
      <c r="D273" s="299" t="s">
        <v>1613</v>
      </c>
      <c r="E273" s="299" t="s">
        <v>1613</v>
      </c>
      <c r="F273" s="299" t="s">
        <v>1613</v>
      </c>
      <c r="G273" s="302">
        <v>40</v>
      </c>
      <c r="H273" s="303">
        <v>43000</v>
      </c>
      <c r="I273" s="303">
        <v>55000</v>
      </c>
      <c r="J273" s="302">
        <v>40</v>
      </c>
      <c r="K273" s="303">
        <v>37440</v>
      </c>
      <c r="L273" s="303">
        <v>50000</v>
      </c>
      <c r="M273" s="302">
        <v>40</v>
      </c>
      <c r="N273" s="303">
        <v>30000</v>
      </c>
      <c r="O273" s="303">
        <v>45000</v>
      </c>
      <c r="P273" s="302">
        <v>40</v>
      </c>
      <c r="Q273" s="303">
        <v>33280</v>
      </c>
      <c r="R273" s="303">
        <v>50000</v>
      </c>
      <c r="S273" s="302">
        <v>20</v>
      </c>
      <c r="T273" s="303">
        <v>10400</v>
      </c>
      <c r="U273" s="303">
        <v>16982</v>
      </c>
      <c r="V273" s="321" t="s">
        <v>1648</v>
      </c>
      <c r="W273" s="321" t="s">
        <v>1649</v>
      </c>
      <c r="X273" s="321" t="s">
        <v>1648</v>
      </c>
      <c r="Y273" s="321" t="s">
        <v>1649</v>
      </c>
      <c r="Z273" s="321" t="s">
        <v>1649</v>
      </c>
      <c r="AA273" s="321" t="s">
        <v>1648</v>
      </c>
      <c r="AB273" s="321" t="s">
        <v>1648</v>
      </c>
      <c r="AC273" s="321" t="s">
        <v>1648</v>
      </c>
      <c r="AD273" s="321" t="s">
        <v>1648</v>
      </c>
      <c r="AE273" s="321" t="s">
        <v>1649</v>
      </c>
      <c r="AF273" s="321" t="s">
        <v>1649</v>
      </c>
      <c r="AG273" s="321" t="s">
        <v>1649</v>
      </c>
      <c r="AH273" s="300" t="s">
        <v>1613</v>
      </c>
      <c r="AI273" s="321" t="s">
        <v>1649</v>
      </c>
      <c r="AJ273" s="321" t="s">
        <v>1649</v>
      </c>
      <c r="AK273" s="321" t="s">
        <v>1649</v>
      </c>
      <c r="AL273" s="321" t="s">
        <v>1649</v>
      </c>
      <c r="AM273" s="321" t="s">
        <v>1649</v>
      </c>
      <c r="AN273" s="321" t="s">
        <v>1648</v>
      </c>
      <c r="AO273" s="321" t="s">
        <v>1648</v>
      </c>
      <c r="AP273" s="321" t="s">
        <v>1648</v>
      </c>
      <c r="AQ273" s="321" t="s">
        <v>1649</v>
      </c>
      <c r="AR273" s="321" t="s">
        <v>1649</v>
      </c>
      <c r="AS273" s="321" t="s">
        <v>1649</v>
      </c>
      <c r="AT273" s="321" t="s">
        <v>1649</v>
      </c>
      <c r="AU273" s="301" t="s">
        <v>1613</v>
      </c>
    </row>
    <row r="274" spans="1:47" ht="13.5" thickBot="1" x14ac:dyDescent="0.25">
      <c r="A274" s="48" t="s">
        <v>452</v>
      </c>
      <c r="B274" s="291" t="s">
        <v>451</v>
      </c>
      <c r="C274" s="298" t="s">
        <v>22</v>
      </c>
      <c r="D274" s="304"/>
      <c r="E274" s="305"/>
      <c r="F274" s="305"/>
      <c r="G274" s="304"/>
      <c r="H274" s="305"/>
      <c r="I274" s="305"/>
      <c r="J274" s="302">
        <v>40</v>
      </c>
      <c r="K274" s="303">
        <v>38000</v>
      </c>
      <c r="L274" s="303">
        <v>48200</v>
      </c>
      <c r="M274" s="304"/>
      <c r="N274" s="305"/>
      <c r="O274" s="305"/>
      <c r="P274" s="302">
        <v>40</v>
      </c>
      <c r="Q274" s="303">
        <v>45000</v>
      </c>
      <c r="R274" s="303">
        <v>50100</v>
      </c>
      <c r="S274" s="302">
        <v>35</v>
      </c>
      <c r="T274" s="303">
        <v>15000</v>
      </c>
      <c r="U274" s="303">
        <v>32200</v>
      </c>
      <c r="V274" s="321" t="s">
        <v>1648</v>
      </c>
      <c r="W274" s="321" t="s">
        <v>1648</v>
      </c>
      <c r="X274" s="321" t="s">
        <v>1649</v>
      </c>
      <c r="Y274" s="321" t="s">
        <v>1648</v>
      </c>
      <c r="Z274" s="321" t="s">
        <v>1648</v>
      </c>
      <c r="AA274" s="321" t="s">
        <v>1648</v>
      </c>
      <c r="AB274" s="321" t="s">
        <v>1648</v>
      </c>
      <c r="AC274" s="321" t="s">
        <v>1648</v>
      </c>
      <c r="AD274" s="321" t="s">
        <v>1648</v>
      </c>
      <c r="AE274" s="321" t="s">
        <v>1649</v>
      </c>
      <c r="AF274" s="321" t="s">
        <v>1648</v>
      </c>
      <c r="AG274" s="321" t="s">
        <v>1649</v>
      </c>
      <c r="AH274" s="300" t="s">
        <v>1613</v>
      </c>
      <c r="AI274" s="321" t="s">
        <v>1649</v>
      </c>
      <c r="AJ274" s="321" t="s">
        <v>1649</v>
      </c>
      <c r="AK274" s="321" t="s">
        <v>1649</v>
      </c>
      <c r="AL274" s="321" t="s">
        <v>1649</v>
      </c>
      <c r="AM274" s="321" t="s">
        <v>1649</v>
      </c>
      <c r="AN274" s="321" t="s">
        <v>1648</v>
      </c>
      <c r="AO274" s="321" t="s">
        <v>1648</v>
      </c>
      <c r="AP274" s="321" t="s">
        <v>1648</v>
      </c>
      <c r="AQ274" s="321" t="s">
        <v>1648</v>
      </c>
      <c r="AR274" s="321" t="s">
        <v>1649</v>
      </c>
      <c r="AS274" s="321" t="s">
        <v>1648</v>
      </c>
      <c r="AT274" s="321" t="s">
        <v>1649</v>
      </c>
      <c r="AU274" s="301" t="s">
        <v>1613</v>
      </c>
    </row>
    <row r="275" spans="1:47" ht="13.5" thickBot="1" x14ac:dyDescent="0.25">
      <c r="A275" s="48" t="s">
        <v>458</v>
      </c>
      <c r="B275" s="291" t="s">
        <v>457</v>
      </c>
      <c r="C275" s="298" t="s">
        <v>22</v>
      </c>
      <c r="D275" s="302">
        <v>40</v>
      </c>
      <c r="E275" s="303">
        <v>32000</v>
      </c>
      <c r="F275" s="303">
        <v>57000</v>
      </c>
      <c r="G275" s="304"/>
      <c r="H275" s="305"/>
      <c r="I275" s="305"/>
      <c r="J275" s="302">
        <v>40</v>
      </c>
      <c r="K275" s="303">
        <v>32000</v>
      </c>
      <c r="L275" s="303">
        <v>50000</v>
      </c>
      <c r="M275" s="302">
        <v>40</v>
      </c>
      <c r="N275" s="303">
        <v>31200</v>
      </c>
      <c r="O275" s="303">
        <v>38500</v>
      </c>
      <c r="P275" s="304"/>
      <c r="Q275" s="305"/>
      <c r="R275" s="305"/>
      <c r="S275" s="302">
        <v>20</v>
      </c>
      <c r="T275" s="303">
        <v>12480</v>
      </c>
      <c r="U275" s="303">
        <v>15000</v>
      </c>
      <c r="V275" s="321" t="s">
        <v>1648</v>
      </c>
      <c r="W275" s="321" t="s">
        <v>1648</v>
      </c>
      <c r="X275" s="321" t="s">
        <v>1648</v>
      </c>
      <c r="Y275" s="321" t="s">
        <v>1648</v>
      </c>
      <c r="Z275" s="321" t="s">
        <v>1648</v>
      </c>
      <c r="AA275" s="321" t="s">
        <v>1648</v>
      </c>
      <c r="AB275" s="321" t="s">
        <v>1648</v>
      </c>
      <c r="AC275" s="321" t="s">
        <v>1648</v>
      </c>
      <c r="AD275" s="321" t="s">
        <v>1649</v>
      </c>
      <c r="AE275" s="321" t="s">
        <v>1648</v>
      </c>
      <c r="AF275" s="321" t="s">
        <v>1649</v>
      </c>
      <c r="AG275" s="321" t="s">
        <v>1649</v>
      </c>
      <c r="AH275" s="300"/>
      <c r="AI275" s="321" t="s">
        <v>1649</v>
      </c>
      <c r="AJ275" s="321" t="s">
        <v>1649</v>
      </c>
      <c r="AK275" s="321" t="s">
        <v>1649</v>
      </c>
      <c r="AL275" s="321" t="s">
        <v>1649</v>
      </c>
      <c r="AM275" s="321" t="s">
        <v>1649</v>
      </c>
      <c r="AN275" s="321" t="s">
        <v>1649</v>
      </c>
      <c r="AO275" s="321" t="s">
        <v>1649</v>
      </c>
      <c r="AP275" s="321" t="s">
        <v>1648</v>
      </c>
      <c r="AQ275" s="321" t="s">
        <v>1649</v>
      </c>
      <c r="AR275" s="321" t="s">
        <v>1649</v>
      </c>
      <c r="AS275" s="321" t="s">
        <v>1649</v>
      </c>
      <c r="AT275" s="321" t="s">
        <v>1649</v>
      </c>
      <c r="AU275" s="301"/>
    </row>
    <row r="276" spans="1:47" ht="13.5" thickBot="1" x14ac:dyDescent="0.25">
      <c r="A276" s="48" t="s">
        <v>472</v>
      </c>
      <c r="B276" s="291" t="s">
        <v>471</v>
      </c>
      <c r="C276" s="298" t="s">
        <v>22</v>
      </c>
      <c r="D276" s="302">
        <v>40</v>
      </c>
      <c r="E276" s="303">
        <v>41168</v>
      </c>
      <c r="F276" s="303">
        <v>44944</v>
      </c>
      <c r="G276" s="302">
        <v>38</v>
      </c>
      <c r="H276" s="303">
        <v>28020</v>
      </c>
      <c r="I276" s="303">
        <v>36417</v>
      </c>
      <c r="J276" s="302">
        <v>38</v>
      </c>
      <c r="K276" s="303">
        <v>36457</v>
      </c>
      <c r="L276" s="303">
        <v>47424</v>
      </c>
      <c r="M276" s="302">
        <v>38</v>
      </c>
      <c r="N276" s="303">
        <v>30173</v>
      </c>
      <c r="O276" s="303">
        <v>39224</v>
      </c>
      <c r="P276" s="302">
        <v>38</v>
      </c>
      <c r="Q276" s="303">
        <v>28711</v>
      </c>
      <c r="R276" s="303">
        <v>37827</v>
      </c>
      <c r="S276" s="302">
        <v>38</v>
      </c>
      <c r="T276" s="303">
        <v>22230</v>
      </c>
      <c r="U276" s="303">
        <v>28830</v>
      </c>
      <c r="V276" s="321" t="s">
        <v>1648</v>
      </c>
      <c r="W276" s="321" t="s">
        <v>1648</v>
      </c>
      <c r="X276" s="321" t="s">
        <v>1648</v>
      </c>
      <c r="Y276" s="321" t="s">
        <v>1648</v>
      </c>
      <c r="Z276" s="321" t="s">
        <v>1648</v>
      </c>
      <c r="AA276" s="321" t="s">
        <v>1649</v>
      </c>
      <c r="AB276" s="321" t="s">
        <v>1648</v>
      </c>
      <c r="AC276" s="321" t="s">
        <v>1648</v>
      </c>
      <c r="AD276" s="321" t="s">
        <v>1648</v>
      </c>
      <c r="AE276" s="321" t="s">
        <v>1648</v>
      </c>
      <c r="AF276" s="321" t="s">
        <v>1648</v>
      </c>
      <c r="AG276" s="321" t="s">
        <v>1649</v>
      </c>
      <c r="AH276" s="300" t="s">
        <v>1613</v>
      </c>
      <c r="AI276" s="321" t="s">
        <v>1649</v>
      </c>
      <c r="AJ276" s="321" t="s">
        <v>1649</v>
      </c>
      <c r="AK276" s="321" t="s">
        <v>1649</v>
      </c>
      <c r="AL276" s="321" t="s">
        <v>1648</v>
      </c>
      <c r="AM276" s="321" t="s">
        <v>1649</v>
      </c>
      <c r="AN276" s="321" t="s">
        <v>1649</v>
      </c>
      <c r="AO276" s="321" t="s">
        <v>1648</v>
      </c>
      <c r="AP276" s="321" t="s">
        <v>1648</v>
      </c>
      <c r="AQ276" s="321" t="s">
        <v>1648</v>
      </c>
      <c r="AR276" s="321" t="s">
        <v>1649</v>
      </c>
      <c r="AS276" s="321" t="s">
        <v>1648</v>
      </c>
      <c r="AT276" s="321" t="s">
        <v>1649</v>
      </c>
      <c r="AU276" s="301" t="s">
        <v>1613</v>
      </c>
    </row>
    <row r="277" spans="1:47" ht="13.5" thickBot="1" x14ac:dyDescent="0.25">
      <c r="A277" s="48" t="s">
        <v>482</v>
      </c>
      <c r="B277" s="291" t="s">
        <v>481</v>
      </c>
      <c r="C277" s="298" t="s">
        <v>22</v>
      </c>
      <c r="D277" s="302">
        <v>40</v>
      </c>
      <c r="E277" s="303">
        <v>54000</v>
      </c>
      <c r="F277" s="303">
        <v>71000</v>
      </c>
      <c r="G277" s="302">
        <v>40</v>
      </c>
      <c r="H277" s="303">
        <v>43800</v>
      </c>
      <c r="I277" s="303">
        <v>56000</v>
      </c>
      <c r="J277" s="299" t="s">
        <v>1613</v>
      </c>
      <c r="K277" s="299" t="s">
        <v>1613</v>
      </c>
      <c r="L277" s="299" t="s">
        <v>1613</v>
      </c>
      <c r="M277" s="302">
        <v>40</v>
      </c>
      <c r="N277" s="303">
        <v>36500</v>
      </c>
      <c r="O277" s="303">
        <v>48600</v>
      </c>
      <c r="P277" s="302">
        <v>40</v>
      </c>
      <c r="Q277" s="303">
        <v>43800</v>
      </c>
      <c r="R277" s="303">
        <v>56000</v>
      </c>
      <c r="S277" s="302">
        <v>30</v>
      </c>
      <c r="T277" s="303">
        <v>17350</v>
      </c>
      <c r="U277" s="303">
        <v>29500</v>
      </c>
      <c r="V277" s="321" t="s">
        <v>1648</v>
      </c>
      <c r="W277" s="321" t="s">
        <v>1648</v>
      </c>
      <c r="X277" s="321" t="s">
        <v>1649</v>
      </c>
      <c r="Y277" s="321" t="s">
        <v>1649</v>
      </c>
      <c r="Z277" s="321" t="s">
        <v>1648</v>
      </c>
      <c r="AA277" s="321" t="s">
        <v>1648</v>
      </c>
      <c r="AB277" s="321" t="s">
        <v>1648</v>
      </c>
      <c r="AC277" s="321" t="s">
        <v>1648</v>
      </c>
      <c r="AD277" s="321" t="s">
        <v>1648</v>
      </c>
      <c r="AE277" s="321" t="s">
        <v>1649</v>
      </c>
      <c r="AF277" s="321" t="s">
        <v>1649</v>
      </c>
      <c r="AG277" s="321" t="s">
        <v>1649</v>
      </c>
      <c r="AH277" s="300" t="s">
        <v>1613</v>
      </c>
      <c r="AI277" s="321" t="s">
        <v>1648</v>
      </c>
      <c r="AJ277" s="321" t="s">
        <v>1648</v>
      </c>
      <c r="AK277" s="321" t="s">
        <v>1649</v>
      </c>
      <c r="AL277" s="321" t="s">
        <v>1649</v>
      </c>
      <c r="AM277" s="321" t="s">
        <v>1648</v>
      </c>
      <c r="AN277" s="321" t="s">
        <v>1648</v>
      </c>
      <c r="AO277" s="321" t="s">
        <v>1648</v>
      </c>
      <c r="AP277" s="321" t="s">
        <v>1648</v>
      </c>
      <c r="AQ277" s="321" t="s">
        <v>1648</v>
      </c>
      <c r="AR277" s="321" t="s">
        <v>1649</v>
      </c>
      <c r="AS277" s="321" t="s">
        <v>1649</v>
      </c>
      <c r="AT277" s="321" t="s">
        <v>1649</v>
      </c>
      <c r="AU277" s="301" t="s">
        <v>1613</v>
      </c>
    </row>
    <row r="278" spans="1:47" ht="13.5" thickBot="1" x14ac:dyDescent="0.25">
      <c r="A278" s="48" t="s">
        <v>486</v>
      </c>
      <c r="B278" s="291" t="s">
        <v>485</v>
      </c>
      <c r="C278" s="298" t="s">
        <v>22</v>
      </c>
      <c r="D278" s="302">
        <v>32</v>
      </c>
      <c r="E278" s="303">
        <v>27400</v>
      </c>
      <c r="F278" s="303">
        <v>37200</v>
      </c>
      <c r="G278" s="302">
        <v>40</v>
      </c>
      <c r="H278" s="303">
        <v>30300</v>
      </c>
      <c r="I278" s="303">
        <v>41200</v>
      </c>
      <c r="J278" s="302">
        <v>40</v>
      </c>
      <c r="K278" s="303">
        <v>24700</v>
      </c>
      <c r="L278" s="303">
        <v>33500</v>
      </c>
      <c r="M278" s="302">
        <v>20</v>
      </c>
      <c r="N278" s="303">
        <v>12300</v>
      </c>
      <c r="O278" s="303">
        <v>16800</v>
      </c>
      <c r="P278" s="302">
        <v>40</v>
      </c>
      <c r="Q278" s="303">
        <v>24700</v>
      </c>
      <c r="R278" s="303">
        <v>33500</v>
      </c>
      <c r="S278" s="299" t="s">
        <v>1613</v>
      </c>
      <c r="T278" s="299" t="s">
        <v>1613</v>
      </c>
      <c r="U278" s="299" t="s">
        <v>1613</v>
      </c>
      <c r="V278" s="321" t="s">
        <v>1648</v>
      </c>
      <c r="W278" s="321" t="s">
        <v>1648</v>
      </c>
      <c r="X278" s="321" t="s">
        <v>1648</v>
      </c>
      <c r="Y278" s="321" t="s">
        <v>1648</v>
      </c>
      <c r="Z278" s="321" t="s">
        <v>1648</v>
      </c>
      <c r="AA278" s="321" t="s">
        <v>1648</v>
      </c>
      <c r="AB278" s="321" t="s">
        <v>1648</v>
      </c>
      <c r="AC278" s="321" t="s">
        <v>1648</v>
      </c>
      <c r="AD278" s="321" t="s">
        <v>1648</v>
      </c>
      <c r="AE278" s="321" t="s">
        <v>1648</v>
      </c>
      <c r="AF278" s="321" t="s">
        <v>1648</v>
      </c>
      <c r="AG278" s="321" t="s">
        <v>1649</v>
      </c>
      <c r="AH278" s="300" t="s">
        <v>1613</v>
      </c>
      <c r="AI278" s="321" t="s">
        <v>1649</v>
      </c>
      <c r="AJ278" s="321" t="s">
        <v>1649</v>
      </c>
      <c r="AK278" s="321" t="s">
        <v>1649</v>
      </c>
      <c r="AL278" s="321" t="s">
        <v>1649</v>
      </c>
      <c r="AM278" s="321" t="s">
        <v>1649</v>
      </c>
      <c r="AN278" s="321" t="s">
        <v>1648</v>
      </c>
      <c r="AO278" s="321" t="s">
        <v>1648</v>
      </c>
      <c r="AP278" s="321" t="s">
        <v>1648</v>
      </c>
      <c r="AQ278" s="321" t="s">
        <v>1649</v>
      </c>
      <c r="AR278" s="321" t="s">
        <v>1648</v>
      </c>
      <c r="AS278" s="321" t="s">
        <v>1648</v>
      </c>
      <c r="AT278" s="321" t="s">
        <v>1649</v>
      </c>
      <c r="AU278" s="301" t="s">
        <v>1613</v>
      </c>
    </row>
    <row r="279" spans="1:47" ht="13.5" thickBot="1" x14ac:dyDescent="0.25">
      <c r="A279" s="48" t="s">
        <v>496</v>
      </c>
      <c r="B279" s="291" t="s">
        <v>495</v>
      </c>
      <c r="C279" s="298" t="s">
        <v>22</v>
      </c>
      <c r="D279" s="299" t="s">
        <v>1613</v>
      </c>
      <c r="E279" s="299" t="s">
        <v>1613</v>
      </c>
      <c r="F279" s="299" t="s">
        <v>1613</v>
      </c>
      <c r="G279" s="299" t="s">
        <v>1613</v>
      </c>
      <c r="H279" s="299" t="s">
        <v>1613</v>
      </c>
      <c r="I279" s="299" t="s">
        <v>1613</v>
      </c>
      <c r="J279" s="299" t="s">
        <v>1613</v>
      </c>
      <c r="K279" s="299" t="s">
        <v>1613</v>
      </c>
      <c r="L279" s="299" t="s">
        <v>1613</v>
      </c>
      <c r="M279" s="302">
        <v>40</v>
      </c>
      <c r="N279" s="303">
        <v>34986</v>
      </c>
      <c r="O279" s="303">
        <v>41984</v>
      </c>
      <c r="P279" s="299" t="s">
        <v>1613</v>
      </c>
      <c r="Q279" s="299" t="s">
        <v>1613</v>
      </c>
      <c r="R279" s="299" t="s">
        <v>1613</v>
      </c>
      <c r="S279" s="302">
        <v>25</v>
      </c>
      <c r="T279" s="303">
        <v>17502</v>
      </c>
      <c r="U279" s="303">
        <v>21877</v>
      </c>
      <c r="V279" s="321" t="s">
        <v>1648</v>
      </c>
      <c r="W279" s="321" t="s">
        <v>1648</v>
      </c>
      <c r="X279" s="321" t="s">
        <v>1648</v>
      </c>
      <c r="Y279" s="321" t="s">
        <v>1648</v>
      </c>
      <c r="Z279" s="321" t="s">
        <v>1648</v>
      </c>
      <c r="AA279" s="321" t="s">
        <v>1648</v>
      </c>
      <c r="AB279" s="321" t="s">
        <v>1648</v>
      </c>
      <c r="AC279" s="321" t="s">
        <v>1648</v>
      </c>
      <c r="AD279" s="321" t="s">
        <v>1648</v>
      </c>
      <c r="AE279" s="321" t="s">
        <v>1648</v>
      </c>
      <c r="AF279" s="321" t="s">
        <v>1648</v>
      </c>
      <c r="AG279" s="321" t="s">
        <v>1648</v>
      </c>
      <c r="AH279" s="300" t="s">
        <v>1613</v>
      </c>
      <c r="AI279" s="321" t="s">
        <v>1649</v>
      </c>
      <c r="AJ279" s="321" t="s">
        <v>1649</v>
      </c>
      <c r="AK279" s="321" t="s">
        <v>1649</v>
      </c>
      <c r="AL279" s="321" t="s">
        <v>1649</v>
      </c>
      <c r="AM279" s="321" t="s">
        <v>1649</v>
      </c>
      <c r="AN279" s="321" t="s">
        <v>1649</v>
      </c>
      <c r="AO279" s="321" t="s">
        <v>1649</v>
      </c>
      <c r="AP279" s="321" t="s">
        <v>1649</v>
      </c>
      <c r="AQ279" s="321" t="s">
        <v>1649</v>
      </c>
      <c r="AR279" s="321" t="s">
        <v>1649</v>
      </c>
      <c r="AS279" s="321" t="s">
        <v>1649</v>
      </c>
      <c r="AT279" s="321" t="s">
        <v>1648</v>
      </c>
      <c r="AU279" s="301" t="s">
        <v>1613</v>
      </c>
    </row>
    <row r="280" spans="1:47" ht="13.5" thickBot="1" x14ac:dyDescent="0.25">
      <c r="A280" s="48" t="s">
        <v>500</v>
      </c>
      <c r="B280" s="291" t="s">
        <v>499</v>
      </c>
      <c r="C280" s="298" t="s">
        <v>22</v>
      </c>
      <c r="D280" s="302">
        <v>24</v>
      </c>
      <c r="E280" s="303">
        <v>15000</v>
      </c>
      <c r="F280" s="303">
        <v>25000</v>
      </c>
      <c r="G280" s="304"/>
      <c r="H280" s="305"/>
      <c r="I280" s="305"/>
      <c r="J280" s="302">
        <v>24</v>
      </c>
      <c r="K280" s="303">
        <v>15000</v>
      </c>
      <c r="L280" s="303">
        <v>25000</v>
      </c>
      <c r="M280" s="302">
        <v>16</v>
      </c>
      <c r="N280" s="303">
        <v>15000</v>
      </c>
      <c r="O280" s="303">
        <v>25000</v>
      </c>
      <c r="P280" s="304"/>
      <c r="Q280" s="305"/>
      <c r="R280" s="305"/>
      <c r="S280" s="302">
        <v>29</v>
      </c>
      <c r="T280" s="303">
        <v>8500</v>
      </c>
      <c r="U280" s="303">
        <v>13500</v>
      </c>
      <c r="V280" s="321" t="s">
        <v>1648</v>
      </c>
      <c r="W280" s="321" t="s">
        <v>1648</v>
      </c>
      <c r="X280" s="321" t="s">
        <v>1648</v>
      </c>
      <c r="Y280" s="321" t="s">
        <v>1648</v>
      </c>
      <c r="Z280" s="321" t="s">
        <v>1648</v>
      </c>
      <c r="AA280" s="321" t="s">
        <v>1648</v>
      </c>
      <c r="AB280" s="321" t="s">
        <v>1648</v>
      </c>
      <c r="AC280" s="321" t="s">
        <v>1648</v>
      </c>
      <c r="AD280" s="321" t="s">
        <v>1649</v>
      </c>
      <c r="AE280" s="321" t="s">
        <v>1648</v>
      </c>
      <c r="AF280" s="321" t="s">
        <v>1648</v>
      </c>
      <c r="AG280" s="321" t="s">
        <v>1649</v>
      </c>
      <c r="AH280" s="300" t="s">
        <v>1613</v>
      </c>
      <c r="AI280" s="321" t="s">
        <v>1649</v>
      </c>
      <c r="AJ280" s="321" t="s">
        <v>1649</v>
      </c>
      <c r="AK280" s="321" t="s">
        <v>1649</v>
      </c>
      <c r="AL280" s="321" t="s">
        <v>1649</v>
      </c>
      <c r="AM280" s="321" t="s">
        <v>1649</v>
      </c>
      <c r="AN280" s="321" t="s">
        <v>1648</v>
      </c>
      <c r="AO280" s="321" t="s">
        <v>1648</v>
      </c>
      <c r="AP280" s="321" t="s">
        <v>1649</v>
      </c>
      <c r="AQ280" s="321" t="s">
        <v>1649</v>
      </c>
      <c r="AR280" s="321" t="s">
        <v>1649</v>
      </c>
      <c r="AS280" s="321" t="s">
        <v>1648</v>
      </c>
      <c r="AT280" s="321" t="s">
        <v>1649</v>
      </c>
      <c r="AU280" s="301" t="s">
        <v>1613</v>
      </c>
    </row>
    <row r="281" spans="1:47" ht="13.5" thickBot="1" x14ac:dyDescent="0.25">
      <c r="A281" s="48" t="s">
        <v>502</v>
      </c>
      <c r="B281" s="291" t="s">
        <v>501</v>
      </c>
      <c r="C281" s="298" t="s">
        <v>22</v>
      </c>
      <c r="D281" s="304"/>
      <c r="E281" s="305"/>
      <c r="F281" s="305"/>
      <c r="G281" s="302">
        <v>38</v>
      </c>
      <c r="H281" s="303">
        <v>42000</v>
      </c>
      <c r="I281" s="303">
        <v>54505</v>
      </c>
      <c r="J281" s="304"/>
      <c r="K281" s="305"/>
      <c r="L281" s="305"/>
      <c r="M281" s="302">
        <v>38</v>
      </c>
      <c r="N281" s="303">
        <v>36500</v>
      </c>
      <c r="O281" s="303">
        <v>50000</v>
      </c>
      <c r="P281" s="304"/>
      <c r="Q281" s="305"/>
      <c r="R281" s="305"/>
      <c r="S281" s="302">
        <v>38</v>
      </c>
      <c r="T281" s="303">
        <v>22700</v>
      </c>
      <c r="U281" s="303">
        <v>32500</v>
      </c>
      <c r="V281" s="321" t="s">
        <v>1648</v>
      </c>
      <c r="W281" s="321" t="s">
        <v>1648</v>
      </c>
      <c r="X281" s="321" t="s">
        <v>1649</v>
      </c>
      <c r="Y281" s="321" t="s">
        <v>1648</v>
      </c>
      <c r="Z281" s="321" t="s">
        <v>1648</v>
      </c>
      <c r="AA281" s="321" t="s">
        <v>1648</v>
      </c>
      <c r="AB281" s="321" t="s">
        <v>1648</v>
      </c>
      <c r="AC281" s="321" t="s">
        <v>1648</v>
      </c>
      <c r="AD281" s="321" t="s">
        <v>1649</v>
      </c>
      <c r="AE281" s="321" t="s">
        <v>1649</v>
      </c>
      <c r="AF281" s="321" t="s">
        <v>1648</v>
      </c>
      <c r="AG281" s="321" t="s">
        <v>1649</v>
      </c>
      <c r="AH281" s="300"/>
      <c r="AI281" s="321" t="s">
        <v>1649</v>
      </c>
      <c r="AJ281" s="321" t="s">
        <v>1649</v>
      </c>
      <c r="AK281" s="321" t="s">
        <v>1649</v>
      </c>
      <c r="AL281" s="321" t="s">
        <v>1649</v>
      </c>
      <c r="AM281" s="321" t="s">
        <v>1649</v>
      </c>
      <c r="AN281" s="321" t="s">
        <v>1649</v>
      </c>
      <c r="AO281" s="321" t="s">
        <v>1649</v>
      </c>
      <c r="AP281" s="321" t="s">
        <v>1649</v>
      </c>
      <c r="AQ281" s="321" t="s">
        <v>1649</v>
      </c>
      <c r="AR281" s="321" t="s">
        <v>1649</v>
      </c>
      <c r="AS281" s="321" t="s">
        <v>1649</v>
      </c>
      <c r="AT281" s="321" t="s">
        <v>1649</v>
      </c>
      <c r="AU281" s="307" t="s">
        <v>3675</v>
      </c>
    </row>
    <row r="282" spans="1:47" ht="13.5" thickBot="1" x14ac:dyDescent="0.25">
      <c r="A282" s="48" t="s">
        <v>506</v>
      </c>
      <c r="B282" s="291" t="s">
        <v>505</v>
      </c>
      <c r="C282" s="298" t="s">
        <v>22</v>
      </c>
      <c r="D282" s="304"/>
      <c r="E282" s="305"/>
      <c r="F282" s="305"/>
      <c r="G282" s="304"/>
      <c r="H282" s="305"/>
      <c r="I282" s="305"/>
      <c r="J282" s="304"/>
      <c r="K282" s="305"/>
      <c r="L282" s="305"/>
      <c r="M282" s="304"/>
      <c r="N282" s="305"/>
      <c r="O282" s="305"/>
      <c r="P282" s="304"/>
      <c r="Q282" s="305"/>
      <c r="R282" s="305"/>
      <c r="S282" s="302">
        <v>20</v>
      </c>
      <c r="T282" s="303">
        <v>10000</v>
      </c>
      <c r="U282" s="303">
        <v>18000</v>
      </c>
      <c r="V282" s="321" t="s">
        <v>1649</v>
      </c>
      <c r="W282" s="321" t="s">
        <v>1649</v>
      </c>
      <c r="X282" s="321" t="s">
        <v>1649</v>
      </c>
      <c r="Y282" s="321" t="s">
        <v>1649</v>
      </c>
      <c r="Z282" s="321" t="s">
        <v>1649</v>
      </c>
      <c r="AA282" s="321" t="s">
        <v>1649</v>
      </c>
      <c r="AB282" s="321" t="s">
        <v>1649</v>
      </c>
      <c r="AC282" s="321" t="s">
        <v>1649</v>
      </c>
      <c r="AD282" s="321" t="s">
        <v>1649</v>
      </c>
      <c r="AE282" s="321" t="s">
        <v>1649</v>
      </c>
      <c r="AF282" s="321" t="s">
        <v>1649</v>
      </c>
      <c r="AG282" s="321" t="s">
        <v>1649</v>
      </c>
      <c r="AH282" s="300" t="s">
        <v>1613</v>
      </c>
      <c r="AI282" s="321" t="s">
        <v>1649</v>
      </c>
      <c r="AJ282" s="321" t="s">
        <v>1649</v>
      </c>
      <c r="AK282" s="321" t="s">
        <v>1649</v>
      </c>
      <c r="AL282" s="321" t="s">
        <v>1649</v>
      </c>
      <c r="AM282" s="321" t="s">
        <v>1649</v>
      </c>
      <c r="AN282" s="321" t="s">
        <v>1648</v>
      </c>
      <c r="AO282" s="321" t="s">
        <v>1649</v>
      </c>
      <c r="AP282" s="321" t="s">
        <v>1648</v>
      </c>
      <c r="AQ282" s="321" t="s">
        <v>1649</v>
      </c>
      <c r="AR282" s="321" t="s">
        <v>1649</v>
      </c>
      <c r="AS282" s="321" t="s">
        <v>1649</v>
      </c>
      <c r="AT282" s="321" t="s">
        <v>1649</v>
      </c>
      <c r="AU282" s="307" t="s">
        <v>3577</v>
      </c>
    </row>
    <row r="283" spans="1:47" ht="13.5" thickBot="1" x14ac:dyDescent="0.25">
      <c r="A283" s="48" t="s">
        <v>516</v>
      </c>
      <c r="B283" s="291" t="s">
        <v>515</v>
      </c>
      <c r="C283" s="298" t="s">
        <v>22</v>
      </c>
      <c r="D283" s="302">
        <v>35</v>
      </c>
      <c r="E283" s="303">
        <v>65000</v>
      </c>
      <c r="F283" s="303">
        <v>80936</v>
      </c>
      <c r="G283" s="304"/>
      <c r="H283" s="305"/>
      <c r="I283" s="305"/>
      <c r="J283" s="302">
        <v>35</v>
      </c>
      <c r="K283" s="303">
        <v>37138</v>
      </c>
      <c r="L283" s="303">
        <v>61831</v>
      </c>
      <c r="M283" s="302">
        <v>35</v>
      </c>
      <c r="N283" s="303">
        <v>37881</v>
      </c>
      <c r="O283" s="303">
        <v>63068</v>
      </c>
      <c r="P283" s="304"/>
      <c r="Q283" s="305"/>
      <c r="R283" s="305"/>
      <c r="S283" s="302">
        <v>20</v>
      </c>
      <c r="T283" s="303">
        <v>12480</v>
      </c>
      <c r="U283" s="303">
        <v>15423</v>
      </c>
      <c r="V283" s="321" t="s">
        <v>1648</v>
      </c>
      <c r="W283" s="321" t="s">
        <v>1648</v>
      </c>
      <c r="X283" s="321" t="s">
        <v>1648</v>
      </c>
      <c r="Y283" s="321" t="s">
        <v>1648</v>
      </c>
      <c r="Z283" s="321" t="s">
        <v>1648</v>
      </c>
      <c r="AA283" s="321" t="s">
        <v>1648</v>
      </c>
      <c r="AB283" s="321" t="s">
        <v>1648</v>
      </c>
      <c r="AC283" s="321" t="s">
        <v>1648</v>
      </c>
      <c r="AD283" s="321" t="s">
        <v>1648</v>
      </c>
      <c r="AE283" s="321" t="s">
        <v>1648</v>
      </c>
      <c r="AF283" s="321" t="s">
        <v>1648</v>
      </c>
      <c r="AG283" s="321" t="s">
        <v>1648</v>
      </c>
      <c r="AH283" s="300" t="s">
        <v>1613</v>
      </c>
      <c r="AI283" s="321" t="s">
        <v>1649</v>
      </c>
      <c r="AJ283" s="321" t="s">
        <v>1649</v>
      </c>
      <c r="AK283" s="321" t="s">
        <v>1649</v>
      </c>
      <c r="AL283" s="321" t="s">
        <v>1648</v>
      </c>
      <c r="AM283" s="321" t="s">
        <v>1649</v>
      </c>
      <c r="AN283" s="321" t="s">
        <v>1648</v>
      </c>
      <c r="AO283" s="321" t="s">
        <v>1648</v>
      </c>
      <c r="AP283" s="321" t="s">
        <v>1649</v>
      </c>
      <c r="AQ283" s="321" t="s">
        <v>1649</v>
      </c>
      <c r="AR283" s="321" t="s">
        <v>1649</v>
      </c>
      <c r="AS283" s="321" t="s">
        <v>1648</v>
      </c>
      <c r="AT283" s="321" t="s">
        <v>1648</v>
      </c>
      <c r="AU283" s="301" t="s">
        <v>1613</v>
      </c>
    </row>
    <row r="284" spans="1:47" ht="13.5" thickBot="1" x14ac:dyDescent="0.25">
      <c r="A284" s="48" t="s">
        <v>530</v>
      </c>
      <c r="B284" s="291" t="s">
        <v>529</v>
      </c>
      <c r="C284" s="298" t="s">
        <v>22</v>
      </c>
      <c r="D284" s="304"/>
      <c r="E284" s="305"/>
      <c r="F284" s="305"/>
      <c r="G284" s="302">
        <v>38</v>
      </c>
      <c r="H284" s="303">
        <v>35000</v>
      </c>
      <c r="I284" s="303">
        <v>50000</v>
      </c>
      <c r="J284" s="302">
        <v>38</v>
      </c>
      <c r="K284" s="303">
        <v>30500</v>
      </c>
      <c r="L284" s="303">
        <v>48000</v>
      </c>
      <c r="M284" s="302">
        <v>38</v>
      </c>
      <c r="N284" s="303">
        <v>25350</v>
      </c>
      <c r="O284" s="303">
        <v>32500</v>
      </c>
      <c r="P284" s="302">
        <v>38</v>
      </c>
      <c r="Q284" s="303">
        <v>25000</v>
      </c>
      <c r="R284" s="303">
        <v>38000</v>
      </c>
      <c r="S284" s="302">
        <v>25</v>
      </c>
      <c r="T284" s="303">
        <v>1400</v>
      </c>
      <c r="U284" s="303">
        <v>2200</v>
      </c>
      <c r="V284" s="321" t="s">
        <v>1648</v>
      </c>
      <c r="W284" s="321" t="s">
        <v>1648</v>
      </c>
      <c r="X284" s="321" t="s">
        <v>1648</v>
      </c>
      <c r="Y284" s="321" t="s">
        <v>1648</v>
      </c>
      <c r="Z284" s="321" t="s">
        <v>1649</v>
      </c>
      <c r="AA284" s="321" t="s">
        <v>1648</v>
      </c>
      <c r="AB284" s="321" t="s">
        <v>1648</v>
      </c>
      <c r="AC284" s="321" t="s">
        <v>1648</v>
      </c>
      <c r="AD284" s="321" t="s">
        <v>1649</v>
      </c>
      <c r="AE284" s="321" t="s">
        <v>1649</v>
      </c>
      <c r="AF284" s="321" t="s">
        <v>1649</v>
      </c>
      <c r="AG284" s="321" t="s">
        <v>1649</v>
      </c>
      <c r="AH284" s="165" t="s">
        <v>3555</v>
      </c>
      <c r="AI284" s="321" t="s">
        <v>1649</v>
      </c>
      <c r="AJ284" s="321" t="s">
        <v>1649</v>
      </c>
      <c r="AK284" s="321" t="s">
        <v>1649</v>
      </c>
      <c r="AL284" s="321" t="s">
        <v>1649</v>
      </c>
      <c r="AM284" s="321" t="s">
        <v>1649</v>
      </c>
      <c r="AN284" s="321" t="s">
        <v>1649</v>
      </c>
      <c r="AO284" s="321" t="s">
        <v>1649</v>
      </c>
      <c r="AP284" s="321" t="s">
        <v>1648</v>
      </c>
      <c r="AQ284" s="321" t="s">
        <v>1649</v>
      </c>
      <c r="AR284" s="321" t="s">
        <v>1649</v>
      </c>
      <c r="AS284" s="321" t="s">
        <v>1648</v>
      </c>
      <c r="AT284" s="321" t="s">
        <v>1649</v>
      </c>
      <c r="AU284" s="307" t="s">
        <v>3555</v>
      </c>
    </row>
    <row r="285" spans="1:47" ht="13.5" thickBot="1" x14ac:dyDescent="0.25">
      <c r="A285" s="48" t="s">
        <v>546</v>
      </c>
      <c r="B285" s="291" t="s">
        <v>545</v>
      </c>
      <c r="C285" s="298" t="s">
        <v>22</v>
      </c>
      <c r="D285" s="302">
        <v>40</v>
      </c>
      <c r="E285" s="303">
        <v>24000</v>
      </c>
      <c r="F285" s="303">
        <v>30000</v>
      </c>
      <c r="G285" s="302">
        <v>35</v>
      </c>
      <c r="H285" s="303">
        <v>19000</v>
      </c>
      <c r="I285" s="303">
        <v>28000</v>
      </c>
      <c r="J285" s="302">
        <v>35</v>
      </c>
      <c r="K285" s="303">
        <v>18000</v>
      </c>
      <c r="L285" s="303">
        <v>28000</v>
      </c>
      <c r="M285" s="302">
        <v>10</v>
      </c>
      <c r="N285" s="303">
        <v>5200</v>
      </c>
      <c r="O285" s="303">
        <v>6500</v>
      </c>
      <c r="P285" s="304"/>
      <c r="Q285" s="305"/>
      <c r="R285" s="305"/>
      <c r="S285" s="304"/>
      <c r="T285" s="303">
        <v>13000</v>
      </c>
      <c r="U285" s="303">
        <v>17000</v>
      </c>
      <c r="V285" s="321" t="s">
        <v>1649</v>
      </c>
      <c r="W285" s="321" t="s">
        <v>1649</v>
      </c>
      <c r="X285" s="321" t="s">
        <v>1649</v>
      </c>
      <c r="Y285" s="321" t="s">
        <v>1649</v>
      </c>
      <c r="Z285" s="321" t="s">
        <v>1649</v>
      </c>
      <c r="AA285" s="321" t="s">
        <v>1648</v>
      </c>
      <c r="AB285" s="321" t="s">
        <v>1648</v>
      </c>
      <c r="AC285" s="321" t="s">
        <v>1648</v>
      </c>
      <c r="AD285" s="321" t="s">
        <v>1649</v>
      </c>
      <c r="AE285" s="321" t="s">
        <v>1649</v>
      </c>
      <c r="AF285" s="321" t="s">
        <v>1648</v>
      </c>
      <c r="AG285" s="321" t="s">
        <v>1649</v>
      </c>
      <c r="AH285" s="165" t="s">
        <v>3584</v>
      </c>
      <c r="AI285" s="321" t="s">
        <v>1649</v>
      </c>
      <c r="AJ285" s="321" t="s">
        <v>1649</v>
      </c>
      <c r="AK285" s="321" t="s">
        <v>1649</v>
      </c>
      <c r="AL285" s="321" t="s">
        <v>1649</v>
      </c>
      <c r="AM285" s="321" t="s">
        <v>1649</v>
      </c>
      <c r="AN285" s="321" t="s">
        <v>1649</v>
      </c>
      <c r="AO285" s="321" t="s">
        <v>1649</v>
      </c>
      <c r="AP285" s="321" t="s">
        <v>1648</v>
      </c>
      <c r="AQ285" s="321" t="s">
        <v>1649</v>
      </c>
      <c r="AR285" s="321" t="s">
        <v>1649</v>
      </c>
      <c r="AS285" s="321" t="s">
        <v>1649</v>
      </c>
      <c r="AT285" s="321" t="s">
        <v>1649</v>
      </c>
      <c r="AU285" s="301" t="s">
        <v>1613</v>
      </c>
    </row>
    <row r="286" spans="1:47" ht="13.5" thickBot="1" x14ac:dyDescent="0.25">
      <c r="A286" s="48" t="s">
        <v>556</v>
      </c>
      <c r="B286" s="291" t="s">
        <v>555</v>
      </c>
      <c r="C286" s="298" t="s">
        <v>22</v>
      </c>
      <c r="D286" s="302">
        <v>40</v>
      </c>
      <c r="E286" s="303">
        <v>40000</v>
      </c>
      <c r="F286" s="303">
        <v>55000</v>
      </c>
      <c r="G286" s="302">
        <v>22</v>
      </c>
      <c r="H286" s="303">
        <v>12000</v>
      </c>
      <c r="I286" s="303">
        <v>14000</v>
      </c>
      <c r="J286" s="302">
        <v>40</v>
      </c>
      <c r="K286" s="303">
        <v>35700</v>
      </c>
      <c r="L286" s="303">
        <v>50000</v>
      </c>
      <c r="M286" s="302">
        <v>40</v>
      </c>
      <c r="N286" s="303">
        <v>35000</v>
      </c>
      <c r="O286" s="303">
        <v>40000</v>
      </c>
      <c r="P286" s="302">
        <v>40</v>
      </c>
      <c r="Q286" s="303">
        <v>33000</v>
      </c>
      <c r="R286" s="303">
        <v>40000</v>
      </c>
      <c r="S286" s="302">
        <v>25</v>
      </c>
      <c r="T286" s="303">
        <v>13585</v>
      </c>
      <c r="U286" s="303">
        <v>28000</v>
      </c>
      <c r="V286" s="321" t="s">
        <v>1648</v>
      </c>
      <c r="W286" s="321" t="s">
        <v>1648</v>
      </c>
      <c r="X286" s="321" t="s">
        <v>1649</v>
      </c>
      <c r="Y286" s="321" t="s">
        <v>1648</v>
      </c>
      <c r="Z286" s="321" t="s">
        <v>1648</v>
      </c>
      <c r="AA286" s="321" t="s">
        <v>1649</v>
      </c>
      <c r="AB286" s="321" t="s">
        <v>1648</v>
      </c>
      <c r="AC286" s="321" t="s">
        <v>1648</v>
      </c>
      <c r="AD286" s="321" t="s">
        <v>1648</v>
      </c>
      <c r="AE286" s="321" t="s">
        <v>1649</v>
      </c>
      <c r="AF286" s="321" t="s">
        <v>1648</v>
      </c>
      <c r="AG286" s="321" t="s">
        <v>1649</v>
      </c>
      <c r="AH286" s="165" t="s">
        <v>3587</v>
      </c>
      <c r="AI286" s="321" t="s">
        <v>1649</v>
      </c>
      <c r="AJ286" s="321" t="s">
        <v>1649</v>
      </c>
      <c r="AK286" s="321" t="s">
        <v>1649</v>
      </c>
      <c r="AL286" s="321" t="s">
        <v>1649</v>
      </c>
      <c r="AM286" s="321" t="s">
        <v>1649</v>
      </c>
      <c r="AN286" s="321" t="s">
        <v>1649</v>
      </c>
      <c r="AO286" s="321" t="s">
        <v>1648</v>
      </c>
      <c r="AP286" s="321" t="s">
        <v>1648</v>
      </c>
      <c r="AQ286" s="321" t="s">
        <v>1648</v>
      </c>
      <c r="AR286" s="321" t="s">
        <v>1649</v>
      </c>
      <c r="AS286" s="321" t="s">
        <v>1648</v>
      </c>
      <c r="AT286" s="321" t="s">
        <v>1649</v>
      </c>
      <c r="AU286" s="307" t="s">
        <v>3676</v>
      </c>
    </row>
    <row r="287" spans="1:47" ht="13.5" thickBot="1" x14ac:dyDescent="0.25">
      <c r="A287" s="48" t="s">
        <v>558</v>
      </c>
      <c r="B287" s="291" t="s">
        <v>557</v>
      </c>
      <c r="C287" s="298" t="s">
        <v>22</v>
      </c>
      <c r="D287" s="302">
        <v>40</v>
      </c>
      <c r="E287" s="303">
        <v>36040</v>
      </c>
      <c r="F287" s="303">
        <v>36040</v>
      </c>
      <c r="G287" s="299" t="s">
        <v>1613</v>
      </c>
      <c r="H287" s="299" t="s">
        <v>1613</v>
      </c>
      <c r="I287" s="299" t="s">
        <v>1613</v>
      </c>
      <c r="J287" s="299" t="s">
        <v>1613</v>
      </c>
      <c r="K287" s="299" t="s">
        <v>1613</v>
      </c>
      <c r="L287" s="299" t="s">
        <v>1613</v>
      </c>
      <c r="M287" s="299" t="s">
        <v>1613</v>
      </c>
      <c r="N287" s="299" t="s">
        <v>1613</v>
      </c>
      <c r="O287" s="299" t="s">
        <v>1613</v>
      </c>
      <c r="P287" s="299" t="s">
        <v>1613</v>
      </c>
      <c r="Q287" s="299" t="s">
        <v>1613</v>
      </c>
      <c r="R287" s="299" t="s">
        <v>1613</v>
      </c>
      <c r="S287" s="302">
        <v>20</v>
      </c>
      <c r="T287" s="303">
        <v>4305</v>
      </c>
      <c r="U287" s="303">
        <v>21400</v>
      </c>
      <c r="V287" s="321" t="s">
        <v>1648</v>
      </c>
      <c r="W287" s="321" t="s">
        <v>1648</v>
      </c>
      <c r="X287" s="321" t="s">
        <v>1648</v>
      </c>
      <c r="Y287" s="321" t="s">
        <v>1648</v>
      </c>
      <c r="Z287" s="321" t="s">
        <v>1648</v>
      </c>
      <c r="AA287" s="321" t="s">
        <v>1648</v>
      </c>
      <c r="AB287" s="321" t="s">
        <v>1648</v>
      </c>
      <c r="AC287" s="321" t="s">
        <v>1648</v>
      </c>
      <c r="AD287" s="321" t="s">
        <v>1649</v>
      </c>
      <c r="AE287" s="321" t="s">
        <v>1648</v>
      </c>
      <c r="AF287" s="321" t="s">
        <v>1649</v>
      </c>
      <c r="AG287" s="321" t="s">
        <v>1649</v>
      </c>
      <c r="AH287" s="165" t="s">
        <v>3566</v>
      </c>
      <c r="AI287" s="321" t="s">
        <v>1649</v>
      </c>
      <c r="AJ287" s="321" t="s">
        <v>1649</v>
      </c>
      <c r="AK287" s="321" t="s">
        <v>1649</v>
      </c>
      <c r="AL287" s="321" t="s">
        <v>1649</v>
      </c>
      <c r="AM287" s="321" t="s">
        <v>1649</v>
      </c>
      <c r="AN287" s="321" t="s">
        <v>1648</v>
      </c>
      <c r="AO287" s="321" t="s">
        <v>1648</v>
      </c>
      <c r="AP287" s="321" t="s">
        <v>1648</v>
      </c>
      <c r="AQ287" s="321" t="s">
        <v>1649</v>
      </c>
      <c r="AR287" s="321" t="s">
        <v>1649</v>
      </c>
      <c r="AS287" s="321" t="s">
        <v>1649</v>
      </c>
      <c r="AT287" s="321" t="s">
        <v>1649</v>
      </c>
      <c r="AU287" s="307" t="s">
        <v>3677</v>
      </c>
    </row>
    <row r="288" spans="1:47" ht="13.5" thickBot="1" x14ac:dyDescent="0.25">
      <c r="A288" s="48" t="s">
        <v>562</v>
      </c>
      <c r="B288" s="291" t="s">
        <v>561</v>
      </c>
      <c r="C288" s="298" t="s">
        <v>22</v>
      </c>
      <c r="D288" s="299" t="s">
        <v>1613</v>
      </c>
      <c r="E288" s="299" t="s">
        <v>1613</v>
      </c>
      <c r="F288" s="299" t="s">
        <v>1613</v>
      </c>
      <c r="G288" s="302">
        <v>40</v>
      </c>
      <c r="H288" s="303">
        <v>45000</v>
      </c>
      <c r="I288" s="303">
        <v>65000</v>
      </c>
      <c r="J288" s="302">
        <v>40</v>
      </c>
      <c r="K288" s="303">
        <v>37440</v>
      </c>
      <c r="L288" s="303">
        <v>45760</v>
      </c>
      <c r="M288" s="302">
        <v>20</v>
      </c>
      <c r="N288" s="303">
        <v>18720</v>
      </c>
      <c r="O288" s="303">
        <v>22880</v>
      </c>
      <c r="P288" s="299" t="s">
        <v>1613</v>
      </c>
      <c r="Q288" s="299" t="s">
        <v>1613</v>
      </c>
      <c r="R288" s="299" t="s">
        <v>1613</v>
      </c>
      <c r="S288" s="302">
        <v>20</v>
      </c>
      <c r="T288" s="303">
        <v>11440</v>
      </c>
      <c r="U288" s="303">
        <v>14560</v>
      </c>
      <c r="V288" s="321" t="s">
        <v>1648</v>
      </c>
      <c r="W288" s="321" t="s">
        <v>1648</v>
      </c>
      <c r="X288" s="321" t="s">
        <v>1648</v>
      </c>
      <c r="Y288" s="321" t="s">
        <v>1648</v>
      </c>
      <c r="Z288" s="321" t="s">
        <v>1648</v>
      </c>
      <c r="AA288" s="321" t="s">
        <v>1648</v>
      </c>
      <c r="AB288" s="321" t="s">
        <v>1648</v>
      </c>
      <c r="AC288" s="321" t="s">
        <v>1648</v>
      </c>
      <c r="AD288" s="321" t="s">
        <v>1649</v>
      </c>
      <c r="AE288" s="321" t="s">
        <v>1649</v>
      </c>
      <c r="AF288" s="321" t="s">
        <v>1649</v>
      </c>
      <c r="AG288" s="321" t="s">
        <v>1649</v>
      </c>
      <c r="AH288" s="300"/>
      <c r="AI288" s="321" t="s">
        <v>1649</v>
      </c>
      <c r="AJ288" s="321" t="s">
        <v>1649</v>
      </c>
      <c r="AK288" s="321" t="s">
        <v>1649</v>
      </c>
      <c r="AL288" s="321" t="s">
        <v>1648</v>
      </c>
      <c r="AM288" s="321" t="s">
        <v>1649</v>
      </c>
      <c r="AN288" s="321" t="s">
        <v>1648</v>
      </c>
      <c r="AO288" s="321" t="s">
        <v>1648</v>
      </c>
      <c r="AP288" s="321" t="s">
        <v>1648</v>
      </c>
      <c r="AQ288" s="321" t="s">
        <v>1649</v>
      </c>
      <c r="AR288" s="321" t="s">
        <v>1649</v>
      </c>
      <c r="AS288" s="321" t="s">
        <v>1649</v>
      </c>
      <c r="AT288" s="321" t="s">
        <v>1649</v>
      </c>
      <c r="AU288" s="301"/>
    </row>
    <row r="289" spans="1:47" ht="13.5" thickBot="1" x14ac:dyDescent="0.25">
      <c r="A289" s="48" t="s">
        <v>570</v>
      </c>
      <c r="B289" s="291" t="s">
        <v>569</v>
      </c>
      <c r="C289" s="298" t="s">
        <v>22</v>
      </c>
      <c r="D289" s="299" t="s">
        <v>1613</v>
      </c>
      <c r="E289" s="299" t="s">
        <v>1613</v>
      </c>
      <c r="F289" s="299" t="s">
        <v>1613</v>
      </c>
      <c r="G289" s="299" t="s">
        <v>1613</v>
      </c>
      <c r="H289" s="299" t="s">
        <v>1613</v>
      </c>
      <c r="I289" s="299" t="s">
        <v>1613</v>
      </c>
      <c r="J289" s="302">
        <v>30</v>
      </c>
      <c r="K289" s="303">
        <v>35000</v>
      </c>
      <c r="L289" s="303">
        <v>53000</v>
      </c>
      <c r="M289" s="302">
        <v>40</v>
      </c>
      <c r="N289" s="303">
        <v>32000</v>
      </c>
      <c r="O289" s="303">
        <v>35000</v>
      </c>
      <c r="P289" s="302">
        <v>40</v>
      </c>
      <c r="Q289" s="303">
        <v>55000</v>
      </c>
      <c r="R289" s="303">
        <v>57000</v>
      </c>
      <c r="S289" s="302">
        <v>21</v>
      </c>
      <c r="T289" s="303">
        <v>17000</v>
      </c>
      <c r="U289" s="303">
        <v>26000</v>
      </c>
      <c r="V289" s="321" t="s">
        <v>1649</v>
      </c>
      <c r="W289" s="321" t="s">
        <v>1649</v>
      </c>
      <c r="X289" s="321" t="s">
        <v>1648</v>
      </c>
      <c r="Y289" s="321" t="s">
        <v>1649</v>
      </c>
      <c r="Z289" s="321" t="s">
        <v>1649</v>
      </c>
      <c r="AA289" s="321" t="s">
        <v>1648</v>
      </c>
      <c r="AB289" s="321" t="s">
        <v>1648</v>
      </c>
      <c r="AC289" s="321" t="s">
        <v>1648</v>
      </c>
      <c r="AD289" s="321" t="s">
        <v>1648</v>
      </c>
      <c r="AE289" s="321" t="s">
        <v>1648</v>
      </c>
      <c r="AF289" s="321" t="s">
        <v>1648</v>
      </c>
      <c r="AG289" s="321" t="s">
        <v>1649</v>
      </c>
      <c r="AH289" s="165" t="s">
        <v>3589</v>
      </c>
      <c r="AI289" s="321" t="s">
        <v>1649</v>
      </c>
      <c r="AJ289" s="321" t="s">
        <v>1649</v>
      </c>
      <c r="AK289" s="321" t="s">
        <v>1648</v>
      </c>
      <c r="AL289" s="321" t="s">
        <v>1649</v>
      </c>
      <c r="AM289" s="321" t="s">
        <v>1649</v>
      </c>
      <c r="AN289" s="321" t="s">
        <v>1648</v>
      </c>
      <c r="AO289" s="321" t="s">
        <v>1648</v>
      </c>
      <c r="AP289" s="321" t="s">
        <v>1648</v>
      </c>
      <c r="AQ289" s="321" t="s">
        <v>1648</v>
      </c>
      <c r="AR289" s="321" t="s">
        <v>1648</v>
      </c>
      <c r="AS289" s="321" t="s">
        <v>1648</v>
      </c>
      <c r="AT289" s="321" t="s">
        <v>1649</v>
      </c>
      <c r="AU289" s="301" t="s">
        <v>1613</v>
      </c>
    </row>
    <row r="290" spans="1:47" ht="13.5" thickBot="1" x14ac:dyDescent="0.25">
      <c r="A290" s="48" t="s">
        <v>580</v>
      </c>
      <c r="B290" s="291" t="s">
        <v>579</v>
      </c>
      <c r="C290" s="298" t="s">
        <v>22</v>
      </c>
      <c r="D290" s="299" t="s">
        <v>1613</v>
      </c>
      <c r="E290" s="299" t="s">
        <v>1613</v>
      </c>
      <c r="F290" s="299" t="s">
        <v>1613</v>
      </c>
      <c r="G290" s="302">
        <v>40</v>
      </c>
      <c r="H290" s="303">
        <v>37000</v>
      </c>
      <c r="I290" s="303">
        <v>47000</v>
      </c>
      <c r="J290" s="299" t="s">
        <v>1613</v>
      </c>
      <c r="K290" s="299" t="s">
        <v>1613</v>
      </c>
      <c r="L290" s="299" t="s">
        <v>1613</v>
      </c>
      <c r="M290" s="302">
        <v>40</v>
      </c>
      <c r="N290" s="303">
        <v>33000</v>
      </c>
      <c r="O290" s="303">
        <v>43000</v>
      </c>
      <c r="P290" s="302">
        <v>40</v>
      </c>
      <c r="Q290" s="303">
        <v>40000</v>
      </c>
      <c r="R290" s="303">
        <v>50000</v>
      </c>
      <c r="S290" s="302">
        <v>25</v>
      </c>
      <c r="T290" s="303">
        <v>16900</v>
      </c>
      <c r="U290" s="303">
        <v>20800</v>
      </c>
      <c r="V290" s="321" t="s">
        <v>1648</v>
      </c>
      <c r="W290" s="321" t="s">
        <v>1648</v>
      </c>
      <c r="X290" s="321" t="s">
        <v>1648</v>
      </c>
      <c r="Y290" s="321" t="s">
        <v>1648</v>
      </c>
      <c r="Z290" s="321" t="s">
        <v>1648</v>
      </c>
      <c r="AA290" s="321" t="s">
        <v>1649</v>
      </c>
      <c r="AB290" s="321" t="s">
        <v>1648</v>
      </c>
      <c r="AC290" s="321" t="s">
        <v>1648</v>
      </c>
      <c r="AD290" s="321" t="s">
        <v>1648</v>
      </c>
      <c r="AE290" s="321" t="s">
        <v>1648</v>
      </c>
      <c r="AF290" s="321" t="s">
        <v>1648</v>
      </c>
      <c r="AG290" s="321" t="s">
        <v>1648</v>
      </c>
      <c r="AH290" s="165" t="s">
        <v>3678</v>
      </c>
      <c r="AI290" s="321" t="s">
        <v>1649</v>
      </c>
      <c r="AJ290" s="321" t="s">
        <v>1649</v>
      </c>
      <c r="AK290" s="321" t="s">
        <v>1649</v>
      </c>
      <c r="AL290" s="321" t="s">
        <v>1649</v>
      </c>
      <c r="AM290" s="321" t="s">
        <v>1649</v>
      </c>
      <c r="AN290" s="321" t="s">
        <v>1648</v>
      </c>
      <c r="AO290" s="321" t="s">
        <v>1649</v>
      </c>
      <c r="AP290" s="321" t="s">
        <v>1649</v>
      </c>
      <c r="AQ290" s="321" t="s">
        <v>1648</v>
      </c>
      <c r="AR290" s="321" t="s">
        <v>1649</v>
      </c>
      <c r="AS290" s="321" t="s">
        <v>1649</v>
      </c>
      <c r="AT290" s="321" t="s">
        <v>1648</v>
      </c>
      <c r="AU290" s="301" t="s">
        <v>1613</v>
      </c>
    </row>
    <row r="291" spans="1:47" ht="13.5" thickBot="1" x14ac:dyDescent="0.25">
      <c r="A291" s="48" t="s">
        <v>596</v>
      </c>
      <c r="B291" s="291" t="s">
        <v>595</v>
      </c>
      <c r="C291" s="298" t="s">
        <v>22</v>
      </c>
      <c r="D291" s="304"/>
      <c r="E291" s="305"/>
      <c r="F291" s="305"/>
      <c r="G291" s="302">
        <v>40</v>
      </c>
      <c r="H291" s="303">
        <v>30888</v>
      </c>
      <c r="I291" s="303">
        <v>30888</v>
      </c>
      <c r="J291" s="302">
        <v>40</v>
      </c>
      <c r="K291" s="303">
        <v>49482</v>
      </c>
      <c r="L291" s="303">
        <v>49482</v>
      </c>
      <c r="M291" s="302">
        <v>20</v>
      </c>
      <c r="N291" s="303">
        <v>10920</v>
      </c>
      <c r="O291" s="303">
        <v>12500</v>
      </c>
      <c r="P291" s="304"/>
      <c r="Q291" s="305"/>
      <c r="R291" s="305"/>
      <c r="S291" s="302">
        <v>10</v>
      </c>
      <c r="T291" s="303">
        <v>4800</v>
      </c>
      <c r="U291" s="303">
        <v>5500</v>
      </c>
      <c r="V291" s="321" t="s">
        <v>1648</v>
      </c>
      <c r="W291" s="321" t="s">
        <v>1649</v>
      </c>
      <c r="X291" s="321" t="s">
        <v>1649</v>
      </c>
      <c r="Y291" s="321" t="s">
        <v>1649</v>
      </c>
      <c r="Z291" s="321" t="s">
        <v>1649</v>
      </c>
      <c r="AA291" s="321" t="s">
        <v>1648</v>
      </c>
      <c r="AB291" s="321" t="s">
        <v>1648</v>
      </c>
      <c r="AC291" s="321" t="s">
        <v>1648</v>
      </c>
      <c r="AD291" s="321" t="s">
        <v>1649</v>
      </c>
      <c r="AE291" s="321" t="s">
        <v>1649</v>
      </c>
      <c r="AF291" s="321" t="s">
        <v>1648</v>
      </c>
      <c r="AG291" s="321" t="s">
        <v>1649</v>
      </c>
      <c r="AH291" s="300" t="s">
        <v>1613</v>
      </c>
      <c r="AI291" s="321" t="s">
        <v>1649</v>
      </c>
      <c r="AJ291" s="321" t="s">
        <v>1649</v>
      </c>
      <c r="AK291" s="321" t="s">
        <v>1649</v>
      </c>
      <c r="AL291" s="321" t="s">
        <v>1649</v>
      </c>
      <c r="AM291" s="321" t="s">
        <v>1649</v>
      </c>
      <c r="AN291" s="321" t="s">
        <v>1648</v>
      </c>
      <c r="AO291" s="321" t="s">
        <v>1648</v>
      </c>
      <c r="AP291" s="321" t="s">
        <v>1648</v>
      </c>
      <c r="AQ291" s="321" t="s">
        <v>1649</v>
      </c>
      <c r="AR291" s="321" t="s">
        <v>1649</v>
      </c>
      <c r="AS291" s="321" t="s">
        <v>1648</v>
      </c>
      <c r="AT291" s="321" t="s">
        <v>1649</v>
      </c>
      <c r="AU291" s="301" t="s">
        <v>1613</v>
      </c>
    </row>
    <row r="292" spans="1:47" ht="13.5" thickBot="1" x14ac:dyDescent="0.25">
      <c r="A292" s="48" t="s">
        <v>598</v>
      </c>
      <c r="B292" s="291" t="s">
        <v>597</v>
      </c>
      <c r="C292" s="298" t="s">
        <v>22</v>
      </c>
      <c r="D292" s="299" t="s">
        <v>1613</v>
      </c>
      <c r="E292" s="299" t="s">
        <v>1613</v>
      </c>
      <c r="F292" s="299" t="s">
        <v>1613</v>
      </c>
      <c r="G292" s="302">
        <v>38</v>
      </c>
      <c r="H292" s="303">
        <v>28000</v>
      </c>
      <c r="I292" s="303">
        <v>37625</v>
      </c>
      <c r="J292" s="299" t="s">
        <v>1613</v>
      </c>
      <c r="K292" s="299" t="s">
        <v>1613</v>
      </c>
      <c r="L292" s="299" t="s">
        <v>1613</v>
      </c>
      <c r="M292" s="299" t="s">
        <v>1613</v>
      </c>
      <c r="N292" s="299" t="s">
        <v>1613</v>
      </c>
      <c r="O292" s="299" t="s">
        <v>1613</v>
      </c>
      <c r="P292" s="299" t="s">
        <v>1613</v>
      </c>
      <c r="Q292" s="299" t="s">
        <v>1613</v>
      </c>
      <c r="R292" s="299" t="s">
        <v>1613</v>
      </c>
      <c r="S292" s="302">
        <v>21</v>
      </c>
      <c r="T292" s="303">
        <v>8010</v>
      </c>
      <c r="U292" s="303">
        <v>21153</v>
      </c>
      <c r="V292" s="321" t="s">
        <v>1648</v>
      </c>
      <c r="W292" s="321" t="s">
        <v>1649</v>
      </c>
      <c r="X292" s="321" t="s">
        <v>1649</v>
      </c>
      <c r="Y292" s="321" t="s">
        <v>1649</v>
      </c>
      <c r="Z292" s="321" t="s">
        <v>1649</v>
      </c>
      <c r="AA292" s="321" t="s">
        <v>1648</v>
      </c>
      <c r="AB292" s="321" t="s">
        <v>1648</v>
      </c>
      <c r="AC292" s="321" t="s">
        <v>1648</v>
      </c>
      <c r="AD292" s="321" t="s">
        <v>1649</v>
      </c>
      <c r="AE292" s="321" t="s">
        <v>1649</v>
      </c>
      <c r="AF292" s="321" t="s">
        <v>1649</v>
      </c>
      <c r="AG292" s="321" t="s">
        <v>1648</v>
      </c>
      <c r="AH292" s="300" t="s">
        <v>1613</v>
      </c>
      <c r="AI292" s="321" t="s">
        <v>1649</v>
      </c>
      <c r="AJ292" s="321" t="s">
        <v>1649</v>
      </c>
      <c r="AK292" s="321" t="s">
        <v>1649</v>
      </c>
      <c r="AL292" s="321" t="s">
        <v>1649</v>
      </c>
      <c r="AM292" s="321" t="s">
        <v>1649</v>
      </c>
      <c r="AN292" s="321" t="s">
        <v>1648</v>
      </c>
      <c r="AO292" s="321" t="s">
        <v>1648</v>
      </c>
      <c r="AP292" s="321" t="s">
        <v>1649</v>
      </c>
      <c r="AQ292" s="321" t="s">
        <v>1649</v>
      </c>
      <c r="AR292" s="321" t="s">
        <v>1649</v>
      </c>
      <c r="AS292" s="321" t="s">
        <v>1649</v>
      </c>
      <c r="AT292" s="321" t="s">
        <v>1648</v>
      </c>
      <c r="AU292" s="301" t="s">
        <v>1613</v>
      </c>
    </row>
    <row r="293" spans="1:47" ht="13.5" thickBot="1" x14ac:dyDescent="0.25">
      <c r="A293" s="48" t="s">
        <v>602</v>
      </c>
      <c r="B293" s="291" t="s">
        <v>601</v>
      </c>
      <c r="C293" s="298" t="s">
        <v>22</v>
      </c>
      <c r="D293" s="304"/>
      <c r="E293" s="305"/>
      <c r="F293" s="305"/>
      <c r="G293" s="302">
        <v>40</v>
      </c>
      <c r="H293" s="303">
        <v>17000</v>
      </c>
      <c r="I293" s="303">
        <v>32000</v>
      </c>
      <c r="J293" s="302">
        <v>40</v>
      </c>
      <c r="K293" s="303">
        <v>37000</v>
      </c>
      <c r="L293" s="303">
        <v>52000</v>
      </c>
      <c r="M293" s="302">
        <v>40</v>
      </c>
      <c r="N293" s="303">
        <v>28000</v>
      </c>
      <c r="O293" s="303">
        <v>45000</v>
      </c>
      <c r="P293" s="299" t="s">
        <v>1613</v>
      </c>
      <c r="Q293" s="299" t="s">
        <v>1613</v>
      </c>
      <c r="R293" s="299" t="s">
        <v>1613</v>
      </c>
      <c r="S293" s="302">
        <v>40</v>
      </c>
      <c r="T293" s="303">
        <v>19500</v>
      </c>
      <c r="U293" s="303">
        <v>38000</v>
      </c>
      <c r="V293" s="321" t="s">
        <v>1649</v>
      </c>
      <c r="W293" s="321" t="s">
        <v>1649</v>
      </c>
      <c r="X293" s="321" t="s">
        <v>1649</v>
      </c>
      <c r="Y293" s="321" t="s">
        <v>1649</v>
      </c>
      <c r="Z293" s="321" t="s">
        <v>1649</v>
      </c>
      <c r="AA293" s="321" t="s">
        <v>1648</v>
      </c>
      <c r="AB293" s="321" t="s">
        <v>1648</v>
      </c>
      <c r="AC293" s="321" t="s">
        <v>1648</v>
      </c>
      <c r="AD293" s="321" t="s">
        <v>1649</v>
      </c>
      <c r="AE293" s="321" t="s">
        <v>1649</v>
      </c>
      <c r="AF293" s="321" t="s">
        <v>1648</v>
      </c>
      <c r="AG293" s="321" t="s">
        <v>1648</v>
      </c>
      <c r="AH293" s="300" t="s">
        <v>1613</v>
      </c>
      <c r="AI293" s="321" t="s">
        <v>1649</v>
      </c>
      <c r="AJ293" s="321" t="s">
        <v>1649</v>
      </c>
      <c r="AK293" s="321" t="s">
        <v>1649</v>
      </c>
      <c r="AL293" s="321" t="s">
        <v>1649</v>
      </c>
      <c r="AM293" s="321" t="s">
        <v>1649</v>
      </c>
      <c r="AN293" s="321" t="s">
        <v>1648</v>
      </c>
      <c r="AO293" s="321" t="s">
        <v>1648</v>
      </c>
      <c r="AP293" s="321" t="s">
        <v>1648</v>
      </c>
      <c r="AQ293" s="321" t="s">
        <v>1649</v>
      </c>
      <c r="AR293" s="321" t="s">
        <v>1649</v>
      </c>
      <c r="AS293" s="321" t="s">
        <v>1648</v>
      </c>
      <c r="AT293" s="321" t="s">
        <v>1648</v>
      </c>
      <c r="AU293" s="301" t="s">
        <v>1613</v>
      </c>
    </row>
    <row r="294" spans="1:47" ht="13.5" thickBot="1" x14ac:dyDescent="0.25">
      <c r="A294" s="48" t="s">
        <v>636</v>
      </c>
      <c r="B294" s="291" t="s">
        <v>635</v>
      </c>
      <c r="C294" s="298" t="s">
        <v>22</v>
      </c>
      <c r="D294" s="304"/>
      <c r="E294" s="305"/>
      <c r="F294" s="305"/>
      <c r="G294" s="304"/>
      <c r="H294" s="305"/>
      <c r="I294" s="305"/>
      <c r="J294" s="304"/>
      <c r="K294" s="305"/>
      <c r="L294" s="305"/>
      <c r="M294" s="304"/>
      <c r="N294" s="305"/>
      <c r="O294" s="305"/>
      <c r="P294" s="304"/>
      <c r="Q294" s="305"/>
      <c r="R294" s="305"/>
      <c r="S294" s="302">
        <v>16</v>
      </c>
      <c r="T294" s="303">
        <v>3600</v>
      </c>
      <c r="U294" s="303">
        <v>21000</v>
      </c>
      <c r="V294" s="321" t="s">
        <v>1649</v>
      </c>
      <c r="W294" s="321" t="s">
        <v>1649</v>
      </c>
      <c r="X294" s="321" t="s">
        <v>1649</v>
      </c>
      <c r="Y294" s="321" t="s">
        <v>1649</v>
      </c>
      <c r="Z294" s="321" t="s">
        <v>1649</v>
      </c>
      <c r="AA294" s="321" t="s">
        <v>1649</v>
      </c>
      <c r="AB294" s="321" t="s">
        <v>1649</v>
      </c>
      <c r="AC294" s="321" t="s">
        <v>1649</v>
      </c>
      <c r="AD294" s="321" t="s">
        <v>1649</v>
      </c>
      <c r="AE294" s="321" t="s">
        <v>1649</v>
      </c>
      <c r="AF294" s="321" t="s">
        <v>1649</v>
      </c>
      <c r="AG294" s="321" t="s">
        <v>1649</v>
      </c>
      <c r="AH294" s="300" t="s">
        <v>1613</v>
      </c>
      <c r="AI294" s="321" t="s">
        <v>1649</v>
      </c>
      <c r="AJ294" s="321" t="s">
        <v>1649</v>
      </c>
      <c r="AK294" s="321" t="s">
        <v>1649</v>
      </c>
      <c r="AL294" s="321" t="s">
        <v>1649</v>
      </c>
      <c r="AM294" s="321" t="s">
        <v>1649</v>
      </c>
      <c r="AN294" s="321" t="s">
        <v>1648</v>
      </c>
      <c r="AO294" s="321" t="s">
        <v>1648</v>
      </c>
      <c r="AP294" s="321" t="s">
        <v>1649</v>
      </c>
      <c r="AQ294" s="321" t="s">
        <v>1649</v>
      </c>
      <c r="AR294" s="321" t="s">
        <v>1649</v>
      </c>
      <c r="AS294" s="321" t="s">
        <v>1648</v>
      </c>
      <c r="AT294" s="321" t="s">
        <v>1649</v>
      </c>
      <c r="AU294" s="301" t="s">
        <v>1613</v>
      </c>
    </row>
    <row r="295" spans="1:47" ht="13.5" thickBot="1" x14ac:dyDescent="0.25">
      <c r="A295" s="48" t="s">
        <v>662</v>
      </c>
      <c r="B295" s="291" t="s">
        <v>661</v>
      </c>
      <c r="C295" s="298" t="s">
        <v>22</v>
      </c>
      <c r="D295" s="302">
        <v>40</v>
      </c>
      <c r="E295" s="303">
        <v>52586</v>
      </c>
      <c r="F295" s="303">
        <v>76915</v>
      </c>
      <c r="G295" s="302">
        <v>40</v>
      </c>
      <c r="H295" s="303">
        <v>45943</v>
      </c>
      <c r="I295" s="303">
        <v>62851</v>
      </c>
      <c r="J295" s="302">
        <v>40</v>
      </c>
      <c r="K295" s="303">
        <v>48157</v>
      </c>
      <c r="L295" s="303">
        <v>53641</v>
      </c>
      <c r="M295" s="302">
        <v>40</v>
      </c>
      <c r="N295" s="303">
        <v>37640</v>
      </c>
      <c r="O295" s="303">
        <v>46497</v>
      </c>
      <c r="P295" s="302">
        <v>20</v>
      </c>
      <c r="Q295" s="303">
        <v>30998</v>
      </c>
      <c r="R295" s="303">
        <v>37087</v>
      </c>
      <c r="S295" s="302">
        <v>20</v>
      </c>
      <c r="T295" s="303">
        <v>10358</v>
      </c>
      <c r="U295" s="303">
        <v>16588</v>
      </c>
      <c r="V295" s="321" t="s">
        <v>1648</v>
      </c>
      <c r="W295" s="321" t="s">
        <v>1648</v>
      </c>
      <c r="X295" s="321" t="s">
        <v>1649</v>
      </c>
      <c r="Y295" s="321" t="s">
        <v>1649</v>
      </c>
      <c r="Z295" s="321" t="s">
        <v>1648</v>
      </c>
      <c r="AA295" s="321" t="s">
        <v>1648</v>
      </c>
      <c r="AB295" s="321" t="s">
        <v>1648</v>
      </c>
      <c r="AC295" s="321" t="s">
        <v>1648</v>
      </c>
      <c r="AD295" s="321" t="s">
        <v>1648</v>
      </c>
      <c r="AE295" s="321" t="s">
        <v>1649</v>
      </c>
      <c r="AF295" s="321" t="s">
        <v>1648</v>
      </c>
      <c r="AG295" s="321" t="s">
        <v>1648</v>
      </c>
      <c r="AH295" s="300" t="s">
        <v>1613</v>
      </c>
      <c r="AI295" s="321" t="s">
        <v>1649</v>
      </c>
      <c r="AJ295" s="321" t="s">
        <v>1649</v>
      </c>
      <c r="AK295" s="321" t="s">
        <v>1649</v>
      </c>
      <c r="AL295" s="321" t="s">
        <v>1649</v>
      </c>
      <c r="AM295" s="321" t="s">
        <v>1649</v>
      </c>
      <c r="AN295" s="321" t="s">
        <v>1648</v>
      </c>
      <c r="AO295" s="321" t="s">
        <v>1648</v>
      </c>
      <c r="AP295" s="321" t="s">
        <v>1649</v>
      </c>
      <c r="AQ295" s="321" t="s">
        <v>1648</v>
      </c>
      <c r="AR295" s="321" t="s">
        <v>1649</v>
      </c>
      <c r="AS295" s="321" t="s">
        <v>1648</v>
      </c>
      <c r="AT295" s="321" t="s">
        <v>1648</v>
      </c>
      <c r="AU295" s="301" t="s">
        <v>1613</v>
      </c>
    </row>
    <row r="296" spans="1:47" ht="13.5" thickBot="1" x14ac:dyDescent="0.25">
      <c r="A296" s="48" t="s">
        <v>704</v>
      </c>
      <c r="B296" s="291" t="s">
        <v>703</v>
      </c>
      <c r="C296" s="298" t="s">
        <v>22</v>
      </c>
      <c r="D296" s="299" t="s">
        <v>1613</v>
      </c>
      <c r="E296" s="299" t="s">
        <v>1613</v>
      </c>
      <c r="F296" s="299" t="s">
        <v>1613</v>
      </c>
      <c r="G296" s="299" t="s">
        <v>1613</v>
      </c>
      <c r="H296" s="299" t="s">
        <v>1613</v>
      </c>
      <c r="I296" s="299" t="s">
        <v>1613</v>
      </c>
      <c r="J296" s="299" t="s">
        <v>1613</v>
      </c>
      <c r="K296" s="299" t="s">
        <v>1613</v>
      </c>
      <c r="L296" s="299" t="s">
        <v>1613</v>
      </c>
      <c r="M296" s="299" t="s">
        <v>1613</v>
      </c>
      <c r="N296" s="299" t="s">
        <v>1613</v>
      </c>
      <c r="O296" s="299" t="s">
        <v>1613</v>
      </c>
      <c r="P296" s="299" t="s">
        <v>1613</v>
      </c>
      <c r="Q296" s="299" t="s">
        <v>1613</v>
      </c>
      <c r="R296" s="299" t="s">
        <v>1613</v>
      </c>
      <c r="S296" s="299" t="s">
        <v>1613</v>
      </c>
      <c r="T296" s="299" t="s">
        <v>1613</v>
      </c>
      <c r="U296" s="299" t="s">
        <v>1613</v>
      </c>
      <c r="V296" s="321" t="s">
        <v>1648</v>
      </c>
      <c r="W296" s="321" t="s">
        <v>1648</v>
      </c>
      <c r="X296" s="321" t="s">
        <v>1649</v>
      </c>
      <c r="Y296" s="321" t="s">
        <v>1649</v>
      </c>
      <c r="Z296" s="321" t="s">
        <v>1648</v>
      </c>
      <c r="AA296" s="321" t="s">
        <v>1648</v>
      </c>
      <c r="AB296" s="321" t="s">
        <v>1648</v>
      </c>
      <c r="AC296" s="321" t="s">
        <v>1648</v>
      </c>
      <c r="AD296" s="321" t="s">
        <v>1648</v>
      </c>
      <c r="AE296" s="321" t="s">
        <v>1648</v>
      </c>
      <c r="AF296" s="321" t="s">
        <v>1648</v>
      </c>
      <c r="AG296" s="321" t="s">
        <v>1649</v>
      </c>
      <c r="AH296" s="300" t="s">
        <v>1613</v>
      </c>
      <c r="AI296" s="321" t="s">
        <v>1649</v>
      </c>
      <c r="AJ296" s="321" t="s">
        <v>1649</v>
      </c>
      <c r="AK296" s="321" t="s">
        <v>1649</v>
      </c>
      <c r="AL296" s="321" t="s">
        <v>1649</v>
      </c>
      <c r="AM296" s="321" t="s">
        <v>1649</v>
      </c>
      <c r="AN296" s="321" t="s">
        <v>1648</v>
      </c>
      <c r="AO296" s="321" t="s">
        <v>1648</v>
      </c>
      <c r="AP296" s="321" t="s">
        <v>1649</v>
      </c>
      <c r="AQ296" s="321" t="s">
        <v>1649</v>
      </c>
      <c r="AR296" s="321" t="s">
        <v>1648</v>
      </c>
      <c r="AS296" s="321" t="s">
        <v>1648</v>
      </c>
      <c r="AT296" s="321" t="s">
        <v>1649</v>
      </c>
      <c r="AU296" s="301" t="s">
        <v>1613</v>
      </c>
    </row>
    <row r="297" spans="1:47" ht="13.5" thickBot="1" x14ac:dyDescent="0.25">
      <c r="A297" s="48" t="s">
        <v>706</v>
      </c>
      <c r="B297" s="291" t="s">
        <v>705</v>
      </c>
      <c r="C297" s="298" t="s">
        <v>22</v>
      </c>
      <c r="D297" s="299" t="s">
        <v>1613</v>
      </c>
      <c r="E297" s="299" t="s">
        <v>1613</v>
      </c>
      <c r="F297" s="299" t="s">
        <v>1613</v>
      </c>
      <c r="G297" s="302">
        <v>35</v>
      </c>
      <c r="H297" s="299" t="s">
        <v>1613</v>
      </c>
      <c r="I297" s="303">
        <v>49800</v>
      </c>
      <c r="J297" s="302">
        <v>36</v>
      </c>
      <c r="K297" s="299" t="s">
        <v>1613</v>
      </c>
      <c r="L297" s="303">
        <v>42750</v>
      </c>
      <c r="M297" s="299" t="s">
        <v>1613</v>
      </c>
      <c r="N297" s="299" t="s">
        <v>1613</v>
      </c>
      <c r="O297" s="299" t="s">
        <v>1613</v>
      </c>
      <c r="P297" s="299" t="s">
        <v>1613</v>
      </c>
      <c r="Q297" s="299" t="s">
        <v>1613</v>
      </c>
      <c r="R297" s="299" t="s">
        <v>1613</v>
      </c>
      <c r="S297" s="302">
        <v>20</v>
      </c>
      <c r="T297" s="299" t="s">
        <v>1613</v>
      </c>
      <c r="U297" s="303">
        <v>14000</v>
      </c>
      <c r="V297" s="321" t="s">
        <v>1649</v>
      </c>
      <c r="W297" s="321" t="s">
        <v>1649</v>
      </c>
      <c r="X297" s="321" t="s">
        <v>1648</v>
      </c>
      <c r="Y297" s="321" t="s">
        <v>1648</v>
      </c>
      <c r="Z297" s="321" t="s">
        <v>1649</v>
      </c>
      <c r="AA297" s="321" t="s">
        <v>1648</v>
      </c>
      <c r="AB297" s="321" t="s">
        <v>1648</v>
      </c>
      <c r="AC297" s="321" t="s">
        <v>1648</v>
      </c>
      <c r="AD297" s="321" t="s">
        <v>1649</v>
      </c>
      <c r="AE297" s="321" t="s">
        <v>1648</v>
      </c>
      <c r="AF297" s="321" t="s">
        <v>1648</v>
      </c>
      <c r="AG297" s="321" t="s">
        <v>1649</v>
      </c>
      <c r="AH297" s="300" t="s">
        <v>1613</v>
      </c>
      <c r="AI297" s="321" t="s">
        <v>1649</v>
      </c>
      <c r="AJ297" s="321" t="s">
        <v>1649</v>
      </c>
      <c r="AK297" s="321" t="s">
        <v>1649</v>
      </c>
      <c r="AL297" s="321" t="s">
        <v>1649</v>
      </c>
      <c r="AM297" s="321" t="s">
        <v>1649</v>
      </c>
      <c r="AN297" s="321" t="s">
        <v>1648</v>
      </c>
      <c r="AO297" s="321" t="s">
        <v>1648</v>
      </c>
      <c r="AP297" s="321" t="s">
        <v>1648</v>
      </c>
      <c r="AQ297" s="321" t="s">
        <v>1649</v>
      </c>
      <c r="AR297" s="321" t="s">
        <v>1649</v>
      </c>
      <c r="AS297" s="321" t="s">
        <v>1648</v>
      </c>
      <c r="AT297" s="321" t="s">
        <v>1649</v>
      </c>
      <c r="AU297" s="301" t="s">
        <v>1613</v>
      </c>
    </row>
    <row r="298" spans="1:47" ht="13.5" thickBot="1" x14ac:dyDescent="0.25">
      <c r="A298" s="48" t="s">
        <v>712</v>
      </c>
      <c r="B298" s="291" t="s">
        <v>711</v>
      </c>
      <c r="C298" s="298" t="s">
        <v>22</v>
      </c>
      <c r="D298" s="304"/>
      <c r="E298" s="305"/>
      <c r="F298" s="305"/>
      <c r="G298" s="302">
        <v>38</v>
      </c>
      <c r="H298" s="303">
        <v>25000</v>
      </c>
      <c r="I298" s="303">
        <v>36000</v>
      </c>
      <c r="J298" s="304"/>
      <c r="K298" s="305"/>
      <c r="L298" s="305"/>
      <c r="M298" s="302">
        <v>38</v>
      </c>
      <c r="N298" s="303">
        <v>25000</v>
      </c>
      <c r="O298" s="303">
        <v>36000</v>
      </c>
      <c r="P298" s="304"/>
      <c r="Q298" s="305"/>
      <c r="R298" s="305"/>
      <c r="S298" s="302">
        <v>22</v>
      </c>
      <c r="T298" s="303">
        <v>12000</v>
      </c>
      <c r="U298" s="303">
        <v>19000</v>
      </c>
      <c r="V298" s="321" t="s">
        <v>1648</v>
      </c>
      <c r="W298" s="321" t="s">
        <v>1648</v>
      </c>
      <c r="X298" s="321" t="s">
        <v>1648</v>
      </c>
      <c r="Y298" s="321" t="s">
        <v>1649</v>
      </c>
      <c r="Z298" s="321" t="s">
        <v>1648</v>
      </c>
      <c r="AA298" s="321" t="s">
        <v>1648</v>
      </c>
      <c r="AB298" s="321" t="s">
        <v>1648</v>
      </c>
      <c r="AC298" s="321" t="s">
        <v>1648</v>
      </c>
      <c r="AD298" s="321" t="s">
        <v>1648</v>
      </c>
      <c r="AE298" s="321" t="s">
        <v>1648</v>
      </c>
      <c r="AF298" s="321" t="s">
        <v>1649</v>
      </c>
      <c r="AG298" s="321" t="s">
        <v>1649</v>
      </c>
      <c r="AH298" s="300" t="s">
        <v>1613</v>
      </c>
      <c r="AI298" s="321" t="s">
        <v>1649</v>
      </c>
      <c r="AJ298" s="321" t="s">
        <v>1649</v>
      </c>
      <c r="AK298" s="321" t="s">
        <v>1649</v>
      </c>
      <c r="AL298" s="321" t="s">
        <v>1649</v>
      </c>
      <c r="AM298" s="321" t="s">
        <v>1649</v>
      </c>
      <c r="AN298" s="321" t="s">
        <v>1649</v>
      </c>
      <c r="AO298" s="321" t="s">
        <v>1649</v>
      </c>
      <c r="AP298" s="321" t="s">
        <v>1649</v>
      </c>
      <c r="AQ298" s="321" t="s">
        <v>1649</v>
      </c>
      <c r="AR298" s="321" t="s">
        <v>1649</v>
      </c>
      <c r="AS298" s="321" t="s">
        <v>1649</v>
      </c>
      <c r="AT298" s="321" t="s">
        <v>1649</v>
      </c>
      <c r="AU298" s="301" t="s">
        <v>1613</v>
      </c>
    </row>
    <row r="299" spans="1:47" ht="13.5" thickBot="1" x14ac:dyDescent="0.25">
      <c r="A299" s="48" t="s">
        <v>730</v>
      </c>
      <c r="B299" s="291" t="s">
        <v>729</v>
      </c>
      <c r="C299" s="298" t="s">
        <v>22</v>
      </c>
      <c r="D299" s="299" t="s">
        <v>1613</v>
      </c>
      <c r="E299" s="299" t="s">
        <v>1613</v>
      </c>
      <c r="F299" s="299" t="s">
        <v>1613</v>
      </c>
      <c r="G299" s="299" t="s">
        <v>1613</v>
      </c>
      <c r="H299" s="299" t="s">
        <v>1613</v>
      </c>
      <c r="I299" s="299" t="s">
        <v>1613</v>
      </c>
      <c r="J299" s="302">
        <v>40</v>
      </c>
      <c r="K299" s="303">
        <v>40000</v>
      </c>
      <c r="L299" s="303">
        <v>52858</v>
      </c>
      <c r="M299" s="302">
        <v>40</v>
      </c>
      <c r="N299" s="303">
        <v>35000</v>
      </c>
      <c r="O299" s="303">
        <v>45900</v>
      </c>
      <c r="P299" s="302">
        <v>40</v>
      </c>
      <c r="Q299" s="303">
        <v>30000</v>
      </c>
      <c r="R299" s="303">
        <v>41616</v>
      </c>
      <c r="S299" s="302">
        <v>20</v>
      </c>
      <c r="T299" s="303">
        <v>12480</v>
      </c>
      <c r="U299" s="303">
        <v>14560</v>
      </c>
      <c r="V299" s="321" t="s">
        <v>1648</v>
      </c>
      <c r="W299" s="321" t="s">
        <v>1648</v>
      </c>
      <c r="X299" s="321" t="s">
        <v>1648</v>
      </c>
      <c r="Y299" s="321" t="s">
        <v>1649</v>
      </c>
      <c r="Z299" s="321" t="s">
        <v>1648</v>
      </c>
      <c r="AA299" s="321" t="s">
        <v>1648</v>
      </c>
      <c r="AB299" s="321" t="s">
        <v>1648</v>
      </c>
      <c r="AC299" s="321" t="s">
        <v>1648</v>
      </c>
      <c r="AD299" s="321" t="s">
        <v>1649</v>
      </c>
      <c r="AE299" s="321" t="s">
        <v>1648</v>
      </c>
      <c r="AF299" s="321" t="s">
        <v>1648</v>
      </c>
      <c r="AG299" s="321" t="s">
        <v>1649</v>
      </c>
      <c r="AH299" s="300" t="s">
        <v>1613</v>
      </c>
      <c r="AI299" s="321" t="s">
        <v>1649</v>
      </c>
      <c r="AJ299" s="321" t="s">
        <v>1649</v>
      </c>
      <c r="AK299" s="321" t="s">
        <v>1649</v>
      </c>
      <c r="AL299" s="321" t="s">
        <v>1649</v>
      </c>
      <c r="AM299" s="321" t="s">
        <v>1649</v>
      </c>
      <c r="AN299" s="321" t="s">
        <v>1648</v>
      </c>
      <c r="AO299" s="321" t="s">
        <v>1648</v>
      </c>
      <c r="AP299" s="321" t="s">
        <v>1648</v>
      </c>
      <c r="AQ299" s="321" t="s">
        <v>1649</v>
      </c>
      <c r="AR299" s="321" t="s">
        <v>1649</v>
      </c>
      <c r="AS299" s="321" t="s">
        <v>1648</v>
      </c>
      <c r="AT299" s="321" t="s">
        <v>1649</v>
      </c>
      <c r="AU299" s="301" t="s">
        <v>1613</v>
      </c>
    </row>
    <row r="300" spans="1:47" ht="13.5" thickBot="1" x14ac:dyDescent="0.25">
      <c r="A300" s="48" t="s">
        <v>742</v>
      </c>
      <c r="B300" s="291" t="s">
        <v>741</v>
      </c>
      <c r="C300" s="298" t="s">
        <v>22</v>
      </c>
      <c r="D300" s="299" t="s">
        <v>1613</v>
      </c>
      <c r="E300" s="299" t="s">
        <v>1613</v>
      </c>
      <c r="F300" s="299" t="s">
        <v>1613</v>
      </c>
      <c r="G300" s="299" t="s">
        <v>1613</v>
      </c>
      <c r="H300" s="299" t="s">
        <v>1613</v>
      </c>
      <c r="I300" s="299" t="s">
        <v>1613</v>
      </c>
      <c r="J300" s="302">
        <v>8</v>
      </c>
      <c r="K300" s="303">
        <v>4406</v>
      </c>
      <c r="L300" s="303">
        <v>7079</v>
      </c>
      <c r="M300" s="299" t="s">
        <v>1613</v>
      </c>
      <c r="N300" s="299" t="s">
        <v>1613</v>
      </c>
      <c r="O300" s="299" t="s">
        <v>1613</v>
      </c>
      <c r="P300" s="299" t="s">
        <v>1613</v>
      </c>
      <c r="Q300" s="299" t="s">
        <v>1613</v>
      </c>
      <c r="R300" s="299" t="s">
        <v>1613</v>
      </c>
      <c r="S300" s="302">
        <v>7</v>
      </c>
      <c r="T300" s="303">
        <v>3856</v>
      </c>
      <c r="U300" s="303">
        <v>5855</v>
      </c>
      <c r="V300" s="321" t="s">
        <v>1649</v>
      </c>
      <c r="W300" s="321" t="s">
        <v>1649</v>
      </c>
      <c r="X300" s="321" t="s">
        <v>1649</v>
      </c>
      <c r="Y300" s="321" t="s">
        <v>1649</v>
      </c>
      <c r="Z300" s="321" t="s">
        <v>1649</v>
      </c>
      <c r="AA300" s="321" t="s">
        <v>1649</v>
      </c>
      <c r="AB300" s="321" t="s">
        <v>1649</v>
      </c>
      <c r="AC300" s="321" t="s">
        <v>1649</v>
      </c>
      <c r="AD300" s="321" t="s">
        <v>1649</v>
      </c>
      <c r="AE300" s="321" t="s">
        <v>1649</v>
      </c>
      <c r="AF300" s="321" t="s">
        <v>1649</v>
      </c>
      <c r="AG300" s="321" t="s">
        <v>1649</v>
      </c>
      <c r="AH300" s="300" t="s">
        <v>1613</v>
      </c>
      <c r="AI300" s="321" t="s">
        <v>1649</v>
      </c>
      <c r="AJ300" s="321" t="s">
        <v>1649</v>
      </c>
      <c r="AK300" s="321" t="s">
        <v>1649</v>
      </c>
      <c r="AL300" s="321" t="s">
        <v>1649</v>
      </c>
      <c r="AM300" s="321" t="s">
        <v>1649</v>
      </c>
      <c r="AN300" s="321" t="s">
        <v>1649</v>
      </c>
      <c r="AO300" s="321" t="s">
        <v>1649</v>
      </c>
      <c r="AP300" s="321" t="s">
        <v>1649</v>
      </c>
      <c r="AQ300" s="321" t="s">
        <v>1649</v>
      </c>
      <c r="AR300" s="321" t="s">
        <v>1649</v>
      </c>
      <c r="AS300" s="321" t="s">
        <v>1649</v>
      </c>
      <c r="AT300" s="321" t="s">
        <v>1649</v>
      </c>
      <c r="AU300" s="301" t="s">
        <v>1613</v>
      </c>
    </row>
    <row r="301" spans="1:47" ht="13.5" thickBot="1" x14ac:dyDescent="0.25">
      <c r="A301" s="48" t="s">
        <v>746</v>
      </c>
      <c r="B301" s="291" t="s">
        <v>745</v>
      </c>
      <c r="C301" s="298" t="s">
        <v>22</v>
      </c>
      <c r="D301" s="302">
        <v>40</v>
      </c>
      <c r="E301" s="303">
        <v>36420</v>
      </c>
      <c r="F301" s="303">
        <v>37515</v>
      </c>
      <c r="G301" s="299" t="s">
        <v>1613</v>
      </c>
      <c r="H301" s="299" t="s">
        <v>1613</v>
      </c>
      <c r="I301" s="299" t="s">
        <v>1613</v>
      </c>
      <c r="J301" s="302">
        <v>29</v>
      </c>
      <c r="K301" s="303">
        <v>24852</v>
      </c>
      <c r="L301" s="303">
        <v>25600</v>
      </c>
      <c r="M301" s="299" t="s">
        <v>1613</v>
      </c>
      <c r="N301" s="299" t="s">
        <v>1613</v>
      </c>
      <c r="O301" s="299" t="s">
        <v>1613</v>
      </c>
      <c r="P301" s="302">
        <v>29</v>
      </c>
      <c r="Q301" s="303">
        <v>18100</v>
      </c>
      <c r="R301" s="303">
        <v>22000</v>
      </c>
      <c r="S301" s="302">
        <v>25</v>
      </c>
      <c r="T301" s="303">
        <v>13000</v>
      </c>
      <c r="U301" s="303">
        <v>18000</v>
      </c>
      <c r="V301" s="321" t="s">
        <v>1648</v>
      </c>
      <c r="W301" s="321" t="s">
        <v>1648</v>
      </c>
      <c r="X301" s="321" t="s">
        <v>1648</v>
      </c>
      <c r="Y301" s="321" t="s">
        <v>1648</v>
      </c>
      <c r="Z301" s="321" t="s">
        <v>1648</v>
      </c>
      <c r="AA301" s="321" t="s">
        <v>1648</v>
      </c>
      <c r="AB301" s="321" t="s">
        <v>1648</v>
      </c>
      <c r="AC301" s="321" t="s">
        <v>1648</v>
      </c>
      <c r="AD301" s="321" t="s">
        <v>1649</v>
      </c>
      <c r="AE301" s="321" t="s">
        <v>1648</v>
      </c>
      <c r="AF301" s="321" t="s">
        <v>1649</v>
      </c>
      <c r="AG301" s="321" t="s">
        <v>1649</v>
      </c>
      <c r="AH301" s="300" t="s">
        <v>1613</v>
      </c>
      <c r="AI301" s="321" t="s">
        <v>1649</v>
      </c>
      <c r="AJ301" s="321" t="s">
        <v>1649</v>
      </c>
      <c r="AK301" s="321" t="s">
        <v>1649</v>
      </c>
      <c r="AL301" s="321" t="s">
        <v>1649</v>
      </c>
      <c r="AM301" s="321" t="s">
        <v>1649</v>
      </c>
      <c r="AN301" s="321" t="s">
        <v>1648</v>
      </c>
      <c r="AO301" s="321" t="s">
        <v>1648</v>
      </c>
      <c r="AP301" s="321" t="s">
        <v>1648</v>
      </c>
      <c r="AQ301" s="321" t="s">
        <v>1649</v>
      </c>
      <c r="AR301" s="321" t="s">
        <v>1649</v>
      </c>
      <c r="AS301" s="321" t="s">
        <v>1649</v>
      </c>
      <c r="AT301" s="321" t="s">
        <v>1649</v>
      </c>
      <c r="AU301" s="301" t="s">
        <v>1613</v>
      </c>
    </row>
    <row r="302" spans="1:47" ht="13.5" thickBot="1" x14ac:dyDescent="0.25">
      <c r="A302" s="48" t="s">
        <v>766</v>
      </c>
      <c r="B302" s="291" t="s">
        <v>765</v>
      </c>
      <c r="C302" s="298" t="s">
        <v>22</v>
      </c>
      <c r="D302" s="299" t="s">
        <v>1613</v>
      </c>
      <c r="E302" s="299" t="s">
        <v>1613</v>
      </c>
      <c r="F302" s="299" t="s">
        <v>1613</v>
      </c>
      <c r="G302" s="302">
        <v>35</v>
      </c>
      <c r="H302" s="303">
        <v>32760</v>
      </c>
      <c r="I302" s="303">
        <v>40040</v>
      </c>
      <c r="J302" s="302">
        <v>30</v>
      </c>
      <c r="K302" s="303">
        <v>25000</v>
      </c>
      <c r="L302" s="303">
        <v>25000</v>
      </c>
      <c r="M302" s="302">
        <v>20</v>
      </c>
      <c r="N302" s="303">
        <v>10036</v>
      </c>
      <c r="O302" s="303">
        <v>12000</v>
      </c>
      <c r="P302" s="299" t="s">
        <v>1613</v>
      </c>
      <c r="Q302" s="299" t="s">
        <v>1613</v>
      </c>
      <c r="R302" s="299" t="s">
        <v>1613</v>
      </c>
      <c r="S302" s="302">
        <v>20</v>
      </c>
      <c r="T302" s="303">
        <v>10036</v>
      </c>
      <c r="U302" s="303">
        <v>18000</v>
      </c>
      <c r="V302" s="321" t="s">
        <v>1649</v>
      </c>
      <c r="W302" s="321" t="s">
        <v>1649</v>
      </c>
      <c r="X302" s="321" t="s">
        <v>1649</v>
      </c>
      <c r="Y302" s="321" t="s">
        <v>1649</v>
      </c>
      <c r="Z302" s="321" t="s">
        <v>1649</v>
      </c>
      <c r="AA302" s="321" t="s">
        <v>1648</v>
      </c>
      <c r="AB302" s="321" t="s">
        <v>1648</v>
      </c>
      <c r="AC302" s="321" t="s">
        <v>1648</v>
      </c>
      <c r="AD302" s="321" t="s">
        <v>1648</v>
      </c>
      <c r="AE302" s="321" t="s">
        <v>1649</v>
      </c>
      <c r="AF302" s="321" t="s">
        <v>1649</v>
      </c>
      <c r="AG302" s="321" t="s">
        <v>1649</v>
      </c>
      <c r="AH302" s="300" t="s">
        <v>1613</v>
      </c>
      <c r="AI302" s="321" t="s">
        <v>1649</v>
      </c>
      <c r="AJ302" s="321" t="s">
        <v>1649</v>
      </c>
      <c r="AK302" s="321" t="s">
        <v>1649</v>
      </c>
      <c r="AL302" s="321" t="s">
        <v>1649</v>
      </c>
      <c r="AM302" s="321" t="s">
        <v>1649</v>
      </c>
      <c r="AN302" s="321" t="s">
        <v>1649</v>
      </c>
      <c r="AO302" s="321" t="s">
        <v>1648</v>
      </c>
      <c r="AP302" s="321" t="s">
        <v>1648</v>
      </c>
      <c r="AQ302" s="321" t="s">
        <v>1648</v>
      </c>
      <c r="AR302" s="321" t="s">
        <v>1649</v>
      </c>
      <c r="AS302" s="321" t="s">
        <v>1649</v>
      </c>
      <c r="AT302" s="321" t="s">
        <v>1649</v>
      </c>
      <c r="AU302" s="301" t="s">
        <v>1613</v>
      </c>
    </row>
    <row r="303" spans="1:47" ht="13.5" thickBot="1" x14ac:dyDescent="0.25">
      <c r="A303" s="48" t="s">
        <v>786</v>
      </c>
      <c r="B303" s="291" t="s">
        <v>785</v>
      </c>
      <c r="C303" s="298" t="s">
        <v>22</v>
      </c>
      <c r="D303" s="304"/>
      <c r="E303" s="305"/>
      <c r="F303" s="305"/>
      <c r="G303" s="304"/>
      <c r="H303" s="305"/>
      <c r="I303" s="305"/>
      <c r="J303" s="302">
        <v>27</v>
      </c>
      <c r="K303" s="303">
        <v>25272</v>
      </c>
      <c r="L303" s="303">
        <v>32292</v>
      </c>
      <c r="M303" s="302">
        <v>27</v>
      </c>
      <c r="N303" s="303">
        <v>25272</v>
      </c>
      <c r="O303" s="303">
        <v>32292</v>
      </c>
      <c r="P303" s="302">
        <v>38</v>
      </c>
      <c r="Q303" s="303">
        <v>45030</v>
      </c>
      <c r="R303" s="303">
        <v>45030</v>
      </c>
      <c r="S303" s="302">
        <v>14</v>
      </c>
      <c r="T303" s="303">
        <v>7826</v>
      </c>
      <c r="U303" s="303">
        <v>10010</v>
      </c>
      <c r="V303" s="321" t="s">
        <v>1648</v>
      </c>
      <c r="W303" s="321" t="s">
        <v>1648</v>
      </c>
      <c r="X303" s="321" t="s">
        <v>1648</v>
      </c>
      <c r="Y303" s="321" t="s">
        <v>1648</v>
      </c>
      <c r="Z303" s="321" t="s">
        <v>1648</v>
      </c>
      <c r="AA303" s="321" t="s">
        <v>1648</v>
      </c>
      <c r="AB303" s="321" t="s">
        <v>1648</v>
      </c>
      <c r="AC303" s="321" t="s">
        <v>1648</v>
      </c>
      <c r="AD303" s="321" t="s">
        <v>1648</v>
      </c>
      <c r="AE303" s="321" t="s">
        <v>1649</v>
      </c>
      <c r="AF303" s="321" t="s">
        <v>1649</v>
      </c>
      <c r="AG303" s="321" t="s">
        <v>1648</v>
      </c>
      <c r="AH303" s="300"/>
      <c r="AI303" s="321" t="s">
        <v>1649</v>
      </c>
      <c r="AJ303" s="321" t="s">
        <v>1649</v>
      </c>
      <c r="AK303" s="321" t="s">
        <v>1649</v>
      </c>
      <c r="AL303" s="321" t="s">
        <v>1649</v>
      </c>
      <c r="AM303" s="321" t="s">
        <v>1649</v>
      </c>
      <c r="AN303" s="321" t="s">
        <v>1648</v>
      </c>
      <c r="AO303" s="321" t="s">
        <v>1649</v>
      </c>
      <c r="AP303" s="321" t="s">
        <v>1648</v>
      </c>
      <c r="AQ303" s="321" t="s">
        <v>1649</v>
      </c>
      <c r="AR303" s="321" t="s">
        <v>1649</v>
      </c>
      <c r="AS303" s="321" t="s">
        <v>1649</v>
      </c>
      <c r="AT303" s="321" t="s">
        <v>1649</v>
      </c>
      <c r="AU303" s="301"/>
    </row>
    <row r="304" spans="1:47" ht="13.5" thickBot="1" x14ac:dyDescent="0.25">
      <c r="A304" s="48" t="s">
        <v>812</v>
      </c>
      <c r="B304" s="291" t="s">
        <v>811</v>
      </c>
      <c r="C304" s="298" t="s">
        <v>22</v>
      </c>
      <c r="D304" s="299" t="s">
        <v>1613</v>
      </c>
      <c r="E304" s="299" t="s">
        <v>1613</v>
      </c>
      <c r="F304" s="299" t="s">
        <v>1613</v>
      </c>
      <c r="G304" s="302">
        <v>40</v>
      </c>
      <c r="H304" s="303">
        <v>46000</v>
      </c>
      <c r="I304" s="303">
        <v>57500</v>
      </c>
      <c r="J304" s="302">
        <v>40</v>
      </c>
      <c r="K304" s="303">
        <v>42791</v>
      </c>
      <c r="L304" s="303">
        <v>53489</v>
      </c>
      <c r="M304" s="302">
        <v>26</v>
      </c>
      <c r="N304" s="303">
        <v>22984</v>
      </c>
      <c r="O304" s="303">
        <v>28392</v>
      </c>
      <c r="P304" s="299" t="s">
        <v>1613</v>
      </c>
      <c r="Q304" s="299" t="s">
        <v>1613</v>
      </c>
      <c r="R304" s="299" t="s">
        <v>1613</v>
      </c>
      <c r="S304" s="302">
        <v>19</v>
      </c>
      <c r="T304" s="303">
        <v>10868</v>
      </c>
      <c r="U304" s="303">
        <v>13832</v>
      </c>
      <c r="V304" s="321" t="s">
        <v>1648</v>
      </c>
      <c r="W304" s="321" t="s">
        <v>1648</v>
      </c>
      <c r="X304" s="321" t="s">
        <v>1648</v>
      </c>
      <c r="Y304" s="321" t="s">
        <v>1649</v>
      </c>
      <c r="Z304" s="321" t="s">
        <v>1648</v>
      </c>
      <c r="AA304" s="321" t="s">
        <v>1648</v>
      </c>
      <c r="AB304" s="321" t="s">
        <v>1648</v>
      </c>
      <c r="AC304" s="321" t="s">
        <v>1648</v>
      </c>
      <c r="AD304" s="321" t="s">
        <v>1649</v>
      </c>
      <c r="AE304" s="321" t="s">
        <v>1648</v>
      </c>
      <c r="AF304" s="321" t="s">
        <v>1648</v>
      </c>
      <c r="AG304" s="321" t="s">
        <v>1649</v>
      </c>
      <c r="AH304" s="300" t="s">
        <v>1613</v>
      </c>
      <c r="AI304" s="321" t="s">
        <v>1649</v>
      </c>
      <c r="AJ304" s="321" t="s">
        <v>1649</v>
      </c>
      <c r="AK304" s="321" t="s">
        <v>1649</v>
      </c>
      <c r="AL304" s="321" t="s">
        <v>1649</v>
      </c>
      <c r="AM304" s="321" t="s">
        <v>1649</v>
      </c>
      <c r="AN304" s="321" t="s">
        <v>1648</v>
      </c>
      <c r="AO304" s="321" t="s">
        <v>1649</v>
      </c>
      <c r="AP304" s="321" t="s">
        <v>1649</v>
      </c>
      <c r="AQ304" s="321" t="s">
        <v>1649</v>
      </c>
      <c r="AR304" s="321" t="s">
        <v>1649</v>
      </c>
      <c r="AS304" s="321" t="s">
        <v>1649</v>
      </c>
      <c r="AT304" s="321" t="s">
        <v>1649</v>
      </c>
      <c r="AU304" s="301" t="s">
        <v>1613</v>
      </c>
    </row>
    <row r="305" spans="1:47" ht="13.5" thickBot="1" x14ac:dyDescent="0.25">
      <c r="A305" s="48" t="s">
        <v>38</v>
      </c>
      <c r="B305" s="291" t="s">
        <v>37</v>
      </c>
      <c r="C305" s="298" t="s">
        <v>39</v>
      </c>
      <c r="D305" s="302">
        <v>35</v>
      </c>
      <c r="E305" s="303">
        <v>40000</v>
      </c>
      <c r="F305" s="303">
        <v>55000</v>
      </c>
      <c r="G305" s="299" t="s">
        <v>1613</v>
      </c>
      <c r="H305" s="299" t="s">
        <v>1613</v>
      </c>
      <c r="I305" s="299" t="s">
        <v>1613</v>
      </c>
      <c r="J305" s="299" t="s">
        <v>1613</v>
      </c>
      <c r="K305" s="299" t="s">
        <v>1613</v>
      </c>
      <c r="L305" s="299" t="s">
        <v>1613</v>
      </c>
      <c r="M305" s="299" t="s">
        <v>1613</v>
      </c>
      <c r="N305" s="299" t="s">
        <v>1613</v>
      </c>
      <c r="O305" s="299" t="s">
        <v>1613</v>
      </c>
      <c r="P305" s="302">
        <v>28</v>
      </c>
      <c r="Q305" s="303">
        <v>15000</v>
      </c>
      <c r="R305" s="303">
        <v>30000</v>
      </c>
      <c r="S305" s="302">
        <v>24</v>
      </c>
      <c r="T305" s="303">
        <v>14000</v>
      </c>
      <c r="U305" s="303">
        <v>25000</v>
      </c>
      <c r="V305" s="321" t="s">
        <v>1648</v>
      </c>
      <c r="W305" s="321" t="s">
        <v>1648</v>
      </c>
      <c r="X305" s="321" t="s">
        <v>1648</v>
      </c>
      <c r="Y305" s="321" t="s">
        <v>1648</v>
      </c>
      <c r="Z305" s="321" t="s">
        <v>1648</v>
      </c>
      <c r="AA305" s="321" t="s">
        <v>1648</v>
      </c>
      <c r="AB305" s="321" t="s">
        <v>1648</v>
      </c>
      <c r="AC305" s="321" t="s">
        <v>1648</v>
      </c>
      <c r="AD305" s="321" t="s">
        <v>1648</v>
      </c>
      <c r="AE305" s="321" t="s">
        <v>1648</v>
      </c>
      <c r="AF305" s="321" t="s">
        <v>1648</v>
      </c>
      <c r="AG305" s="321" t="s">
        <v>1649</v>
      </c>
      <c r="AH305" s="300" t="s">
        <v>1613</v>
      </c>
      <c r="AI305" s="321" t="s">
        <v>1649</v>
      </c>
      <c r="AJ305" s="321" t="s">
        <v>1649</v>
      </c>
      <c r="AK305" s="321" t="s">
        <v>1649</v>
      </c>
      <c r="AL305" s="321" t="s">
        <v>1649</v>
      </c>
      <c r="AM305" s="321" t="s">
        <v>1649</v>
      </c>
      <c r="AN305" s="321" t="s">
        <v>1648</v>
      </c>
      <c r="AO305" s="321" t="s">
        <v>1649</v>
      </c>
      <c r="AP305" s="321" t="s">
        <v>1649</v>
      </c>
      <c r="AQ305" s="321" t="s">
        <v>1648</v>
      </c>
      <c r="AR305" s="321" t="s">
        <v>1649</v>
      </c>
      <c r="AS305" s="321" t="s">
        <v>1649</v>
      </c>
      <c r="AT305" s="321" t="s">
        <v>1649</v>
      </c>
      <c r="AU305" s="301" t="s">
        <v>1613</v>
      </c>
    </row>
    <row r="306" spans="1:47" ht="13.5" thickBot="1" x14ac:dyDescent="0.25">
      <c r="A306" s="48" t="s">
        <v>41</v>
      </c>
      <c r="B306" s="291" t="s">
        <v>40</v>
      </c>
      <c r="C306" s="298" t="s">
        <v>39</v>
      </c>
      <c r="D306" s="299" t="s">
        <v>1613</v>
      </c>
      <c r="E306" s="299" t="s">
        <v>1613</v>
      </c>
      <c r="F306" s="299" t="s">
        <v>1613</v>
      </c>
      <c r="G306" s="302">
        <v>40</v>
      </c>
      <c r="H306" s="303">
        <v>46945</v>
      </c>
      <c r="I306" s="303">
        <v>65728</v>
      </c>
      <c r="J306" s="302">
        <v>20</v>
      </c>
      <c r="K306" s="303">
        <v>12343</v>
      </c>
      <c r="L306" s="303">
        <v>17243</v>
      </c>
      <c r="M306" s="302">
        <v>16</v>
      </c>
      <c r="N306" s="303">
        <v>8778</v>
      </c>
      <c r="O306" s="303">
        <v>11789</v>
      </c>
      <c r="P306" s="299" t="s">
        <v>1613</v>
      </c>
      <c r="Q306" s="299" t="s">
        <v>1613</v>
      </c>
      <c r="R306" s="299" t="s">
        <v>1613</v>
      </c>
      <c r="S306" s="302">
        <v>12</v>
      </c>
      <c r="T306" s="303">
        <v>5772</v>
      </c>
      <c r="U306" s="303">
        <v>7020</v>
      </c>
      <c r="V306" s="321" t="s">
        <v>1648</v>
      </c>
      <c r="W306" s="321" t="s">
        <v>1648</v>
      </c>
      <c r="X306" s="321" t="s">
        <v>1648</v>
      </c>
      <c r="Y306" s="321" t="s">
        <v>1648</v>
      </c>
      <c r="Z306" s="321" t="s">
        <v>1648</v>
      </c>
      <c r="AA306" s="321" t="s">
        <v>1648</v>
      </c>
      <c r="AB306" s="321" t="s">
        <v>1648</v>
      </c>
      <c r="AC306" s="321" t="s">
        <v>1648</v>
      </c>
      <c r="AD306" s="321" t="s">
        <v>1648</v>
      </c>
      <c r="AE306" s="321" t="s">
        <v>1648</v>
      </c>
      <c r="AF306" s="321" t="s">
        <v>1648</v>
      </c>
      <c r="AG306" s="321" t="s">
        <v>1649</v>
      </c>
      <c r="AH306" s="300" t="s">
        <v>1613</v>
      </c>
      <c r="AI306" s="321" t="s">
        <v>1649</v>
      </c>
      <c r="AJ306" s="321" t="s">
        <v>1649</v>
      </c>
      <c r="AK306" s="321" t="s">
        <v>1649</v>
      </c>
      <c r="AL306" s="321" t="s">
        <v>1649</v>
      </c>
      <c r="AM306" s="321" t="s">
        <v>1649</v>
      </c>
      <c r="AN306" s="321" t="s">
        <v>1648</v>
      </c>
      <c r="AO306" s="321" t="s">
        <v>1648</v>
      </c>
      <c r="AP306" s="321" t="s">
        <v>1648</v>
      </c>
      <c r="AQ306" s="321" t="s">
        <v>1649</v>
      </c>
      <c r="AR306" s="321" t="s">
        <v>1649</v>
      </c>
      <c r="AS306" s="321" t="s">
        <v>1648</v>
      </c>
      <c r="AT306" s="321" t="s">
        <v>1649</v>
      </c>
      <c r="AU306" s="301" t="s">
        <v>1613</v>
      </c>
    </row>
    <row r="307" spans="1:47" ht="13.5" thickBot="1" x14ac:dyDescent="0.25">
      <c r="A307" s="48" t="s">
        <v>49</v>
      </c>
      <c r="B307" s="291" t="s">
        <v>48</v>
      </c>
      <c r="C307" s="298" t="s">
        <v>39</v>
      </c>
      <c r="D307" s="302">
        <v>40</v>
      </c>
      <c r="E307" s="303">
        <v>52531</v>
      </c>
      <c r="F307" s="303">
        <v>52531</v>
      </c>
      <c r="G307" s="302">
        <v>40</v>
      </c>
      <c r="H307" s="303">
        <v>29993</v>
      </c>
      <c r="I307" s="303">
        <v>44871</v>
      </c>
      <c r="J307" s="302">
        <v>29</v>
      </c>
      <c r="K307" s="303">
        <v>20518</v>
      </c>
      <c r="L307" s="303">
        <v>28055</v>
      </c>
      <c r="M307" s="302">
        <v>24</v>
      </c>
      <c r="N307" s="303">
        <v>13657.8</v>
      </c>
      <c r="O307" s="303">
        <v>14422.64</v>
      </c>
      <c r="P307" s="302">
        <v>40</v>
      </c>
      <c r="Q307" s="303">
        <v>37941.9</v>
      </c>
      <c r="R307" s="303">
        <v>37941.9</v>
      </c>
      <c r="S307" s="302">
        <v>19</v>
      </c>
      <c r="T307" s="303">
        <v>7709.36</v>
      </c>
      <c r="U307" s="303">
        <v>11085</v>
      </c>
      <c r="V307" s="321" t="s">
        <v>1648</v>
      </c>
      <c r="W307" s="321" t="s">
        <v>1648</v>
      </c>
      <c r="X307" s="321" t="s">
        <v>1648</v>
      </c>
      <c r="Y307" s="321" t="s">
        <v>1648</v>
      </c>
      <c r="Z307" s="321" t="s">
        <v>1648</v>
      </c>
      <c r="AA307" s="321" t="s">
        <v>1648</v>
      </c>
      <c r="AB307" s="321" t="s">
        <v>1648</v>
      </c>
      <c r="AC307" s="321" t="s">
        <v>1648</v>
      </c>
      <c r="AD307" s="321" t="s">
        <v>1649</v>
      </c>
      <c r="AE307" s="321" t="s">
        <v>1649</v>
      </c>
      <c r="AF307" s="321" t="s">
        <v>1648</v>
      </c>
      <c r="AG307" s="321" t="s">
        <v>1649</v>
      </c>
      <c r="AH307" s="300" t="s">
        <v>1613</v>
      </c>
      <c r="AI307" s="321" t="s">
        <v>1648</v>
      </c>
      <c r="AJ307" s="321" t="s">
        <v>1648</v>
      </c>
      <c r="AK307" s="321" t="s">
        <v>1648</v>
      </c>
      <c r="AL307" s="321" t="s">
        <v>1649</v>
      </c>
      <c r="AM307" s="321" t="s">
        <v>1648</v>
      </c>
      <c r="AN307" s="321" t="s">
        <v>1648</v>
      </c>
      <c r="AO307" s="321" t="s">
        <v>1648</v>
      </c>
      <c r="AP307" s="321" t="s">
        <v>1648</v>
      </c>
      <c r="AQ307" s="321" t="s">
        <v>1649</v>
      </c>
      <c r="AR307" s="321" t="s">
        <v>1649</v>
      </c>
      <c r="AS307" s="321" t="s">
        <v>1648</v>
      </c>
      <c r="AT307" s="321" t="s">
        <v>1649</v>
      </c>
      <c r="AU307" s="301" t="s">
        <v>1613</v>
      </c>
    </row>
    <row r="308" spans="1:47" ht="13.5" thickBot="1" x14ac:dyDescent="0.25">
      <c r="A308" s="48" t="s">
        <v>72</v>
      </c>
      <c r="B308" s="291" t="s">
        <v>71</v>
      </c>
      <c r="C308" s="298" t="s">
        <v>39</v>
      </c>
      <c r="D308" s="302">
        <v>40</v>
      </c>
      <c r="E308" s="303">
        <v>54892</v>
      </c>
      <c r="F308" s="303">
        <v>76871</v>
      </c>
      <c r="G308" s="302">
        <v>40</v>
      </c>
      <c r="H308" s="303">
        <v>47727</v>
      </c>
      <c r="I308" s="303">
        <v>66818</v>
      </c>
      <c r="J308" s="302">
        <v>40</v>
      </c>
      <c r="K308" s="303">
        <v>43340</v>
      </c>
      <c r="L308" s="303">
        <v>58485</v>
      </c>
      <c r="M308" s="302">
        <v>40</v>
      </c>
      <c r="N308" s="303">
        <v>38512</v>
      </c>
      <c r="O308" s="303">
        <v>55432</v>
      </c>
      <c r="P308" s="302">
        <v>40</v>
      </c>
      <c r="Q308" s="303">
        <v>35779</v>
      </c>
      <c r="R308" s="303">
        <v>53813</v>
      </c>
      <c r="S308" s="302">
        <v>40</v>
      </c>
      <c r="T308" s="303">
        <v>25175</v>
      </c>
      <c r="U308" s="303">
        <v>38424</v>
      </c>
      <c r="V308" s="321" t="s">
        <v>1648</v>
      </c>
      <c r="W308" s="321" t="s">
        <v>1648</v>
      </c>
      <c r="X308" s="321" t="s">
        <v>1648</v>
      </c>
      <c r="Y308" s="321" t="s">
        <v>1649</v>
      </c>
      <c r="Z308" s="321" t="s">
        <v>1648</v>
      </c>
      <c r="AA308" s="321" t="s">
        <v>1648</v>
      </c>
      <c r="AB308" s="321" t="s">
        <v>1648</v>
      </c>
      <c r="AC308" s="321" t="s">
        <v>1648</v>
      </c>
      <c r="AD308" s="321" t="s">
        <v>1648</v>
      </c>
      <c r="AE308" s="321" t="s">
        <v>1648</v>
      </c>
      <c r="AF308" s="321" t="s">
        <v>1648</v>
      </c>
      <c r="AG308" s="321" t="s">
        <v>1649</v>
      </c>
      <c r="AH308" s="300" t="s">
        <v>1613</v>
      </c>
      <c r="AI308" s="321" t="s">
        <v>1649</v>
      </c>
      <c r="AJ308" s="321" t="s">
        <v>1649</v>
      </c>
      <c r="AK308" s="321" t="s">
        <v>1649</v>
      </c>
      <c r="AL308" s="321" t="s">
        <v>1649</v>
      </c>
      <c r="AM308" s="321" t="s">
        <v>1649</v>
      </c>
      <c r="AN308" s="321" t="s">
        <v>1648</v>
      </c>
      <c r="AO308" s="321" t="s">
        <v>1648</v>
      </c>
      <c r="AP308" s="321" t="s">
        <v>1648</v>
      </c>
      <c r="AQ308" s="321" t="s">
        <v>1648</v>
      </c>
      <c r="AR308" s="321" t="s">
        <v>1649</v>
      </c>
      <c r="AS308" s="321" t="s">
        <v>1648</v>
      </c>
      <c r="AT308" s="321" t="s">
        <v>1649</v>
      </c>
      <c r="AU308" s="301" t="s">
        <v>1613</v>
      </c>
    </row>
    <row r="309" spans="1:47" ht="13.5" thickBot="1" x14ac:dyDescent="0.25">
      <c r="A309" s="48" t="s">
        <v>84</v>
      </c>
      <c r="B309" s="291" t="s">
        <v>83</v>
      </c>
      <c r="C309" s="298" t="s">
        <v>39</v>
      </c>
      <c r="D309" s="302">
        <v>40</v>
      </c>
      <c r="E309" s="303">
        <v>58000</v>
      </c>
      <c r="F309" s="303">
        <v>76000</v>
      </c>
      <c r="G309" s="302">
        <v>40</v>
      </c>
      <c r="H309" s="303">
        <v>50000</v>
      </c>
      <c r="I309" s="303">
        <v>66000</v>
      </c>
      <c r="J309" s="302">
        <v>40</v>
      </c>
      <c r="K309" s="303">
        <v>48300</v>
      </c>
      <c r="L309" s="303">
        <v>55000</v>
      </c>
      <c r="M309" s="302">
        <v>40</v>
      </c>
      <c r="N309" s="303">
        <v>41600</v>
      </c>
      <c r="O309" s="303">
        <v>48300</v>
      </c>
      <c r="P309" s="302">
        <v>40</v>
      </c>
      <c r="Q309" s="303">
        <v>47000</v>
      </c>
      <c r="R309" s="303">
        <v>62000</v>
      </c>
      <c r="S309" s="302">
        <v>15</v>
      </c>
      <c r="T309" s="303">
        <v>9984</v>
      </c>
      <c r="U309" s="303">
        <v>12480</v>
      </c>
      <c r="V309" s="321" t="s">
        <v>1648</v>
      </c>
      <c r="W309" s="321" t="s">
        <v>1648</v>
      </c>
      <c r="X309" s="321" t="s">
        <v>1648</v>
      </c>
      <c r="Y309" s="321" t="s">
        <v>1648</v>
      </c>
      <c r="Z309" s="321" t="s">
        <v>1648</v>
      </c>
      <c r="AA309" s="321" t="s">
        <v>1648</v>
      </c>
      <c r="AB309" s="321" t="s">
        <v>1648</v>
      </c>
      <c r="AC309" s="321" t="s">
        <v>1648</v>
      </c>
      <c r="AD309" s="321" t="s">
        <v>1648</v>
      </c>
      <c r="AE309" s="321" t="s">
        <v>1648</v>
      </c>
      <c r="AF309" s="321" t="s">
        <v>1648</v>
      </c>
      <c r="AG309" s="321" t="s">
        <v>1649</v>
      </c>
      <c r="AH309" s="300" t="s">
        <v>1613</v>
      </c>
      <c r="AI309" s="321" t="s">
        <v>1649</v>
      </c>
      <c r="AJ309" s="321" t="s">
        <v>1649</v>
      </c>
      <c r="AK309" s="321" t="s">
        <v>1649</v>
      </c>
      <c r="AL309" s="321" t="s">
        <v>1649</v>
      </c>
      <c r="AM309" s="321" t="s">
        <v>1649</v>
      </c>
      <c r="AN309" s="321" t="s">
        <v>1648</v>
      </c>
      <c r="AO309" s="321" t="s">
        <v>1648</v>
      </c>
      <c r="AP309" s="321" t="s">
        <v>1648</v>
      </c>
      <c r="AQ309" s="321" t="s">
        <v>1649</v>
      </c>
      <c r="AR309" s="321" t="s">
        <v>1649</v>
      </c>
      <c r="AS309" s="321" t="s">
        <v>1648</v>
      </c>
      <c r="AT309" s="321" t="s">
        <v>1649</v>
      </c>
      <c r="AU309" s="301" t="s">
        <v>1613</v>
      </c>
    </row>
    <row r="310" spans="1:47" ht="13.5" thickBot="1" x14ac:dyDescent="0.25">
      <c r="A310" s="48" t="s">
        <v>108</v>
      </c>
      <c r="B310" s="291" t="s">
        <v>107</v>
      </c>
      <c r="C310" s="298" t="s">
        <v>39</v>
      </c>
      <c r="D310" s="302">
        <v>38</v>
      </c>
      <c r="E310" s="303">
        <v>65894</v>
      </c>
      <c r="F310" s="303">
        <v>90412</v>
      </c>
      <c r="G310" s="302">
        <v>38</v>
      </c>
      <c r="H310" s="303">
        <v>58573</v>
      </c>
      <c r="I310" s="303">
        <v>80366</v>
      </c>
      <c r="J310" s="302">
        <v>38</v>
      </c>
      <c r="K310" s="303">
        <v>52066</v>
      </c>
      <c r="L310" s="303">
        <v>71436</v>
      </c>
      <c r="M310" s="302">
        <v>28</v>
      </c>
      <c r="N310" s="303">
        <v>46280</v>
      </c>
      <c r="O310" s="303">
        <v>63499</v>
      </c>
      <c r="P310" s="302">
        <v>38</v>
      </c>
      <c r="Q310" s="303">
        <v>46280</v>
      </c>
      <c r="R310" s="303">
        <v>63499</v>
      </c>
      <c r="S310" s="302">
        <v>23</v>
      </c>
      <c r="T310" s="303">
        <v>34398</v>
      </c>
      <c r="U310" s="303">
        <v>45449</v>
      </c>
      <c r="V310" s="321" t="s">
        <v>1648</v>
      </c>
      <c r="W310" s="321" t="s">
        <v>1648</v>
      </c>
      <c r="X310" s="321" t="s">
        <v>1648</v>
      </c>
      <c r="Y310" s="321" t="s">
        <v>1648</v>
      </c>
      <c r="Z310" s="321" t="s">
        <v>1648</v>
      </c>
      <c r="AA310" s="321" t="s">
        <v>1648</v>
      </c>
      <c r="AB310" s="321" t="s">
        <v>1648</v>
      </c>
      <c r="AC310" s="321" t="s">
        <v>1648</v>
      </c>
      <c r="AD310" s="321" t="s">
        <v>1648</v>
      </c>
      <c r="AE310" s="321" t="s">
        <v>1648</v>
      </c>
      <c r="AF310" s="321" t="s">
        <v>1648</v>
      </c>
      <c r="AG310" s="321" t="s">
        <v>1649</v>
      </c>
      <c r="AH310" s="165" t="s">
        <v>3540</v>
      </c>
      <c r="AI310" s="321" t="s">
        <v>1649</v>
      </c>
      <c r="AJ310" s="321" t="s">
        <v>1649</v>
      </c>
      <c r="AK310" s="321" t="s">
        <v>1649</v>
      </c>
      <c r="AL310" s="321" t="s">
        <v>1649</v>
      </c>
      <c r="AM310" s="321" t="s">
        <v>1649</v>
      </c>
      <c r="AN310" s="321" t="s">
        <v>1648</v>
      </c>
      <c r="AO310" s="321" t="s">
        <v>1648</v>
      </c>
      <c r="AP310" s="321" t="s">
        <v>1648</v>
      </c>
      <c r="AQ310" s="321" t="s">
        <v>1649</v>
      </c>
      <c r="AR310" s="321" t="s">
        <v>1649</v>
      </c>
      <c r="AS310" s="321" t="s">
        <v>1648</v>
      </c>
      <c r="AT310" s="321" t="s">
        <v>1649</v>
      </c>
      <c r="AU310" s="307" t="s">
        <v>3540</v>
      </c>
    </row>
    <row r="311" spans="1:47" ht="13.5" thickBot="1" x14ac:dyDescent="0.25">
      <c r="A311" s="48" t="s">
        <v>114</v>
      </c>
      <c r="B311" s="291" t="s">
        <v>113</v>
      </c>
      <c r="C311" s="298" t="s">
        <v>39</v>
      </c>
      <c r="D311" s="302">
        <v>40</v>
      </c>
      <c r="E311" s="303">
        <v>58000</v>
      </c>
      <c r="F311" s="303">
        <v>58000</v>
      </c>
      <c r="G311" s="302">
        <v>37</v>
      </c>
      <c r="H311" s="303">
        <v>19009</v>
      </c>
      <c r="I311" s="303">
        <v>37440</v>
      </c>
      <c r="J311" s="302">
        <v>40</v>
      </c>
      <c r="K311" s="303">
        <v>50000</v>
      </c>
      <c r="L311" s="303">
        <v>50000</v>
      </c>
      <c r="M311" s="302">
        <v>26</v>
      </c>
      <c r="N311" s="303">
        <v>15277</v>
      </c>
      <c r="O311" s="303">
        <v>24200</v>
      </c>
      <c r="P311" s="302">
        <v>40</v>
      </c>
      <c r="Q311" s="303">
        <v>29099</v>
      </c>
      <c r="R311" s="303">
        <v>37232</v>
      </c>
      <c r="S311" s="302">
        <v>26</v>
      </c>
      <c r="T311" s="303">
        <v>12274</v>
      </c>
      <c r="U311" s="303">
        <v>26153</v>
      </c>
      <c r="V311" s="321" t="s">
        <v>1648</v>
      </c>
      <c r="W311" s="321" t="s">
        <v>1648</v>
      </c>
      <c r="X311" s="321" t="s">
        <v>1649</v>
      </c>
      <c r="Y311" s="321" t="s">
        <v>1649</v>
      </c>
      <c r="Z311" s="321" t="s">
        <v>1648</v>
      </c>
      <c r="AA311" s="321" t="s">
        <v>1648</v>
      </c>
      <c r="AB311" s="321" t="s">
        <v>1648</v>
      </c>
      <c r="AC311" s="321" t="s">
        <v>1648</v>
      </c>
      <c r="AD311" s="321" t="s">
        <v>1649</v>
      </c>
      <c r="AE311" s="321" t="s">
        <v>1649</v>
      </c>
      <c r="AF311" s="321" t="s">
        <v>1648</v>
      </c>
      <c r="AG311" s="321" t="s">
        <v>1648</v>
      </c>
      <c r="AH311" s="300" t="s">
        <v>1613</v>
      </c>
      <c r="AI311" s="321" t="s">
        <v>1649</v>
      </c>
      <c r="AJ311" s="321" t="s">
        <v>1649</v>
      </c>
      <c r="AK311" s="321" t="s">
        <v>1649</v>
      </c>
      <c r="AL311" s="321" t="s">
        <v>1649</v>
      </c>
      <c r="AM311" s="321" t="s">
        <v>1649</v>
      </c>
      <c r="AN311" s="321" t="s">
        <v>1648</v>
      </c>
      <c r="AO311" s="321" t="s">
        <v>1648</v>
      </c>
      <c r="AP311" s="321" t="s">
        <v>1648</v>
      </c>
      <c r="AQ311" s="321" t="s">
        <v>1649</v>
      </c>
      <c r="AR311" s="321" t="s">
        <v>1649</v>
      </c>
      <c r="AS311" s="321" t="s">
        <v>1648</v>
      </c>
      <c r="AT311" s="321" t="s">
        <v>1648</v>
      </c>
      <c r="AU311" s="301" t="s">
        <v>1613</v>
      </c>
    </row>
    <row r="312" spans="1:47" ht="13.5" thickBot="1" x14ac:dyDescent="0.25">
      <c r="A312" s="48" t="s">
        <v>124</v>
      </c>
      <c r="B312" s="291" t="s">
        <v>123</v>
      </c>
      <c r="C312" s="298" t="s">
        <v>39</v>
      </c>
      <c r="D312" s="302">
        <v>40</v>
      </c>
      <c r="E312" s="303">
        <v>58996</v>
      </c>
      <c r="F312" s="303">
        <v>75725</v>
      </c>
      <c r="G312" s="302">
        <v>40</v>
      </c>
      <c r="H312" s="303">
        <v>47482</v>
      </c>
      <c r="I312" s="303">
        <v>65194</v>
      </c>
      <c r="J312" s="302">
        <v>34</v>
      </c>
      <c r="K312" s="303">
        <v>38604</v>
      </c>
      <c r="L312" s="303">
        <v>51350</v>
      </c>
      <c r="M312" s="302">
        <v>20</v>
      </c>
      <c r="N312" s="303">
        <v>38168</v>
      </c>
      <c r="O312" s="303">
        <v>39520</v>
      </c>
      <c r="P312" s="299" t="s">
        <v>1613</v>
      </c>
      <c r="Q312" s="299" t="s">
        <v>1613</v>
      </c>
      <c r="R312" s="299" t="s">
        <v>1613</v>
      </c>
      <c r="S312" s="302">
        <v>19</v>
      </c>
      <c r="T312" s="303">
        <v>20800</v>
      </c>
      <c r="U312" s="303">
        <v>30763</v>
      </c>
      <c r="V312" s="321" t="s">
        <v>1648</v>
      </c>
      <c r="W312" s="321" t="s">
        <v>1648</v>
      </c>
      <c r="X312" s="321" t="s">
        <v>1648</v>
      </c>
      <c r="Y312" s="321" t="s">
        <v>1649</v>
      </c>
      <c r="Z312" s="321" t="s">
        <v>1648</v>
      </c>
      <c r="AA312" s="321" t="s">
        <v>1648</v>
      </c>
      <c r="AB312" s="321" t="s">
        <v>1648</v>
      </c>
      <c r="AC312" s="321" t="s">
        <v>1648</v>
      </c>
      <c r="AD312" s="321" t="s">
        <v>1648</v>
      </c>
      <c r="AE312" s="321" t="s">
        <v>1648</v>
      </c>
      <c r="AF312" s="321" t="s">
        <v>1648</v>
      </c>
      <c r="AG312" s="321" t="s">
        <v>1648</v>
      </c>
      <c r="AH312" s="165" t="s">
        <v>3679</v>
      </c>
      <c r="AI312" s="321" t="s">
        <v>1649</v>
      </c>
      <c r="AJ312" s="321" t="s">
        <v>1649</v>
      </c>
      <c r="AK312" s="321" t="s">
        <v>1649</v>
      </c>
      <c r="AL312" s="321" t="s">
        <v>1649</v>
      </c>
      <c r="AM312" s="321" t="s">
        <v>1649</v>
      </c>
      <c r="AN312" s="321" t="s">
        <v>1648</v>
      </c>
      <c r="AO312" s="321" t="s">
        <v>1648</v>
      </c>
      <c r="AP312" s="321" t="s">
        <v>1648</v>
      </c>
      <c r="AQ312" s="321" t="s">
        <v>1648</v>
      </c>
      <c r="AR312" s="321" t="s">
        <v>1649</v>
      </c>
      <c r="AS312" s="321" t="s">
        <v>1648</v>
      </c>
      <c r="AT312" s="321" t="s">
        <v>1648</v>
      </c>
      <c r="AU312" s="307" t="s">
        <v>3680</v>
      </c>
    </row>
    <row r="313" spans="1:47" ht="13.5" thickBot="1" x14ac:dyDescent="0.25">
      <c r="A313" s="48" t="s">
        <v>134</v>
      </c>
      <c r="B313" s="291" t="s">
        <v>133</v>
      </c>
      <c r="C313" s="298" t="s">
        <v>39</v>
      </c>
      <c r="D313" s="304"/>
      <c r="E313" s="305"/>
      <c r="F313" s="305"/>
      <c r="G313" s="302">
        <v>40</v>
      </c>
      <c r="H313" s="303">
        <v>29120</v>
      </c>
      <c r="I313" s="303">
        <v>32760</v>
      </c>
      <c r="J313" s="302">
        <v>40</v>
      </c>
      <c r="K313" s="303">
        <v>39520</v>
      </c>
      <c r="L313" s="303">
        <v>45240</v>
      </c>
      <c r="M313" s="302">
        <v>40</v>
      </c>
      <c r="N313" s="303">
        <v>32760</v>
      </c>
      <c r="O313" s="303">
        <v>32760</v>
      </c>
      <c r="P313" s="302">
        <v>30</v>
      </c>
      <c r="Q313" s="303">
        <v>31590</v>
      </c>
      <c r="R313" s="303">
        <v>31590</v>
      </c>
      <c r="S313" s="302">
        <v>40</v>
      </c>
      <c r="T313" s="303">
        <v>33280</v>
      </c>
      <c r="U313" s="303">
        <v>43784</v>
      </c>
      <c r="V313" s="321" t="s">
        <v>1648</v>
      </c>
      <c r="W313" s="321" t="s">
        <v>1648</v>
      </c>
      <c r="X313" s="321" t="s">
        <v>1648</v>
      </c>
      <c r="Y313" s="321" t="s">
        <v>1648</v>
      </c>
      <c r="Z313" s="321" t="s">
        <v>1648</v>
      </c>
      <c r="AA313" s="321" t="s">
        <v>1648</v>
      </c>
      <c r="AB313" s="321" t="s">
        <v>1648</v>
      </c>
      <c r="AC313" s="321" t="s">
        <v>1648</v>
      </c>
      <c r="AD313" s="321" t="s">
        <v>1648</v>
      </c>
      <c r="AE313" s="321" t="s">
        <v>1649</v>
      </c>
      <c r="AF313" s="321" t="s">
        <v>1649</v>
      </c>
      <c r="AG313" s="321" t="s">
        <v>1648</v>
      </c>
      <c r="AH313" s="300" t="s">
        <v>1613</v>
      </c>
      <c r="AI313" s="321" t="s">
        <v>1649</v>
      </c>
      <c r="AJ313" s="321" t="s">
        <v>1649</v>
      </c>
      <c r="AK313" s="321" t="s">
        <v>1649</v>
      </c>
      <c r="AL313" s="321" t="s">
        <v>1649</v>
      </c>
      <c r="AM313" s="321" t="s">
        <v>1649</v>
      </c>
      <c r="AN313" s="321" t="s">
        <v>1649</v>
      </c>
      <c r="AO313" s="321" t="s">
        <v>1649</v>
      </c>
      <c r="AP313" s="321" t="s">
        <v>1649</v>
      </c>
      <c r="AQ313" s="321" t="s">
        <v>1649</v>
      </c>
      <c r="AR313" s="321" t="s">
        <v>1649</v>
      </c>
      <c r="AS313" s="321" t="s">
        <v>1649</v>
      </c>
      <c r="AT313" s="321" t="s">
        <v>1649</v>
      </c>
      <c r="AU313" s="301" t="s">
        <v>1613</v>
      </c>
    </row>
    <row r="314" spans="1:47" ht="13.5" thickBot="1" x14ac:dyDescent="0.25">
      <c r="A314" s="48" t="s">
        <v>150</v>
      </c>
      <c r="B314" s="291" t="s">
        <v>149</v>
      </c>
      <c r="C314" s="298" t="s">
        <v>39</v>
      </c>
      <c r="D314" s="304"/>
      <c r="E314" s="305"/>
      <c r="F314" s="305"/>
      <c r="G314" s="302">
        <v>40</v>
      </c>
      <c r="H314" s="303">
        <v>35868</v>
      </c>
      <c r="I314" s="303">
        <v>43344</v>
      </c>
      <c r="J314" s="302">
        <v>40</v>
      </c>
      <c r="K314" s="303">
        <v>30902</v>
      </c>
      <c r="L314" s="303">
        <v>41387</v>
      </c>
      <c r="M314" s="302">
        <v>40</v>
      </c>
      <c r="N314" s="303">
        <v>27315</v>
      </c>
      <c r="O314" s="303">
        <v>27315</v>
      </c>
      <c r="P314" s="304"/>
      <c r="Q314" s="305"/>
      <c r="R314" s="305"/>
      <c r="S314" s="302">
        <v>15</v>
      </c>
      <c r="T314" s="303">
        <v>8115</v>
      </c>
      <c r="U314" s="303">
        <v>14485</v>
      </c>
      <c r="V314" s="321" t="s">
        <v>1649</v>
      </c>
      <c r="W314" s="321" t="s">
        <v>1648</v>
      </c>
      <c r="X314" s="321" t="s">
        <v>1648</v>
      </c>
      <c r="Y314" s="321" t="s">
        <v>1648</v>
      </c>
      <c r="Z314" s="321" t="s">
        <v>1648</v>
      </c>
      <c r="AA314" s="321" t="s">
        <v>1648</v>
      </c>
      <c r="AB314" s="321" t="s">
        <v>1648</v>
      </c>
      <c r="AC314" s="321" t="s">
        <v>1648</v>
      </c>
      <c r="AD314" s="321" t="s">
        <v>1649</v>
      </c>
      <c r="AE314" s="321" t="s">
        <v>1649</v>
      </c>
      <c r="AF314" s="321" t="s">
        <v>1648</v>
      </c>
      <c r="AG314" s="321" t="s">
        <v>1649</v>
      </c>
      <c r="AH314" s="300" t="s">
        <v>1613</v>
      </c>
      <c r="AI314" s="321" t="s">
        <v>1649</v>
      </c>
      <c r="AJ314" s="321" t="s">
        <v>1649</v>
      </c>
      <c r="AK314" s="321" t="s">
        <v>1649</v>
      </c>
      <c r="AL314" s="321" t="s">
        <v>1649</v>
      </c>
      <c r="AM314" s="321" t="s">
        <v>1649</v>
      </c>
      <c r="AN314" s="321" t="s">
        <v>1649</v>
      </c>
      <c r="AO314" s="321" t="s">
        <v>1649</v>
      </c>
      <c r="AP314" s="321" t="s">
        <v>1648</v>
      </c>
      <c r="AQ314" s="321" t="s">
        <v>1649</v>
      </c>
      <c r="AR314" s="321" t="s">
        <v>1649</v>
      </c>
      <c r="AS314" s="321" t="s">
        <v>1648</v>
      </c>
      <c r="AT314" s="321" t="s">
        <v>1649</v>
      </c>
      <c r="AU314" s="301" t="s">
        <v>1613</v>
      </c>
    </row>
    <row r="315" spans="1:47" ht="13.5" thickBot="1" x14ac:dyDescent="0.25">
      <c r="A315" s="48" t="s">
        <v>170</v>
      </c>
      <c r="B315" s="291" t="s">
        <v>169</v>
      </c>
      <c r="C315" s="298" t="s">
        <v>39</v>
      </c>
      <c r="D315" s="299" t="s">
        <v>1613</v>
      </c>
      <c r="E315" s="299" t="s">
        <v>1613</v>
      </c>
      <c r="F315" s="299" t="s">
        <v>1613</v>
      </c>
      <c r="G315" s="302">
        <v>38</v>
      </c>
      <c r="H315" s="303">
        <v>57000</v>
      </c>
      <c r="I315" s="303">
        <v>73000</v>
      </c>
      <c r="J315" s="302">
        <v>38</v>
      </c>
      <c r="K315" s="303">
        <v>41000</v>
      </c>
      <c r="L315" s="303">
        <v>53000</v>
      </c>
      <c r="M315" s="302">
        <v>20</v>
      </c>
      <c r="N315" s="303">
        <v>22000</v>
      </c>
      <c r="O315" s="303">
        <v>28000</v>
      </c>
      <c r="P315" s="302">
        <v>38</v>
      </c>
      <c r="Q315" s="303">
        <v>57000</v>
      </c>
      <c r="R315" s="303">
        <v>73000</v>
      </c>
      <c r="S315" s="302">
        <v>15</v>
      </c>
      <c r="T315" s="303">
        <v>10000</v>
      </c>
      <c r="U315" s="303">
        <v>13000</v>
      </c>
      <c r="V315" s="321" t="s">
        <v>1648</v>
      </c>
      <c r="W315" s="321" t="s">
        <v>1648</v>
      </c>
      <c r="X315" s="321" t="s">
        <v>1648</v>
      </c>
      <c r="Y315" s="321" t="s">
        <v>1648</v>
      </c>
      <c r="Z315" s="321" t="s">
        <v>1648</v>
      </c>
      <c r="AA315" s="321" t="s">
        <v>1648</v>
      </c>
      <c r="AB315" s="321" t="s">
        <v>1648</v>
      </c>
      <c r="AC315" s="321" t="s">
        <v>1648</v>
      </c>
      <c r="AD315" s="321" t="s">
        <v>1648</v>
      </c>
      <c r="AE315" s="321" t="s">
        <v>1648</v>
      </c>
      <c r="AF315" s="321" t="s">
        <v>1648</v>
      </c>
      <c r="AG315" s="321" t="s">
        <v>1648</v>
      </c>
      <c r="AH315" s="300" t="s">
        <v>1613</v>
      </c>
      <c r="AI315" s="321" t="s">
        <v>1649</v>
      </c>
      <c r="AJ315" s="321" t="s">
        <v>1649</v>
      </c>
      <c r="AK315" s="321" t="s">
        <v>1649</v>
      </c>
      <c r="AL315" s="321" t="s">
        <v>1649</v>
      </c>
      <c r="AM315" s="321" t="s">
        <v>1649</v>
      </c>
      <c r="AN315" s="321" t="s">
        <v>1648</v>
      </c>
      <c r="AO315" s="321" t="s">
        <v>1648</v>
      </c>
      <c r="AP315" s="321" t="s">
        <v>1648</v>
      </c>
      <c r="AQ315" s="321" t="s">
        <v>1648</v>
      </c>
      <c r="AR315" s="321" t="s">
        <v>1649</v>
      </c>
      <c r="AS315" s="321" t="s">
        <v>1648</v>
      </c>
      <c r="AT315" s="321" t="s">
        <v>1648</v>
      </c>
      <c r="AU315" s="301" t="s">
        <v>1613</v>
      </c>
    </row>
    <row r="316" spans="1:47" ht="13.5" thickBot="1" x14ac:dyDescent="0.25">
      <c r="A316" s="48" t="s">
        <v>174</v>
      </c>
      <c r="B316" s="291" t="s">
        <v>173</v>
      </c>
      <c r="C316" s="298" t="s">
        <v>39</v>
      </c>
      <c r="D316" s="304"/>
      <c r="E316" s="305"/>
      <c r="F316" s="305"/>
      <c r="G316" s="302">
        <v>40</v>
      </c>
      <c r="H316" s="303">
        <v>40000</v>
      </c>
      <c r="I316" s="303">
        <v>64000</v>
      </c>
      <c r="J316" s="302">
        <v>40</v>
      </c>
      <c r="K316" s="303">
        <v>38000</v>
      </c>
      <c r="L316" s="303">
        <v>52000</v>
      </c>
      <c r="M316" s="302">
        <v>20</v>
      </c>
      <c r="N316" s="303">
        <v>18720</v>
      </c>
      <c r="O316" s="303">
        <v>34320</v>
      </c>
      <c r="P316" s="302">
        <v>20</v>
      </c>
      <c r="Q316" s="303">
        <v>12480</v>
      </c>
      <c r="R316" s="303">
        <v>28600</v>
      </c>
      <c r="S316" s="302">
        <v>20</v>
      </c>
      <c r="T316" s="303">
        <v>10400</v>
      </c>
      <c r="U316" s="303">
        <v>21450</v>
      </c>
      <c r="V316" s="321" t="s">
        <v>1648</v>
      </c>
      <c r="W316" s="321" t="s">
        <v>1648</v>
      </c>
      <c r="X316" s="321" t="s">
        <v>1648</v>
      </c>
      <c r="Y316" s="321" t="s">
        <v>1649</v>
      </c>
      <c r="Z316" s="321" t="s">
        <v>1648</v>
      </c>
      <c r="AA316" s="321" t="s">
        <v>1648</v>
      </c>
      <c r="AB316" s="321" t="s">
        <v>1648</v>
      </c>
      <c r="AC316" s="321" t="s">
        <v>1648</v>
      </c>
      <c r="AD316" s="321" t="s">
        <v>1649</v>
      </c>
      <c r="AE316" s="321" t="s">
        <v>1648</v>
      </c>
      <c r="AF316" s="321" t="s">
        <v>1648</v>
      </c>
      <c r="AG316" s="321" t="s">
        <v>1649</v>
      </c>
      <c r="AH316" s="300"/>
      <c r="AI316" s="321" t="s">
        <v>1649</v>
      </c>
      <c r="AJ316" s="321" t="s">
        <v>1649</v>
      </c>
      <c r="AK316" s="321" t="s">
        <v>1649</v>
      </c>
      <c r="AL316" s="321" t="s">
        <v>1649</v>
      </c>
      <c r="AM316" s="321" t="s">
        <v>1649</v>
      </c>
      <c r="AN316" s="321" t="s">
        <v>1649</v>
      </c>
      <c r="AO316" s="321" t="s">
        <v>1649</v>
      </c>
      <c r="AP316" s="321" t="s">
        <v>1649</v>
      </c>
      <c r="AQ316" s="321" t="s">
        <v>1649</v>
      </c>
      <c r="AR316" s="321" t="s">
        <v>1649</v>
      </c>
      <c r="AS316" s="321" t="s">
        <v>1649</v>
      </c>
      <c r="AT316" s="321" t="s">
        <v>1649</v>
      </c>
      <c r="AU316" s="301" t="s">
        <v>1613</v>
      </c>
    </row>
    <row r="317" spans="1:47" ht="13.5" thickBot="1" x14ac:dyDescent="0.25">
      <c r="A317" s="48" t="s">
        <v>188</v>
      </c>
      <c r="B317" s="291" t="s">
        <v>187</v>
      </c>
      <c r="C317" s="298" t="s">
        <v>39</v>
      </c>
      <c r="D317" s="299" t="s">
        <v>1613</v>
      </c>
      <c r="E317" s="299" t="s">
        <v>1613</v>
      </c>
      <c r="F317" s="299" t="s">
        <v>1613</v>
      </c>
      <c r="G317" s="302">
        <v>38</v>
      </c>
      <c r="H317" s="303">
        <v>60000</v>
      </c>
      <c r="I317" s="303">
        <v>65000</v>
      </c>
      <c r="J317" s="302">
        <v>38</v>
      </c>
      <c r="K317" s="303">
        <v>47982</v>
      </c>
      <c r="L317" s="303">
        <v>49922</v>
      </c>
      <c r="M317" s="302">
        <v>38</v>
      </c>
      <c r="N317" s="303">
        <v>47982</v>
      </c>
      <c r="O317" s="303">
        <v>47982</v>
      </c>
      <c r="P317" s="302">
        <v>38</v>
      </c>
      <c r="Q317" s="303">
        <v>65000</v>
      </c>
      <c r="R317" s="303">
        <v>65000</v>
      </c>
      <c r="S317" s="302">
        <v>28</v>
      </c>
      <c r="T317" s="303">
        <v>19052</v>
      </c>
      <c r="U317" s="303">
        <v>19052</v>
      </c>
      <c r="V317" s="321" t="s">
        <v>1648</v>
      </c>
      <c r="W317" s="321" t="s">
        <v>1648</v>
      </c>
      <c r="X317" s="321" t="s">
        <v>1648</v>
      </c>
      <c r="Y317" s="321" t="s">
        <v>1648</v>
      </c>
      <c r="Z317" s="321" t="s">
        <v>1648</v>
      </c>
      <c r="AA317" s="321" t="s">
        <v>1648</v>
      </c>
      <c r="AB317" s="321" t="s">
        <v>1648</v>
      </c>
      <c r="AC317" s="321" t="s">
        <v>1648</v>
      </c>
      <c r="AD317" s="321" t="s">
        <v>1648</v>
      </c>
      <c r="AE317" s="321" t="s">
        <v>1648</v>
      </c>
      <c r="AF317" s="321" t="s">
        <v>1649</v>
      </c>
      <c r="AG317" s="321" t="s">
        <v>1649</v>
      </c>
      <c r="AH317" s="300" t="s">
        <v>1613</v>
      </c>
      <c r="AI317" s="321" t="s">
        <v>1649</v>
      </c>
      <c r="AJ317" s="321" t="s">
        <v>1649</v>
      </c>
      <c r="AK317" s="321" t="s">
        <v>1649</v>
      </c>
      <c r="AL317" s="321" t="s">
        <v>1649</v>
      </c>
      <c r="AM317" s="321" t="s">
        <v>1649</v>
      </c>
      <c r="AN317" s="321" t="s">
        <v>1648</v>
      </c>
      <c r="AO317" s="321" t="s">
        <v>1649</v>
      </c>
      <c r="AP317" s="321" t="s">
        <v>1649</v>
      </c>
      <c r="AQ317" s="321" t="s">
        <v>1649</v>
      </c>
      <c r="AR317" s="321" t="s">
        <v>1649</v>
      </c>
      <c r="AS317" s="321" t="s">
        <v>1649</v>
      </c>
      <c r="AT317" s="321" t="s">
        <v>1649</v>
      </c>
      <c r="AU317" s="301" t="s">
        <v>1613</v>
      </c>
    </row>
    <row r="318" spans="1:47" ht="13.5" thickBot="1" x14ac:dyDescent="0.25">
      <c r="A318" s="48" t="s">
        <v>190</v>
      </c>
      <c r="B318" s="291" t="s">
        <v>189</v>
      </c>
      <c r="C318" s="298" t="s">
        <v>39</v>
      </c>
      <c r="D318" s="299" t="s">
        <v>1613</v>
      </c>
      <c r="E318" s="299" t="s">
        <v>1613</v>
      </c>
      <c r="F318" s="299" t="s">
        <v>1613</v>
      </c>
      <c r="G318" s="302">
        <v>26</v>
      </c>
      <c r="H318" s="303">
        <v>13500</v>
      </c>
      <c r="I318" s="303">
        <v>37000</v>
      </c>
      <c r="J318" s="302">
        <v>36</v>
      </c>
      <c r="K318" s="303">
        <v>29952</v>
      </c>
      <c r="L318" s="303">
        <v>35568</v>
      </c>
      <c r="M318" s="302">
        <v>36</v>
      </c>
      <c r="N318" s="303">
        <v>20592</v>
      </c>
      <c r="O318" s="303">
        <v>28080</v>
      </c>
      <c r="P318" s="299" t="s">
        <v>1613</v>
      </c>
      <c r="Q318" s="299" t="s">
        <v>1613</v>
      </c>
      <c r="R318" s="299" t="s">
        <v>1613</v>
      </c>
      <c r="S318" s="302">
        <v>26</v>
      </c>
      <c r="T318" s="303">
        <v>14000</v>
      </c>
      <c r="U318" s="303">
        <v>20000</v>
      </c>
      <c r="V318" s="321" t="s">
        <v>1648</v>
      </c>
      <c r="W318" s="321" t="s">
        <v>1648</v>
      </c>
      <c r="X318" s="321" t="s">
        <v>1649</v>
      </c>
      <c r="Y318" s="321" t="s">
        <v>1648</v>
      </c>
      <c r="Z318" s="321" t="s">
        <v>1648</v>
      </c>
      <c r="AA318" s="321" t="s">
        <v>1648</v>
      </c>
      <c r="AB318" s="321" t="s">
        <v>1648</v>
      </c>
      <c r="AC318" s="321" t="s">
        <v>1648</v>
      </c>
      <c r="AD318" s="321" t="s">
        <v>1649</v>
      </c>
      <c r="AE318" s="321" t="s">
        <v>1649</v>
      </c>
      <c r="AF318" s="321" t="s">
        <v>1648</v>
      </c>
      <c r="AG318" s="321" t="s">
        <v>1649</v>
      </c>
      <c r="AH318" s="300" t="s">
        <v>1613</v>
      </c>
      <c r="AI318" s="321" t="s">
        <v>1649</v>
      </c>
      <c r="AJ318" s="321" t="s">
        <v>1649</v>
      </c>
      <c r="AK318" s="321" t="s">
        <v>1649</v>
      </c>
      <c r="AL318" s="321" t="s">
        <v>1648</v>
      </c>
      <c r="AM318" s="321" t="s">
        <v>1649</v>
      </c>
      <c r="AN318" s="321" t="s">
        <v>1648</v>
      </c>
      <c r="AO318" s="321" t="s">
        <v>1648</v>
      </c>
      <c r="AP318" s="321" t="s">
        <v>1648</v>
      </c>
      <c r="AQ318" s="321" t="s">
        <v>1649</v>
      </c>
      <c r="AR318" s="321" t="s">
        <v>1649</v>
      </c>
      <c r="AS318" s="321" t="s">
        <v>1648</v>
      </c>
      <c r="AT318" s="321" t="s">
        <v>1649</v>
      </c>
      <c r="AU318" s="301" t="s">
        <v>1613</v>
      </c>
    </row>
    <row r="319" spans="1:47" ht="13.5" thickBot="1" x14ac:dyDescent="0.25">
      <c r="A319" s="48" t="s">
        <v>200</v>
      </c>
      <c r="B319" s="291" t="s">
        <v>199</v>
      </c>
      <c r="C319" s="298" t="s">
        <v>39</v>
      </c>
      <c r="D319" s="304"/>
      <c r="E319" s="305"/>
      <c r="F319" s="305"/>
      <c r="G319" s="302">
        <v>40</v>
      </c>
      <c r="H319" s="303">
        <v>50523</v>
      </c>
      <c r="I319" s="303">
        <v>79934</v>
      </c>
      <c r="J319" s="302">
        <v>40</v>
      </c>
      <c r="K319" s="303">
        <v>42286</v>
      </c>
      <c r="L319" s="303">
        <v>55702</v>
      </c>
      <c r="M319" s="302">
        <v>20</v>
      </c>
      <c r="N319" s="303">
        <v>21143</v>
      </c>
      <c r="O319" s="303">
        <v>27851</v>
      </c>
      <c r="P319" s="302">
        <v>40</v>
      </c>
      <c r="Q319" s="303">
        <v>50523</v>
      </c>
      <c r="R319" s="303">
        <v>79934</v>
      </c>
      <c r="S319" s="302">
        <v>20</v>
      </c>
      <c r="T319" s="303">
        <v>13093</v>
      </c>
      <c r="U319" s="303">
        <v>17305</v>
      </c>
      <c r="V319" s="321" t="s">
        <v>1648</v>
      </c>
      <c r="W319" s="321" t="s">
        <v>1648</v>
      </c>
      <c r="X319" s="321" t="s">
        <v>1648</v>
      </c>
      <c r="Y319" s="321" t="s">
        <v>1649</v>
      </c>
      <c r="Z319" s="321" t="s">
        <v>1648</v>
      </c>
      <c r="AA319" s="321" t="s">
        <v>1648</v>
      </c>
      <c r="AB319" s="321" t="s">
        <v>1648</v>
      </c>
      <c r="AC319" s="321" t="s">
        <v>1648</v>
      </c>
      <c r="AD319" s="321" t="s">
        <v>1648</v>
      </c>
      <c r="AE319" s="321" t="s">
        <v>1648</v>
      </c>
      <c r="AF319" s="321" t="s">
        <v>1648</v>
      </c>
      <c r="AG319" s="321" t="s">
        <v>1649</v>
      </c>
      <c r="AH319" s="300" t="s">
        <v>1613</v>
      </c>
      <c r="AI319" s="321" t="s">
        <v>1649</v>
      </c>
      <c r="AJ319" s="321" t="s">
        <v>1649</v>
      </c>
      <c r="AK319" s="321" t="s">
        <v>1649</v>
      </c>
      <c r="AL319" s="321" t="s">
        <v>1649</v>
      </c>
      <c r="AM319" s="321" t="s">
        <v>1649</v>
      </c>
      <c r="AN319" s="321" t="s">
        <v>1649</v>
      </c>
      <c r="AO319" s="321" t="s">
        <v>1648</v>
      </c>
      <c r="AP319" s="321" t="s">
        <v>1648</v>
      </c>
      <c r="AQ319" s="321" t="s">
        <v>1648</v>
      </c>
      <c r="AR319" s="321" t="s">
        <v>1649</v>
      </c>
      <c r="AS319" s="321" t="s">
        <v>1648</v>
      </c>
      <c r="AT319" s="321" t="s">
        <v>1649</v>
      </c>
      <c r="AU319" s="301" t="s">
        <v>1613</v>
      </c>
    </row>
    <row r="320" spans="1:47" ht="13.5" thickBot="1" x14ac:dyDescent="0.25">
      <c r="A320" s="48" t="s">
        <v>218</v>
      </c>
      <c r="B320" s="291" t="s">
        <v>217</v>
      </c>
      <c r="C320" s="298" t="s">
        <v>39</v>
      </c>
      <c r="D320" s="304"/>
      <c r="E320" s="305"/>
      <c r="F320" s="305"/>
      <c r="G320" s="302">
        <v>40</v>
      </c>
      <c r="H320" s="303">
        <v>54388</v>
      </c>
      <c r="I320" s="303">
        <v>65265</v>
      </c>
      <c r="J320" s="304"/>
      <c r="K320" s="305"/>
      <c r="L320" s="305"/>
      <c r="M320" s="304"/>
      <c r="N320" s="305"/>
      <c r="O320" s="305"/>
      <c r="P320" s="302">
        <v>40</v>
      </c>
      <c r="Q320" s="303">
        <v>59647</v>
      </c>
      <c r="R320" s="303">
        <v>77541</v>
      </c>
      <c r="S320" s="302">
        <v>20</v>
      </c>
      <c r="T320" s="303">
        <v>12339</v>
      </c>
      <c r="U320" s="303">
        <v>14653</v>
      </c>
      <c r="V320" s="321" t="s">
        <v>1648</v>
      </c>
      <c r="W320" s="321" t="s">
        <v>1648</v>
      </c>
      <c r="X320" s="321" t="s">
        <v>1648</v>
      </c>
      <c r="Y320" s="321" t="s">
        <v>1649</v>
      </c>
      <c r="Z320" s="321" t="s">
        <v>1648</v>
      </c>
      <c r="AA320" s="321" t="s">
        <v>1648</v>
      </c>
      <c r="AB320" s="321" t="s">
        <v>1648</v>
      </c>
      <c r="AC320" s="321" t="s">
        <v>1648</v>
      </c>
      <c r="AD320" s="321" t="s">
        <v>1648</v>
      </c>
      <c r="AE320" s="321" t="s">
        <v>1648</v>
      </c>
      <c r="AF320" s="321" t="s">
        <v>1648</v>
      </c>
      <c r="AG320" s="321" t="s">
        <v>1648</v>
      </c>
      <c r="AH320" s="300" t="s">
        <v>1613</v>
      </c>
      <c r="AI320" s="321" t="s">
        <v>1649</v>
      </c>
      <c r="AJ320" s="321" t="s">
        <v>1649</v>
      </c>
      <c r="AK320" s="321" t="s">
        <v>1649</v>
      </c>
      <c r="AL320" s="321" t="s">
        <v>1649</v>
      </c>
      <c r="AM320" s="321" t="s">
        <v>1649</v>
      </c>
      <c r="AN320" s="321" t="s">
        <v>1649</v>
      </c>
      <c r="AO320" s="321" t="s">
        <v>1649</v>
      </c>
      <c r="AP320" s="321" t="s">
        <v>1649</v>
      </c>
      <c r="AQ320" s="321" t="s">
        <v>1648</v>
      </c>
      <c r="AR320" s="321" t="s">
        <v>1649</v>
      </c>
      <c r="AS320" s="321" t="s">
        <v>1649</v>
      </c>
      <c r="AT320" s="321" t="s">
        <v>1649</v>
      </c>
      <c r="AU320" s="301" t="s">
        <v>1613</v>
      </c>
    </row>
    <row r="321" spans="1:47" ht="13.5" thickBot="1" x14ac:dyDescent="0.25">
      <c r="A321" s="48" t="s">
        <v>228</v>
      </c>
      <c r="B321" s="291" t="s">
        <v>227</v>
      </c>
      <c r="C321" s="298" t="s">
        <v>39</v>
      </c>
      <c r="D321" s="299" t="s">
        <v>1613</v>
      </c>
      <c r="E321" s="299" t="s">
        <v>1613</v>
      </c>
      <c r="F321" s="299" t="s">
        <v>1613</v>
      </c>
      <c r="G321" s="299" t="s">
        <v>1613</v>
      </c>
      <c r="H321" s="299" t="s">
        <v>1613</v>
      </c>
      <c r="I321" s="299" t="s">
        <v>1613</v>
      </c>
      <c r="J321" s="302">
        <v>37</v>
      </c>
      <c r="K321" s="303">
        <v>29620</v>
      </c>
      <c r="L321" s="303">
        <v>39120</v>
      </c>
      <c r="M321" s="302">
        <v>37</v>
      </c>
      <c r="N321" s="303">
        <v>26695</v>
      </c>
      <c r="O321" s="303">
        <v>29503</v>
      </c>
      <c r="P321" s="299" t="s">
        <v>1613</v>
      </c>
      <c r="Q321" s="299" t="s">
        <v>1613</v>
      </c>
      <c r="R321" s="299" t="s">
        <v>1613</v>
      </c>
      <c r="S321" s="302">
        <v>20</v>
      </c>
      <c r="T321" s="303">
        <v>11876</v>
      </c>
      <c r="U321" s="303">
        <v>16286</v>
      </c>
      <c r="V321" s="321" t="s">
        <v>1648</v>
      </c>
      <c r="W321" s="321" t="s">
        <v>1648</v>
      </c>
      <c r="X321" s="321" t="s">
        <v>1648</v>
      </c>
      <c r="Y321" s="321" t="s">
        <v>1648</v>
      </c>
      <c r="Z321" s="321" t="s">
        <v>1648</v>
      </c>
      <c r="AA321" s="321" t="s">
        <v>1648</v>
      </c>
      <c r="AB321" s="321" t="s">
        <v>1648</v>
      </c>
      <c r="AC321" s="321" t="s">
        <v>1648</v>
      </c>
      <c r="AD321" s="321" t="s">
        <v>1649</v>
      </c>
      <c r="AE321" s="321" t="s">
        <v>1649</v>
      </c>
      <c r="AF321" s="321" t="s">
        <v>1649</v>
      </c>
      <c r="AG321" s="321" t="s">
        <v>1649</v>
      </c>
      <c r="AH321" s="300"/>
      <c r="AI321" s="321" t="s">
        <v>1649</v>
      </c>
      <c r="AJ321" s="321" t="s">
        <v>1649</v>
      </c>
      <c r="AK321" s="321" t="s">
        <v>1649</v>
      </c>
      <c r="AL321" s="321" t="s">
        <v>1649</v>
      </c>
      <c r="AM321" s="321" t="s">
        <v>1649</v>
      </c>
      <c r="AN321" s="321" t="s">
        <v>1648</v>
      </c>
      <c r="AO321" s="321" t="s">
        <v>1648</v>
      </c>
      <c r="AP321" s="321" t="s">
        <v>1648</v>
      </c>
      <c r="AQ321" s="321" t="s">
        <v>1649</v>
      </c>
      <c r="AR321" s="321" t="s">
        <v>1649</v>
      </c>
      <c r="AS321" s="321" t="s">
        <v>1649</v>
      </c>
      <c r="AT321" s="321" t="s">
        <v>1649</v>
      </c>
      <c r="AU321" s="301"/>
    </row>
    <row r="322" spans="1:47" ht="13.5" thickBot="1" x14ac:dyDescent="0.25">
      <c r="A322" s="48" t="s">
        <v>240</v>
      </c>
      <c r="B322" s="291" t="s">
        <v>239</v>
      </c>
      <c r="C322" s="298" t="s">
        <v>39</v>
      </c>
      <c r="D322" s="302">
        <v>45</v>
      </c>
      <c r="E322" s="303">
        <v>60379</v>
      </c>
      <c r="F322" s="303">
        <v>84508</v>
      </c>
      <c r="G322" s="302">
        <v>45</v>
      </c>
      <c r="H322" s="303">
        <v>54800</v>
      </c>
      <c r="I322" s="303">
        <v>76779</v>
      </c>
      <c r="J322" s="302">
        <v>40</v>
      </c>
      <c r="K322" s="303">
        <v>48236</v>
      </c>
      <c r="L322" s="303">
        <v>67638</v>
      </c>
      <c r="M322" s="302">
        <v>28</v>
      </c>
      <c r="N322" s="303">
        <v>37555</v>
      </c>
      <c r="O322" s="303">
        <v>52572</v>
      </c>
      <c r="P322" s="302">
        <v>20</v>
      </c>
      <c r="Q322" s="303">
        <v>37555</v>
      </c>
      <c r="R322" s="303">
        <v>52572</v>
      </c>
      <c r="S322" s="302">
        <v>20</v>
      </c>
      <c r="T322" s="303">
        <v>27284</v>
      </c>
      <c r="U322" s="303">
        <v>38175</v>
      </c>
      <c r="V322" s="321" t="s">
        <v>1648</v>
      </c>
      <c r="W322" s="321" t="s">
        <v>1648</v>
      </c>
      <c r="X322" s="321" t="s">
        <v>1648</v>
      </c>
      <c r="Y322" s="321" t="s">
        <v>1649</v>
      </c>
      <c r="Z322" s="321" t="s">
        <v>1649</v>
      </c>
      <c r="AA322" s="321" t="s">
        <v>1648</v>
      </c>
      <c r="AB322" s="321" t="s">
        <v>1648</v>
      </c>
      <c r="AC322" s="321" t="s">
        <v>1648</v>
      </c>
      <c r="AD322" s="321" t="s">
        <v>1648</v>
      </c>
      <c r="AE322" s="321" t="s">
        <v>1648</v>
      </c>
      <c r="AF322" s="321" t="s">
        <v>1649</v>
      </c>
      <c r="AG322" s="321" t="s">
        <v>1648</v>
      </c>
      <c r="AH322" s="300" t="s">
        <v>1613</v>
      </c>
      <c r="AI322" s="321" t="s">
        <v>1649</v>
      </c>
      <c r="AJ322" s="321" t="s">
        <v>1649</v>
      </c>
      <c r="AK322" s="321" t="s">
        <v>1649</v>
      </c>
      <c r="AL322" s="321" t="s">
        <v>1649</v>
      </c>
      <c r="AM322" s="321" t="s">
        <v>1649</v>
      </c>
      <c r="AN322" s="321" t="s">
        <v>1648</v>
      </c>
      <c r="AO322" s="321" t="s">
        <v>1648</v>
      </c>
      <c r="AP322" s="321" t="s">
        <v>1648</v>
      </c>
      <c r="AQ322" s="321" t="s">
        <v>1648</v>
      </c>
      <c r="AR322" s="321" t="s">
        <v>1649</v>
      </c>
      <c r="AS322" s="321" t="s">
        <v>1649</v>
      </c>
      <c r="AT322" s="321" t="s">
        <v>1648</v>
      </c>
      <c r="AU322" s="301" t="s">
        <v>1613</v>
      </c>
    </row>
    <row r="323" spans="1:47" ht="13.5" thickBot="1" x14ac:dyDescent="0.25">
      <c r="A323" s="48" t="s">
        <v>242</v>
      </c>
      <c r="B323" s="291" t="s">
        <v>241</v>
      </c>
      <c r="C323" s="298" t="s">
        <v>39</v>
      </c>
      <c r="D323" s="302">
        <v>40</v>
      </c>
      <c r="E323" s="303">
        <v>53356</v>
      </c>
      <c r="F323" s="303">
        <v>72831</v>
      </c>
      <c r="G323" s="302">
        <v>40</v>
      </c>
      <c r="H323" s="303">
        <v>41996</v>
      </c>
      <c r="I323" s="303">
        <v>57325</v>
      </c>
      <c r="J323" s="299" t="s">
        <v>1613</v>
      </c>
      <c r="K323" s="299" t="s">
        <v>1613</v>
      </c>
      <c r="L323" s="299" t="s">
        <v>1613</v>
      </c>
      <c r="M323" s="302">
        <v>20</v>
      </c>
      <c r="N323" s="303">
        <v>17836</v>
      </c>
      <c r="O323" s="303">
        <v>23712</v>
      </c>
      <c r="P323" s="299" t="s">
        <v>1613</v>
      </c>
      <c r="Q323" s="299" t="s">
        <v>1613</v>
      </c>
      <c r="R323" s="299" t="s">
        <v>1613</v>
      </c>
      <c r="S323" s="302">
        <v>36</v>
      </c>
      <c r="T323" s="303">
        <v>33290</v>
      </c>
      <c r="U323" s="303">
        <v>46479</v>
      </c>
      <c r="V323" s="321" t="s">
        <v>1648</v>
      </c>
      <c r="W323" s="321" t="s">
        <v>1648</v>
      </c>
      <c r="X323" s="321" t="s">
        <v>1648</v>
      </c>
      <c r="Y323" s="321" t="s">
        <v>1648</v>
      </c>
      <c r="Z323" s="321" t="s">
        <v>1648</v>
      </c>
      <c r="AA323" s="321" t="s">
        <v>1648</v>
      </c>
      <c r="AB323" s="321" t="s">
        <v>1648</v>
      </c>
      <c r="AC323" s="321" t="s">
        <v>1648</v>
      </c>
      <c r="AD323" s="321" t="s">
        <v>1648</v>
      </c>
      <c r="AE323" s="321" t="s">
        <v>1648</v>
      </c>
      <c r="AF323" s="321" t="s">
        <v>1648</v>
      </c>
      <c r="AG323" s="321" t="s">
        <v>1648</v>
      </c>
      <c r="AH323" s="300" t="s">
        <v>1613</v>
      </c>
      <c r="AI323" s="321" t="s">
        <v>1649</v>
      </c>
      <c r="AJ323" s="321" t="s">
        <v>1649</v>
      </c>
      <c r="AK323" s="321" t="s">
        <v>1649</v>
      </c>
      <c r="AL323" s="321" t="s">
        <v>1649</v>
      </c>
      <c r="AM323" s="321" t="s">
        <v>1649</v>
      </c>
      <c r="AN323" s="321" t="s">
        <v>1648</v>
      </c>
      <c r="AO323" s="321" t="s">
        <v>1649</v>
      </c>
      <c r="AP323" s="321" t="s">
        <v>1649</v>
      </c>
      <c r="AQ323" s="321" t="s">
        <v>1649</v>
      </c>
      <c r="AR323" s="321" t="s">
        <v>1649</v>
      </c>
      <c r="AS323" s="321" t="s">
        <v>1649</v>
      </c>
      <c r="AT323" s="321" t="s">
        <v>1649</v>
      </c>
      <c r="AU323" s="301" t="s">
        <v>1613</v>
      </c>
    </row>
    <row r="324" spans="1:47" ht="13.5" thickBot="1" x14ac:dyDescent="0.25">
      <c r="A324" s="48" t="s">
        <v>300</v>
      </c>
      <c r="B324" s="291" t="s">
        <v>299</v>
      </c>
      <c r="C324" s="298" t="s">
        <v>39</v>
      </c>
      <c r="D324" s="299" t="s">
        <v>1613</v>
      </c>
      <c r="E324" s="299" t="s">
        <v>1613</v>
      </c>
      <c r="F324" s="299" t="s">
        <v>1613</v>
      </c>
      <c r="G324" s="299" t="s">
        <v>1613</v>
      </c>
      <c r="H324" s="299" t="s">
        <v>1613</v>
      </c>
      <c r="I324" s="299" t="s">
        <v>1613</v>
      </c>
      <c r="J324" s="299" t="s">
        <v>1613</v>
      </c>
      <c r="K324" s="299" t="s">
        <v>1613</v>
      </c>
      <c r="L324" s="299" t="s">
        <v>1613</v>
      </c>
      <c r="M324" s="302">
        <v>40</v>
      </c>
      <c r="N324" s="303">
        <v>34000</v>
      </c>
      <c r="O324" s="303">
        <v>38000</v>
      </c>
      <c r="P324" s="299" t="s">
        <v>1613</v>
      </c>
      <c r="Q324" s="299" t="s">
        <v>1613</v>
      </c>
      <c r="R324" s="299" t="s">
        <v>1613</v>
      </c>
      <c r="S324" s="302">
        <v>29</v>
      </c>
      <c r="T324" s="303">
        <v>14000</v>
      </c>
      <c r="U324" s="303">
        <v>18000</v>
      </c>
      <c r="V324" s="321" t="s">
        <v>1648</v>
      </c>
      <c r="W324" s="321" t="s">
        <v>1648</v>
      </c>
      <c r="X324" s="321" t="s">
        <v>1648</v>
      </c>
      <c r="Y324" s="321" t="s">
        <v>1648</v>
      </c>
      <c r="Z324" s="321" t="s">
        <v>1648</v>
      </c>
      <c r="AA324" s="321" t="s">
        <v>1648</v>
      </c>
      <c r="AB324" s="321" t="s">
        <v>1648</v>
      </c>
      <c r="AC324" s="321" t="s">
        <v>1648</v>
      </c>
      <c r="AD324" s="321" t="s">
        <v>1648</v>
      </c>
      <c r="AE324" s="321" t="s">
        <v>1649</v>
      </c>
      <c r="AF324" s="321" t="s">
        <v>1648</v>
      </c>
      <c r="AG324" s="321" t="s">
        <v>1648</v>
      </c>
      <c r="AH324" s="300"/>
      <c r="AI324" s="321" t="s">
        <v>1649</v>
      </c>
      <c r="AJ324" s="321" t="s">
        <v>1649</v>
      </c>
      <c r="AK324" s="321" t="s">
        <v>1649</v>
      </c>
      <c r="AL324" s="321" t="s">
        <v>1649</v>
      </c>
      <c r="AM324" s="321" t="s">
        <v>1649</v>
      </c>
      <c r="AN324" s="321" t="s">
        <v>1648</v>
      </c>
      <c r="AO324" s="321" t="s">
        <v>1649</v>
      </c>
      <c r="AP324" s="321" t="s">
        <v>1649</v>
      </c>
      <c r="AQ324" s="321" t="s">
        <v>1649</v>
      </c>
      <c r="AR324" s="321" t="s">
        <v>1649</v>
      </c>
      <c r="AS324" s="321" t="s">
        <v>1649</v>
      </c>
      <c r="AT324" s="321" t="s">
        <v>1649</v>
      </c>
      <c r="AU324" s="301"/>
    </row>
    <row r="325" spans="1:47" ht="13.5" thickBot="1" x14ac:dyDescent="0.25">
      <c r="A325" s="48" t="s">
        <v>308</v>
      </c>
      <c r="B325" s="291" t="s">
        <v>307</v>
      </c>
      <c r="C325" s="298" t="s">
        <v>39</v>
      </c>
      <c r="D325" s="304"/>
      <c r="E325" s="305"/>
      <c r="F325" s="305"/>
      <c r="G325" s="302">
        <v>40</v>
      </c>
      <c r="H325" s="303">
        <v>50</v>
      </c>
      <c r="I325" s="303">
        <v>62000</v>
      </c>
      <c r="J325" s="304"/>
      <c r="K325" s="305"/>
      <c r="L325" s="305"/>
      <c r="M325" s="304"/>
      <c r="N325" s="305"/>
      <c r="O325" s="305"/>
      <c r="P325" s="304"/>
      <c r="Q325" s="305"/>
      <c r="R325" s="305"/>
      <c r="S325" s="302">
        <v>20</v>
      </c>
      <c r="T325" s="303">
        <v>18000</v>
      </c>
      <c r="U325" s="303">
        <v>27000</v>
      </c>
      <c r="V325" s="321" t="s">
        <v>1648</v>
      </c>
      <c r="W325" s="321" t="s">
        <v>1648</v>
      </c>
      <c r="X325" s="321" t="s">
        <v>1648</v>
      </c>
      <c r="Y325" s="321" t="s">
        <v>1648</v>
      </c>
      <c r="Z325" s="321" t="s">
        <v>1649</v>
      </c>
      <c r="AA325" s="321" t="s">
        <v>1648</v>
      </c>
      <c r="AB325" s="321" t="s">
        <v>1648</v>
      </c>
      <c r="AC325" s="321" t="s">
        <v>1648</v>
      </c>
      <c r="AD325" s="321" t="s">
        <v>1648</v>
      </c>
      <c r="AE325" s="321" t="s">
        <v>1648</v>
      </c>
      <c r="AF325" s="321" t="s">
        <v>1648</v>
      </c>
      <c r="AG325" s="321" t="s">
        <v>1648</v>
      </c>
      <c r="AH325" s="300" t="s">
        <v>1613</v>
      </c>
      <c r="AI325" s="321" t="s">
        <v>1649</v>
      </c>
      <c r="AJ325" s="321" t="s">
        <v>1649</v>
      </c>
      <c r="AK325" s="321" t="s">
        <v>1649</v>
      </c>
      <c r="AL325" s="321" t="s">
        <v>1649</v>
      </c>
      <c r="AM325" s="321" t="s">
        <v>1649</v>
      </c>
      <c r="AN325" s="321" t="s">
        <v>1648</v>
      </c>
      <c r="AO325" s="321" t="s">
        <v>1649</v>
      </c>
      <c r="AP325" s="321" t="s">
        <v>1649</v>
      </c>
      <c r="AQ325" s="321" t="s">
        <v>1649</v>
      </c>
      <c r="AR325" s="321" t="s">
        <v>1649</v>
      </c>
      <c r="AS325" s="321" t="s">
        <v>1648</v>
      </c>
      <c r="AT325" s="321" t="s">
        <v>1649</v>
      </c>
      <c r="AU325" s="301" t="s">
        <v>1613</v>
      </c>
    </row>
    <row r="326" spans="1:47" ht="13.5" thickBot="1" x14ac:dyDescent="0.25">
      <c r="A326" s="48" t="s">
        <v>328</v>
      </c>
      <c r="B326" s="291" t="s">
        <v>327</v>
      </c>
      <c r="C326" s="298" t="s">
        <v>39</v>
      </c>
      <c r="D326" s="302">
        <v>40</v>
      </c>
      <c r="E326" s="303">
        <v>68000</v>
      </c>
      <c r="F326" s="303">
        <v>83000</v>
      </c>
      <c r="G326" s="302">
        <v>40</v>
      </c>
      <c r="H326" s="303">
        <v>43802</v>
      </c>
      <c r="I326" s="303">
        <v>69143</v>
      </c>
      <c r="J326" s="302">
        <v>38</v>
      </c>
      <c r="K326" s="303">
        <v>53601</v>
      </c>
      <c r="L326" s="303">
        <v>67341</v>
      </c>
      <c r="M326" s="302">
        <v>38</v>
      </c>
      <c r="N326" s="303">
        <v>41742</v>
      </c>
      <c r="O326" s="303">
        <v>51193</v>
      </c>
      <c r="P326" s="302">
        <v>40</v>
      </c>
      <c r="Q326" s="303">
        <v>44194</v>
      </c>
      <c r="R326" s="303">
        <v>65496</v>
      </c>
      <c r="S326" s="302">
        <v>34</v>
      </c>
      <c r="T326" s="303">
        <v>20842</v>
      </c>
      <c r="U326" s="303">
        <v>44018</v>
      </c>
      <c r="V326" s="321" t="s">
        <v>1648</v>
      </c>
      <c r="W326" s="321" t="s">
        <v>1648</v>
      </c>
      <c r="X326" s="321" t="s">
        <v>1648</v>
      </c>
      <c r="Y326" s="321" t="s">
        <v>1648</v>
      </c>
      <c r="Z326" s="321" t="s">
        <v>1648</v>
      </c>
      <c r="AA326" s="321" t="s">
        <v>1648</v>
      </c>
      <c r="AB326" s="321" t="s">
        <v>1648</v>
      </c>
      <c r="AC326" s="321" t="s">
        <v>1648</v>
      </c>
      <c r="AD326" s="321" t="s">
        <v>1649</v>
      </c>
      <c r="AE326" s="321" t="s">
        <v>1649</v>
      </c>
      <c r="AF326" s="321" t="s">
        <v>1649</v>
      </c>
      <c r="AG326" s="321" t="s">
        <v>1648</v>
      </c>
      <c r="AH326" s="165" t="s">
        <v>3664</v>
      </c>
      <c r="AI326" s="321" t="s">
        <v>1649</v>
      </c>
      <c r="AJ326" s="321" t="s">
        <v>1649</v>
      </c>
      <c r="AK326" s="321" t="s">
        <v>1649</v>
      </c>
      <c r="AL326" s="321" t="s">
        <v>1649</v>
      </c>
      <c r="AM326" s="321" t="s">
        <v>1649</v>
      </c>
      <c r="AN326" s="321" t="s">
        <v>1649</v>
      </c>
      <c r="AO326" s="321" t="s">
        <v>1649</v>
      </c>
      <c r="AP326" s="321" t="s">
        <v>1649</v>
      </c>
      <c r="AQ326" s="321" t="s">
        <v>1649</v>
      </c>
      <c r="AR326" s="321" t="s">
        <v>1649</v>
      </c>
      <c r="AS326" s="321" t="s">
        <v>1649</v>
      </c>
      <c r="AT326" s="321" t="s">
        <v>1649</v>
      </c>
      <c r="AU326" s="301"/>
    </row>
    <row r="327" spans="1:47" ht="13.5" thickBot="1" x14ac:dyDescent="0.25">
      <c r="A327" s="48" t="s">
        <v>386</v>
      </c>
      <c r="B327" s="291" t="s">
        <v>385</v>
      </c>
      <c r="C327" s="298" t="s">
        <v>39</v>
      </c>
      <c r="D327" s="302">
        <v>40</v>
      </c>
      <c r="E327" s="303">
        <v>36000</v>
      </c>
      <c r="F327" s="303">
        <v>43000</v>
      </c>
      <c r="G327" s="302">
        <v>40</v>
      </c>
      <c r="H327" s="303">
        <v>34000</v>
      </c>
      <c r="I327" s="303">
        <v>40000</v>
      </c>
      <c r="J327" s="299" t="s">
        <v>1613</v>
      </c>
      <c r="K327" s="299" t="s">
        <v>1613</v>
      </c>
      <c r="L327" s="299" t="s">
        <v>1613</v>
      </c>
      <c r="M327" s="299" t="s">
        <v>1613</v>
      </c>
      <c r="N327" s="299" t="s">
        <v>1613</v>
      </c>
      <c r="O327" s="299" t="s">
        <v>1613</v>
      </c>
      <c r="P327" s="302">
        <v>40</v>
      </c>
      <c r="Q327" s="303">
        <v>38000</v>
      </c>
      <c r="R327" s="303">
        <v>48000</v>
      </c>
      <c r="S327" s="302">
        <v>34</v>
      </c>
      <c r="T327" s="303">
        <v>24000</v>
      </c>
      <c r="U327" s="303">
        <v>33000</v>
      </c>
      <c r="V327" s="321" t="s">
        <v>1648</v>
      </c>
      <c r="W327" s="321" t="s">
        <v>1648</v>
      </c>
      <c r="X327" s="321" t="s">
        <v>1649</v>
      </c>
      <c r="Y327" s="321" t="s">
        <v>1648</v>
      </c>
      <c r="Z327" s="321" t="s">
        <v>1648</v>
      </c>
      <c r="AA327" s="321" t="s">
        <v>1648</v>
      </c>
      <c r="AB327" s="321" t="s">
        <v>1648</v>
      </c>
      <c r="AC327" s="321" t="s">
        <v>1648</v>
      </c>
      <c r="AD327" s="321" t="s">
        <v>1649</v>
      </c>
      <c r="AE327" s="321" t="s">
        <v>1649</v>
      </c>
      <c r="AF327" s="321" t="s">
        <v>1648</v>
      </c>
      <c r="AG327" s="321" t="s">
        <v>1648</v>
      </c>
      <c r="AH327" s="165" t="s">
        <v>3566</v>
      </c>
      <c r="AI327" s="321" t="s">
        <v>1649</v>
      </c>
      <c r="AJ327" s="321" t="s">
        <v>1649</v>
      </c>
      <c r="AK327" s="321" t="s">
        <v>1649</v>
      </c>
      <c r="AL327" s="321" t="s">
        <v>1649</v>
      </c>
      <c r="AM327" s="321" t="s">
        <v>1649</v>
      </c>
      <c r="AN327" s="321" t="s">
        <v>1648</v>
      </c>
      <c r="AO327" s="321" t="s">
        <v>1648</v>
      </c>
      <c r="AP327" s="321" t="s">
        <v>1648</v>
      </c>
      <c r="AQ327" s="321" t="s">
        <v>1649</v>
      </c>
      <c r="AR327" s="321" t="s">
        <v>1649</v>
      </c>
      <c r="AS327" s="321" t="s">
        <v>1649</v>
      </c>
      <c r="AT327" s="321" t="s">
        <v>1649</v>
      </c>
      <c r="AU327" s="301" t="s">
        <v>1613</v>
      </c>
    </row>
    <row r="328" spans="1:47" ht="13.5" thickBot="1" x14ac:dyDescent="0.25">
      <c r="A328" s="48" t="s">
        <v>431</v>
      </c>
      <c r="B328" s="291" t="s">
        <v>430</v>
      </c>
      <c r="C328" s="298" t="s">
        <v>39</v>
      </c>
      <c r="D328" s="302">
        <v>38</v>
      </c>
      <c r="E328" s="303">
        <v>44285</v>
      </c>
      <c r="F328" s="303">
        <v>52709</v>
      </c>
      <c r="G328" s="302">
        <v>22</v>
      </c>
      <c r="H328" s="303">
        <v>11359</v>
      </c>
      <c r="I328" s="303">
        <v>22282</v>
      </c>
      <c r="J328" s="302">
        <v>38</v>
      </c>
      <c r="K328" s="303">
        <v>36894</v>
      </c>
      <c r="L328" s="303">
        <v>45338</v>
      </c>
      <c r="M328" s="302">
        <v>38</v>
      </c>
      <c r="N328" s="303">
        <v>28470</v>
      </c>
      <c r="O328" s="303">
        <v>36894</v>
      </c>
      <c r="P328" s="302">
        <v>25</v>
      </c>
      <c r="Q328" s="303">
        <v>13923</v>
      </c>
      <c r="R328" s="303">
        <v>19487</v>
      </c>
      <c r="S328" s="302">
        <v>16</v>
      </c>
      <c r="T328" s="303">
        <v>8020</v>
      </c>
      <c r="U328" s="303">
        <v>19487</v>
      </c>
      <c r="V328" s="321" t="s">
        <v>1648</v>
      </c>
      <c r="W328" s="321" t="s">
        <v>1648</v>
      </c>
      <c r="X328" s="321" t="s">
        <v>1648</v>
      </c>
      <c r="Y328" s="321" t="s">
        <v>1649</v>
      </c>
      <c r="Z328" s="321" t="s">
        <v>1648</v>
      </c>
      <c r="AA328" s="321" t="s">
        <v>1648</v>
      </c>
      <c r="AB328" s="321" t="s">
        <v>1648</v>
      </c>
      <c r="AC328" s="321" t="s">
        <v>1648</v>
      </c>
      <c r="AD328" s="321" t="s">
        <v>1649</v>
      </c>
      <c r="AE328" s="321" t="s">
        <v>1648</v>
      </c>
      <c r="AF328" s="321" t="s">
        <v>1648</v>
      </c>
      <c r="AG328" s="321" t="s">
        <v>1649</v>
      </c>
      <c r="AH328" s="300" t="s">
        <v>1613</v>
      </c>
      <c r="AI328" s="321" t="s">
        <v>1649</v>
      </c>
      <c r="AJ328" s="321" t="s">
        <v>1649</v>
      </c>
      <c r="AK328" s="321" t="s">
        <v>1649</v>
      </c>
      <c r="AL328" s="321" t="s">
        <v>1649</v>
      </c>
      <c r="AM328" s="321" t="s">
        <v>1649</v>
      </c>
      <c r="AN328" s="321" t="s">
        <v>1648</v>
      </c>
      <c r="AO328" s="321" t="s">
        <v>1648</v>
      </c>
      <c r="AP328" s="321" t="s">
        <v>1648</v>
      </c>
      <c r="AQ328" s="321" t="s">
        <v>1649</v>
      </c>
      <c r="AR328" s="321" t="s">
        <v>1648</v>
      </c>
      <c r="AS328" s="321" t="s">
        <v>1648</v>
      </c>
      <c r="AT328" s="321" t="s">
        <v>1649</v>
      </c>
      <c r="AU328" s="301" t="s">
        <v>1613</v>
      </c>
    </row>
    <row r="329" spans="1:47" ht="13.5" thickBot="1" x14ac:dyDescent="0.25">
      <c r="A329" s="48" t="s">
        <v>437</v>
      </c>
      <c r="B329" s="291" t="s">
        <v>436</v>
      </c>
      <c r="C329" s="298" t="s">
        <v>39</v>
      </c>
      <c r="D329" s="304"/>
      <c r="E329" s="305"/>
      <c r="F329" s="305"/>
      <c r="G329" s="304"/>
      <c r="H329" s="305"/>
      <c r="I329" s="305"/>
      <c r="J329" s="304"/>
      <c r="K329" s="305"/>
      <c r="L329" s="305"/>
      <c r="M329" s="304"/>
      <c r="N329" s="303">
        <v>37440</v>
      </c>
      <c r="O329" s="303">
        <v>40000</v>
      </c>
      <c r="P329" s="304"/>
      <c r="Q329" s="305"/>
      <c r="R329" s="305"/>
      <c r="S329" s="302">
        <v>28</v>
      </c>
      <c r="T329" s="303">
        <v>22880</v>
      </c>
      <c r="U329" s="303">
        <v>25000</v>
      </c>
      <c r="V329" s="321" t="s">
        <v>1648</v>
      </c>
      <c r="W329" s="321" t="s">
        <v>1648</v>
      </c>
      <c r="X329" s="321" t="s">
        <v>1648</v>
      </c>
      <c r="Y329" s="321" t="s">
        <v>1648</v>
      </c>
      <c r="Z329" s="321" t="s">
        <v>1648</v>
      </c>
      <c r="AA329" s="321" t="s">
        <v>1648</v>
      </c>
      <c r="AB329" s="321" t="s">
        <v>1648</v>
      </c>
      <c r="AC329" s="321" t="s">
        <v>1648</v>
      </c>
      <c r="AD329" s="321" t="s">
        <v>1648</v>
      </c>
      <c r="AE329" s="321" t="s">
        <v>1648</v>
      </c>
      <c r="AF329" s="321" t="s">
        <v>1648</v>
      </c>
      <c r="AG329" s="321" t="s">
        <v>1648</v>
      </c>
      <c r="AH329" s="300"/>
      <c r="AI329" s="321" t="s">
        <v>1649</v>
      </c>
      <c r="AJ329" s="321" t="s">
        <v>1649</v>
      </c>
      <c r="AK329" s="321" t="s">
        <v>1649</v>
      </c>
      <c r="AL329" s="321" t="s">
        <v>1649</v>
      </c>
      <c r="AM329" s="321" t="s">
        <v>1649</v>
      </c>
      <c r="AN329" s="321" t="s">
        <v>1648</v>
      </c>
      <c r="AO329" s="321" t="s">
        <v>1649</v>
      </c>
      <c r="AP329" s="321" t="s">
        <v>1649</v>
      </c>
      <c r="AQ329" s="321" t="s">
        <v>1649</v>
      </c>
      <c r="AR329" s="321" t="s">
        <v>1649</v>
      </c>
      <c r="AS329" s="321" t="s">
        <v>1649</v>
      </c>
      <c r="AT329" s="321" t="s">
        <v>1649</v>
      </c>
      <c r="AU329" s="301"/>
    </row>
    <row r="330" spans="1:47" ht="13.5" thickBot="1" x14ac:dyDescent="0.25">
      <c r="A330" s="48" t="s">
        <v>448</v>
      </c>
      <c r="B330" s="291" t="s">
        <v>447</v>
      </c>
      <c r="C330" s="298" t="s">
        <v>39</v>
      </c>
      <c r="D330" s="302">
        <v>40</v>
      </c>
      <c r="E330" s="303">
        <v>62500</v>
      </c>
      <c r="F330" s="303">
        <v>87400</v>
      </c>
      <c r="G330" s="302">
        <v>40</v>
      </c>
      <c r="H330" s="303">
        <v>56900</v>
      </c>
      <c r="I330" s="303">
        <v>71800</v>
      </c>
      <c r="J330" s="302">
        <v>36</v>
      </c>
      <c r="K330" s="303">
        <v>49500</v>
      </c>
      <c r="L330" s="303">
        <v>62400</v>
      </c>
      <c r="M330" s="302">
        <v>31</v>
      </c>
      <c r="N330" s="303">
        <v>32100</v>
      </c>
      <c r="O330" s="303">
        <v>38700</v>
      </c>
      <c r="P330" s="302">
        <v>40</v>
      </c>
      <c r="Q330" s="303">
        <v>56900</v>
      </c>
      <c r="R330" s="303">
        <v>71800</v>
      </c>
      <c r="S330" s="302">
        <v>30</v>
      </c>
      <c r="T330" s="303">
        <v>20100</v>
      </c>
      <c r="U330" s="303">
        <v>33700</v>
      </c>
      <c r="V330" s="321" t="s">
        <v>1648</v>
      </c>
      <c r="W330" s="321" t="s">
        <v>1648</v>
      </c>
      <c r="X330" s="321" t="s">
        <v>1648</v>
      </c>
      <c r="Y330" s="321" t="s">
        <v>1648</v>
      </c>
      <c r="Z330" s="321" t="s">
        <v>1648</v>
      </c>
      <c r="AA330" s="321" t="s">
        <v>1648</v>
      </c>
      <c r="AB330" s="321" t="s">
        <v>1648</v>
      </c>
      <c r="AC330" s="321" t="s">
        <v>1648</v>
      </c>
      <c r="AD330" s="321" t="s">
        <v>1648</v>
      </c>
      <c r="AE330" s="321" t="s">
        <v>1648</v>
      </c>
      <c r="AF330" s="321" t="s">
        <v>1648</v>
      </c>
      <c r="AG330" s="321" t="s">
        <v>1648</v>
      </c>
      <c r="AH330" s="165" t="s">
        <v>3664</v>
      </c>
      <c r="AI330" s="321" t="s">
        <v>1649</v>
      </c>
      <c r="AJ330" s="321" t="s">
        <v>1649</v>
      </c>
      <c r="AK330" s="321" t="s">
        <v>1649</v>
      </c>
      <c r="AL330" s="321" t="s">
        <v>1649</v>
      </c>
      <c r="AM330" s="321" t="s">
        <v>1649</v>
      </c>
      <c r="AN330" s="321" t="s">
        <v>1648</v>
      </c>
      <c r="AO330" s="321" t="s">
        <v>1648</v>
      </c>
      <c r="AP330" s="321" t="s">
        <v>1648</v>
      </c>
      <c r="AQ330" s="321" t="s">
        <v>1649</v>
      </c>
      <c r="AR330" s="321" t="s">
        <v>1649</v>
      </c>
      <c r="AS330" s="321" t="s">
        <v>1648</v>
      </c>
      <c r="AT330" s="321" t="s">
        <v>1648</v>
      </c>
      <c r="AU330" s="307" t="s">
        <v>3664</v>
      </c>
    </row>
    <row r="331" spans="1:47" ht="13.5" thickBot="1" x14ac:dyDescent="0.25">
      <c r="A331" s="48" t="s">
        <v>464</v>
      </c>
      <c r="B331" s="291" t="s">
        <v>463</v>
      </c>
      <c r="C331" s="298" t="s">
        <v>39</v>
      </c>
      <c r="D331" s="299" t="s">
        <v>1613</v>
      </c>
      <c r="E331" s="299" t="s">
        <v>1613</v>
      </c>
      <c r="F331" s="299" t="s">
        <v>1613</v>
      </c>
      <c r="G331" s="302">
        <v>38</v>
      </c>
      <c r="H331" s="303">
        <v>51302</v>
      </c>
      <c r="I331" s="303">
        <v>58618</v>
      </c>
      <c r="J331" s="299" t="s">
        <v>1613</v>
      </c>
      <c r="K331" s="299" t="s">
        <v>1613</v>
      </c>
      <c r="L331" s="299" t="s">
        <v>1613</v>
      </c>
      <c r="M331" s="302">
        <v>20</v>
      </c>
      <c r="N331" s="303">
        <v>18460</v>
      </c>
      <c r="O331" s="303">
        <v>18980</v>
      </c>
      <c r="P331" s="302">
        <v>38</v>
      </c>
      <c r="Q331" s="303">
        <v>42321</v>
      </c>
      <c r="R331" s="303">
        <v>48323</v>
      </c>
      <c r="S331" s="302">
        <v>20</v>
      </c>
      <c r="T331" s="303">
        <v>14300</v>
      </c>
      <c r="U331" s="303">
        <v>14820</v>
      </c>
      <c r="V331" s="321" t="s">
        <v>1648</v>
      </c>
      <c r="W331" s="321" t="s">
        <v>1648</v>
      </c>
      <c r="X331" s="321" t="s">
        <v>1648</v>
      </c>
      <c r="Y331" s="321" t="s">
        <v>1648</v>
      </c>
      <c r="Z331" s="321" t="s">
        <v>1648</v>
      </c>
      <c r="AA331" s="321" t="s">
        <v>1648</v>
      </c>
      <c r="AB331" s="321" t="s">
        <v>1648</v>
      </c>
      <c r="AC331" s="321" t="s">
        <v>1648</v>
      </c>
      <c r="AD331" s="321" t="s">
        <v>1648</v>
      </c>
      <c r="AE331" s="321" t="s">
        <v>1648</v>
      </c>
      <c r="AF331" s="321" t="s">
        <v>1648</v>
      </c>
      <c r="AG331" s="321" t="s">
        <v>1648</v>
      </c>
      <c r="AH331" s="300" t="s">
        <v>1613</v>
      </c>
      <c r="AI331" s="321" t="s">
        <v>1649</v>
      </c>
      <c r="AJ331" s="321" t="s">
        <v>1649</v>
      </c>
      <c r="AK331" s="321" t="s">
        <v>1649</v>
      </c>
      <c r="AL331" s="321" t="s">
        <v>1649</v>
      </c>
      <c r="AM331" s="321" t="s">
        <v>1649</v>
      </c>
      <c r="AN331" s="321" t="s">
        <v>1649</v>
      </c>
      <c r="AO331" s="321" t="s">
        <v>1649</v>
      </c>
      <c r="AP331" s="321" t="s">
        <v>1649</v>
      </c>
      <c r="AQ331" s="321" t="s">
        <v>1649</v>
      </c>
      <c r="AR331" s="321" t="s">
        <v>1649</v>
      </c>
      <c r="AS331" s="321" t="s">
        <v>1649</v>
      </c>
      <c r="AT331" s="321" t="s">
        <v>1649</v>
      </c>
      <c r="AU331" s="307" t="s">
        <v>3664</v>
      </c>
    </row>
    <row r="332" spans="1:47" ht="13.5" thickBot="1" x14ac:dyDescent="0.25">
      <c r="A332" s="48" t="s">
        <v>484</v>
      </c>
      <c r="B332" s="291" t="s">
        <v>483</v>
      </c>
      <c r="C332" s="298" t="s">
        <v>39</v>
      </c>
      <c r="D332" s="302">
        <v>40</v>
      </c>
      <c r="E332" s="303">
        <v>51510</v>
      </c>
      <c r="F332" s="303">
        <v>51510</v>
      </c>
      <c r="G332" s="302">
        <v>35</v>
      </c>
      <c r="H332" s="303">
        <v>40440</v>
      </c>
      <c r="I332" s="303">
        <v>40440</v>
      </c>
      <c r="J332" s="299" t="s">
        <v>1613</v>
      </c>
      <c r="K332" s="299" t="s">
        <v>1613</v>
      </c>
      <c r="L332" s="299" t="s">
        <v>1613</v>
      </c>
      <c r="M332" s="302">
        <v>25</v>
      </c>
      <c r="N332" s="303">
        <v>17000</v>
      </c>
      <c r="O332" s="303">
        <v>25000</v>
      </c>
      <c r="P332" s="299" t="s">
        <v>1613</v>
      </c>
      <c r="Q332" s="299" t="s">
        <v>1613</v>
      </c>
      <c r="R332" s="299" t="s">
        <v>1613</v>
      </c>
      <c r="S332" s="302">
        <v>30</v>
      </c>
      <c r="T332" s="303">
        <v>9000</v>
      </c>
      <c r="U332" s="303">
        <v>22000</v>
      </c>
      <c r="V332" s="321" t="s">
        <v>1648</v>
      </c>
      <c r="W332" s="321" t="s">
        <v>1649</v>
      </c>
      <c r="X332" s="321" t="s">
        <v>1648</v>
      </c>
      <c r="Y332" s="321" t="s">
        <v>1648</v>
      </c>
      <c r="Z332" s="321" t="s">
        <v>1649</v>
      </c>
      <c r="AA332" s="321" t="s">
        <v>1648</v>
      </c>
      <c r="AB332" s="321" t="s">
        <v>1648</v>
      </c>
      <c r="AC332" s="321" t="s">
        <v>1648</v>
      </c>
      <c r="AD332" s="321" t="s">
        <v>1649</v>
      </c>
      <c r="AE332" s="321" t="s">
        <v>1648</v>
      </c>
      <c r="AF332" s="321" t="s">
        <v>1648</v>
      </c>
      <c r="AG332" s="321" t="s">
        <v>1648</v>
      </c>
      <c r="AH332" s="300"/>
      <c r="AI332" s="321" t="s">
        <v>1649</v>
      </c>
      <c r="AJ332" s="321" t="s">
        <v>1649</v>
      </c>
      <c r="AK332" s="321" t="s">
        <v>1649</v>
      </c>
      <c r="AL332" s="321" t="s">
        <v>1648</v>
      </c>
      <c r="AM332" s="321" t="s">
        <v>1649</v>
      </c>
      <c r="AN332" s="321" t="s">
        <v>1648</v>
      </c>
      <c r="AO332" s="321" t="s">
        <v>1648</v>
      </c>
      <c r="AP332" s="321" t="s">
        <v>1648</v>
      </c>
      <c r="AQ332" s="321" t="s">
        <v>1649</v>
      </c>
      <c r="AR332" s="321" t="s">
        <v>1648</v>
      </c>
      <c r="AS332" s="321" t="s">
        <v>1648</v>
      </c>
      <c r="AT332" s="321" t="s">
        <v>1649</v>
      </c>
      <c r="AU332" s="301"/>
    </row>
    <row r="333" spans="1:47" ht="13.5" thickBot="1" x14ac:dyDescent="0.25">
      <c r="A333" s="48" t="s">
        <v>538</v>
      </c>
      <c r="B333" s="291" t="s">
        <v>537</v>
      </c>
      <c r="C333" s="298" t="s">
        <v>39</v>
      </c>
      <c r="D333" s="302">
        <v>40</v>
      </c>
      <c r="E333" s="303">
        <v>70000</v>
      </c>
      <c r="F333" s="303">
        <v>72720</v>
      </c>
      <c r="G333" s="302">
        <v>40</v>
      </c>
      <c r="H333" s="303">
        <v>54712</v>
      </c>
      <c r="I333" s="303">
        <v>63001</v>
      </c>
      <c r="J333" s="302">
        <v>40</v>
      </c>
      <c r="K333" s="303">
        <v>48097</v>
      </c>
      <c r="L333" s="303">
        <v>55613</v>
      </c>
      <c r="M333" s="302">
        <v>40</v>
      </c>
      <c r="N333" s="303">
        <v>43948</v>
      </c>
      <c r="O333" s="303">
        <v>46975</v>
      </c>
      <c r="P333" s="302">
        <v>40</v>
      </c>
      <c r="Q333" s="303">
        <v>49442</v>
      </c>
      <c r="R333" s="303">
        <v>62532</v>
      </c>
      <c r="S333" s="302">
        <v>21</v>
      </c>
      <c r="T333" s="303">
        <v>14491</v>
      </c>
      <c r="U333" s="303">
        <v>19099</v>
      </c>
      <c r="V333" s="321" t="s">
        <v>1648</v>
      </c>
      <c r="W333" s="321" t="s">
        <v>1648</v>
      </c>
      <c r="X333" s="321" t="s">
        <v>1648</v>
      </c>
      <c r="Y333" s="321" t="s">
        <v>1648</v>
      </c>
      <c r="Z333" s="321" t="s">
        <v>1648</v>
      </c>
      <c r="AA333" s="321" t="s">
        <v>1648</v>
      </c>
      <c r="AB333" s="321" t="s">
        <v>1648</v>
      </c>
      <c r="AC333" s="321" t="s">
        <v>1648</v>
      </c>
      <c r="AD333" s="321" t="s">
        <v>1648</v>
      </c>
      <c r="AE333" s="321" t="s">
        <v>1648</v>
      </c>
      <c r="AF333" s="321" t="s">
        <v>1648</v>
      </c>
      <c r="AG333" s="321" t="s">
        <v>1648</v>
      </c>
      <c r="AH333" s="300" t="s">
        <v>1613</v>
      </c>
      <c r="AI333" s="321" t="s">
        <v>1649</v>
      </c>
      <c r="AJ333" s="321" t="s">
        <v>1649</v>
      </c>
      <c r="AK333" s="321" t="s">
        <v>1649</v>
      </c>
      <c r="AL333" s="321" t="s">
        <v>1649</v>
      </c>
      <c r="AM333" s="321" t="s">
        <v>1649</v>
      </c>
      <c r="AN333" s="321" t="s">
        <v>1648</v>
      </c>
      <c r="AO333" s="321" t="s">
        <v>1648</v>
      </c>
      <c r="AP333" s="321" t="s">
        <v>1648</v>
      </c>
      <c r="AQ333" s="321" t="s">
        <v>1649</v>
      </c>
      <c r="AR333" s="321" t="s">
        <v>1649</v>
      </c>
      <c r="AS333" s="321" t="s">
        <v>1649</v>
      </c>
      <c r="AT333" s="321" t="s">
        <v>1648</v>
      </c>
      <c r="AU333" s="301" t="s">
        <v>1613</v>
      </c>
    </row>
    <row r="334" spans="1:47" ht="13.5" thickBot="1" x14ac:dyDescent="0.25">
      <c r="A334" s="48" t="s">
        <v>544</v>
      </c>
      <c r="B334" s="291" t="s">
        <v>543</v>
      </c>
      <c r="C334" s="298" t="s">
        <v>39</v>
      </c>
      <c r="D334" s="299" t="s">
        <v>1613</v>
      </c>
      <c r="E334" s="299" t="s">
        <v>1613</v>
      </c>
      <c r="F334" s="299" t="s">
        <v>1613</v>
      </c>
      <c r="G334" s="299" t="s">
        <v>1613</v>
      </c>
      <c r="H334" s="299" t="s">
        <v>1613</v>
      </c>
      <c r="I334" s="299" t="s">
        <v>1613</v>
      </c>
      <c r="J334" s="302">
        <v>40</v>
      </c>
      <c r="K334" s="303">
        <v>44652</v>
      </c>
      <c r="L334" s="303">
        <v>55487</v>
      </c>
      <c r="M334" s="302">
        <v>40</v>
      </c>
      <c r="N334" s="303">
        <v>40658</v>
      </c>
      <c r="O334" s="303">
        <v>50296</v>
      </c>
      <c r="P334" s="302">
        <v>20</v>
      </c>
      <c r="Q334" s="303">
        <v>34000</v>
      </c>
      <c r="R334" s="303">
        <v>41642</v>
      </c>
      <c r="S334" s="302">
        <v>16</v>
      </c>
      <c r="T334" s="303">
        <v>13000</v>
      </c>
      <c r="U334" s="303">
        <v>15800</v>
      </c>
      <c r="V334" s="321" t="s">
        <v>1648</v>
      </c>
      <c r="W334" s="321" t="s">
        <v>1648</v>
      </c>
      <c r="X334" s="321" t="s">
        <v>1648</v>
      </c>
      <c r="Y334" s="321" t="s">
        <v>1649</v>
      </c>
      <c r="Z334" s="321" t="s">
        <v>1648</v>
      </c>
      <c r="AA334" s="321" t="s">
        <v>1648</v>
      </c>
      <c r="AB334" s="321" t="s">
        <v>1648</v>
      </c>
      <c r="AC334" s="321" t="s">
        <v>1648</v>
      </c>
      <c r="AD334" s="321" t="s">
        <v>1648</v>
      </c>
      <c r="AE334" s="321" t="s">
        <v>1648</v>
      </c>
      <c r="AF334" s="321" t="s">
        <v>1648</v>
      </c>
      <c r="AG334" s="321" t="s">
        <v>1648</v>
      </c>
      <c r="AH334" s="300" t="s">
        <v>1613</v>
      </c>
      <c r="AI334" s="321" t="s">
        <v>1649</v>
      </c>
      <c r="AJ334" s="321" t="s">
        <v>1649</v>
      </c>
      <c r="AK334" s="321" t="s">
        <v>1649</v>
      </c>
      <c r="AL334" s="321" t="s">
        <v>1649</v>
      </c>
      <c r="AM334" s="321" t="s">
        <v>1649</v>
      </c>
      <c r="AN334" s="321" t="s">
        <v>1649</v>
      </c>
      <c r="AO334" s="321" t="s">
        <v>1648</v>
      </c>
      <c r="AP334" s="321" t="s">
        <v>1648</v>
      </c>
      <c r="AQ334" s="321" t="s">
        <v>1648</v>
      </c>
      <c r="AR334" s="321" t="s">
        <v>1648</v>
      </c>
      <c r="AS334" s="321" t="s">
        <v>1649</v>
      </c>
      <c r="AT334" s="321" t="s">
        <v>1648</v>
      </c>
      <c r="AU334" s="301" t="s">
        <v>1613</v>
      </c>
    </row>
    <row r="335" spans="1:47" ht="13.5" thickBot="1" x14ac:dyDescent="0.25">
      <c r="A335" s="48" t="s">
        <v>550</v>
      </c>
      <c r="B335" s="291" t="s">
        <v>549</v>
      </c>
      <c r="C335" s="298" t="s">
        <v>39</v>
      </c>
      <c r="D335" s="299" t="s">
        <v>1613</v>
      </c>
      <c r="E335" s="299" t="s">
        <v>1613</v>
      </c>
      <c r="F335" s="299" t="s">
        <v>1613</v>
      </c>
      <c r="G335" s="302">
        <v>38</v>
      </c>
      <c r="H335" s="303">
        <v>48500</v>
      </c>
      <c r="I335" s="303">
        <v>63700</v>
      </c>
      <c r="J335" s="302">
        <v>38</v>
      </c>
      <c r="K335" s="303">
        <v>36500</v>
      </c>
      <c r="L335" s="303">
        <v>48000</v>
      </c>
      <c r="M335" s="302">
        <v>26</v>
      </c>
      <c r="N335" s="303">
        <v>36500</v>
      </c>
      <c r="O335" s="303">
        <v>48000</v>
      </c>
      <c r="P335" s="302">
        <v>38</v>
      </c>
      <c r="Q335" s="303">
        <v>42900</v>
      </c>
      <c r="R335" s="303">
        <v>61620</v>
      </c>
      <c r="S335" s="302">
        <v>26</v>
      </c>
      <c r="T335" s="303">
        <v>22425</v>
      </c>
      <c r="U335" s="303">
        <v>32750</v>
      </c>
      <c r="V335" s="321" t="s">
        <v>1648</v>
      </c>
      <c r="W335" s="321" t="s">
        <v>1648</v>
      </c>
      <c r="X335" s="321" t="s">
        <v>1648</v>
      </c>
      <c r="Y335" s="321" t="s">
        <v>1648</v>
      </c>
      <c r="Z335" s="321" t="s">
        <v>1649</v>
      </c>
      <c r="AA335" s="321" t="s">
        <v>1648</v>
      </c>
      <c r="AB335" s="321" t="s">
        <v>1648</v>
      </c>
      <c r="AC335" s="321" t="s">
        <v>1648</v>
      </c>
      <c r="AD335" s="321" t="s">
        <v>1649</v>
      </c>
      <c r="AE335" s="321" t="s">
        <v>1648</v>
      </c>
      <c r="AF335" s="321" t="s">
        <v>1648</v>
      </c>
      <c r="AG335" s="321" t="s">
        <v>1649</v>
      </c>
      <c r="AH335" s="165" t="s">
        <v>3586</v>
      </c>
      <c r="AI335" s="321" t="s">
        <v>1649</v>
      </c>
      <c r="AJ335" s="321" t="s">
        <v>1649</v>
      </c>
      <c r="AK335" s="321" t="s">
        <v>1649</v>
      </c>
      <c r="AL335" s="321" t="s">
        <v>1649</v>
      </c>
      <c r="AM335" s="321" t="s">
        <v>1649</v>
      </c>
      <c r="AN335" s="321" t="s">
        <v>1648</v>
      </c>
      <c r="AO335" s="321" t="s">
        <v>1648</v>
      </c>
      <c r="AP335" s="321" t="s">
        <v>1648</v>
      </c>
      <c r="AQ335" s="321" t="s">
        <v>1649</v>
      </c>
      <c r="AR335" s="321" t="s">
        <v>1649</v>
      </c>
      <c r="AS335" s="321" t="s">
        <v>1648</v>
      </c>
      <c r="AT335" s="321" t="s">
        <v>1649</v>
      </c>
      <c r="AU335" s="301" t="s">
        <v>1613</v>
      </c>
    </row>
    <row r="336" spans="1:47" ht="13.5" thickBot="1" x14ac:dyDescent="0.25">
      <c r="A336" s="48" t="s">
        <v>578</v>
      </c>
      <c r="B336" s="291" t="s">
        <v>577</v>
      </c>
      <c r="C336" s="298" t="s">
        <v>39</v>
      </c>
      <c r="D336" s="302">
        <v>40</v>
      </c>
      <c r="E336" s="303">
        <v>53000</v>
      </c>
      <c r="F336" s="303">
        <v>60000</v>
      </c>
      <c r="G336" s="302">
        <v>39</v>
      </c>
      <c r="H336" s="303">
        <v>45800</v>
      </c>
      <c r="I336" s="303">
        <v>50000</v>
      </c>
      <c r="J336" s="302">
        <v>39</v>
      </c>
      <c r="K336" s="303">
        <v>28000</v>
      </c>
      <c r="L336" s="303">
        <v>32000</v>
      </c>
      <c r="M336" s="302">
        <v>39</v>
      </c>
      <c r="N336" s="303">
        <v>26500</v>
      </c>
      <c r="O336" s="303">
        <v>30500</v>
      </c>
      <c r="P336" s="304"/>
      <c r="Q336" s="305"/>
      <c r="R336" s="305"/>
      <c r="S336" s="302">
        <v>20</v>
      </c>
      <c r="T336" s="303">
        <v>12700</v>
      </c>
      <c r="U336" s="303">
        <v>17300</v>
      </c>
      <c r="V336" s="321" t="s">
        <v>1648</v>
      </c>
      <c r="W336" s="321" t="s">
        <v>1648</v>
      </c>
      <c r="X336" s="321" t="s">
        <v>1648</v>
      </c>
      <c r="Y336" s="321" t="s">
        <v>1648</v>
      </c>
      <c r="Z336" s="321" t="s">
        <v>1648</v>
      </c>
      <c r="AA336" s="321" t="s">
        <v>1648</v>
      </c>
      <c r="AB336" s="321" t="s">
        <v>1648</v>
      </c>
      <c r="AC336" s="321" t="s">
        <v>1648</v>
      </c>
      <c r="AD336" s="321" t="s">
        <v>1648</v>
      </c>
      <c r="AE336" s="321" t="s">
        <v>1648</v>
      </c>
      <c r="AF336" s="321" t="s">
        <v>1648</v>
      </c>
      <c r="AG336" s="321" t="s">
        <v>1648</v>
      </c>
      <c r="AH336" s="300"/>
      <c r="AI336" s="321" t="s">
        <v>1649</v>
      </c>
      <c r="AJ336" s="321" t="s">
        <v>1649</v>
      </c>
      <c r="AK336" s="321" t="s">
        <v>1648</v>
      </c>
      <c r="AL336" s="321" t="s">
        <v>1649</v>
      </c>
      <c r="AM336" s="321" t="s">
        <v>1649</v>
      </c>
      <c r="AN336" s="321" t="s">
        <v>1648</v>
      </c>
      <c r="AO336" s="321" t="s">
        <v>1648</v>
      </c>
      <c r="AP336" s="321" t="s">
        <v>1648</v>
      </c>
      <c r="AQ336" s="321" t="s">
        <v>1649</v>
      </c>
      <c r="AR336" s="321" t="s">
        <v>1649</v>
      </c>
      <c r="AS336" s="321" t="s">
        <v>1648</v>
      </c>
      <c r="AT336" s="321" t="s">
        <v>1648</v>
      </c>
      <c r="AU336" s="301"/>
    </row>
    <row r="337" spans="1:47" ht="13.5" thickBot="1" x14ac:dyDescent="0.25">
      <c r="A337" s="48" t="s">
        <v>588</v>
      </c>
      <c r="B337" s="291" t="s">
        <v>587</v>
      </c>
      <c r="C337" s="298" t="s">
        <v>39</v>
      </c>
      <c r="D337" s="299" t="s">
        <v>1613</v>
      </c>
      <c r="E337" s="299" t="s">
        <v>1613</v>
      </c>
      <c r="F337" s="299" t="s">
        <v>1613</v>
      </c>
      <c r="G337" s="302">
        <v>40</v>
      </c>
      <c r="H337" s="303">
        <v>57000</v>
      </c>
      <c r="I337" s="303">
        <v>82100</v>
      </c>
      <c r="J337" s="302">
        <v>40</v>
      </c>
      <c r="K337" s="303">
        <v>50400</v>
      </c>
      <c r="L337" s="303">
        <v>70600</v>
      </c>
      <c r="M337" s="302">
        <v>40</v>
      </c>
      <c r="N337" s="303">
        <v>46800</v>
      </c>
      <c r="O337" s="303">
        <v>63700</v>
      </c>
      <c r="P337" s="302">
        <v>40</v>
      </c>
      <c r="Q337" s="303">
        <v>57000</v>
      </c>
      <c r="R337" s="303">
        <v>82100</v>
      </c>
      <c r="S337" s="302">
        <v>24</v>
      </c>
      <c r="T337" s="303">
        <v>17759</v>
      </c>
      <c r="U337" s="303">
        <v>20879</v>
      </c>
      <c r="V337" s="321" t="s">
        <v>1648</v>
      </c>
      <c r="W337" s="321" t="s">
        <v>1648</v>
      </c>
      <c r="X337" s="321" t="s">
        <v>1648</v>
      </c>
      <c r="Y337" s="321" t="s">
        <v>1648</v>
      </c>
      <c r="Z337" s="321" t="s">
        <v>1648</v>
      </c>
      <c r="AA337" s="321" t="s">
        <v>1648</v>
      </c>
      <c r="AB337" s="321" t="s">
        <v>1648</v>
      </c>
      <c r="AC337" s="321" t="s">
        <v>1648</v>
      </c>
      <c r="AD337" s="321" t="s">
        <v>1648</v>
      </c>
      <c r="AE337" s="321" t="s">
        <v>1648</v>
      </c>
      <c r="AF337" s="321" t="s">
        <v>1649</v>
      </c>
      <c r="AG337" s="321" t="s">
        <v>1649</v>
      </c>
      <c r="AH337" s="300" t="s">
        <v>1613</v>
      </c>
      <c r="AI337" s="321" t="s">
        <v>1649</v>
      </c>
      <c r="AJ337" s="321" t="s">
        <v>1649</v>
      </c>
      <c r="AK337" s="321" t="s">
        <v>1649</v>
      </c>
      <c r="AL337" s="321" t="s">
        <v>1649</v>
      </c>
      <c r="AM337" s="321" t="s">
        <v>1649</v>
      </c>
      <c r="AN337" s="321" t="s">
        <v>1648</v>
      </c>
      <c r="AO337" s="321" t="s">
        <v>1648</v>
      </c>
      <c r="AP337" s="321" t="s">
        <v>1648</v>
      </c>
      <c r="AQ337" s="321" t="s">
        <v>1648</v>
      </c>
      <c r="AR337" s="321" t="s">
        <v>1649</v>
      </c>
      <c r="AS337" s="321" t="s">
        <v>1649</v>
      </c>
      <c r="AT337" s="321" t="s">
        <v>1649</v>
      </c>
      <c r="AU337" s="301" t="s">
        <v>1613</v>
      </c>
    </row>
    <row r="338" spans="1:47" ht="13.5" thickBot="1" x14ac:dyDescent="0.25">
      <c r="A338" s="48" t="s">
        <v>616</v>
      </c>
      <c r="B338" s="291" t="s">
        <v>615</v>
      </c>
      <c r="C338" s="298" t="s">
        <v>39</v>
      </c>
      <c r="D338" s="299" t="s">
        <v>1613</v>
      </c>
      <c r="E338" s="299" t="s">
        <v>1613</v>
      </c>
      <c r="F338" s="299" t="s">
        <v>1613</v>
      </c>
      <c r="G338" s="302">
        <v>40</v>
      </c>
      <c r="H338" s="303">
        <v>52104</v>
      </c>
      <c r="I338" s="303">
        <v>69557</v>
      </c>
      <c r="J338" s="302">
        <v>40</v>
      </c>
      <c r="K338" s="303">
        <v>41267</v>
      </c>
      <c r="L338" s="303">
        <v>57000</v>
      </c>
      <c r="M338" s="302">
        <v>20</v>
      </c>
      <c r="N338" s="303">
        <v>20540</v>
      </c>
      <c r="O338" s="303">
        <v>26000</v>
      </c>
      <c r="P338" s="302">
        <v>40</v>
      </c>
      <c r="Q338" s="303">
        <v>55122</v>
      </c>
      <c r="R338" s="303">
        <v>77170</v>
      </c>
      <c r="S338" s="302">
        <v>20</v>
      </c>
      <c r="T338" s="303">
        <v>12480</v>
      </c>
      <c r="U338" s="303">
        <v>15964</v>
      </c>
      <c r="V338" s="321" t="s">
        <v>1648</v>
      </c>
      <c r="W338" s="321" t="s">
        <v>1648</v>
      </c>
      <c r="X338" s="321" t="s">
        <v>1648</v>
      </c>
      <c r="Y338" s="321" t="s">
        <v>1648</v>
      </c>
      <c r="Z338" s="321" t="s">
        <v>1648</v>
      </c>
      <c r="AA338" s="321" t="s">
        <v>1648</v>
      </c>
      <c r="AB338" s="321" t="s">
        <v>1648</v>
      </c>
      <c r="AC338" s="321" t="s">
        <v>1648</v>
      </c>
      <c r="AD338" s="321" t="s">
        <v>1648</v>
      </c>
      <c r="AE338" s="321" t="s">
        <v>1648</v>
      </c>
      <c r="AF338" s="321" t="s">
        <v>1648</v>
      </c>
      <c r="AG338" s="321" t="s">
        <v>1648</v>
      </c>
      <c r="AH338" s="300" t="s">
        <v>1613</v>
      </c>
      <c r="AI338" s="321" t="s">
        <v>1649</v>
      </c>
      <c r="AJ338" s="321" t="s">
        <v>1649</v>
      </c>
      <c r="AK338" s="321" t="s">
        <v>1649</v>
      </c>
      <c r="AL338" s="321" t="s">
        <v>1649</v>
      </c>
      <c r="AM338" s="321" t="s">
        <v>1649</v>
      </c>
      <c r="AN338" s="321" t="s">
        <v>1648</v>
      </c>
      <c r="AO338" s="321" t="s">
        <v>1649</v>
      </c>
      <c r="AP338" s="321" t="s">
        <v>1649</v>
      </c>
      <c r="AQ338" s="321" t="s">
        <v>1649</v>
      </c>
      <c r="AR338" s="321" t="s">
        <v>1649</v>
      </c>
      <c r="AS338" s="321" t="s">
        <v>1649</v>
      </c>
      <c r="AT338" s="321" t="s">
        <v>1649</v>
      </c>
      <c r="AU338" s="301" t="s">
        <v>1613</v>
      </c>
    </row>
    <row r="339" spans="1:47" ht="13.5" thickBot="1" x14ac:dyDescent="0.25">
      <c r="A339" s="48" t="s">
        <v>640</v>
      </c>
      <c r="B339" s="291" t="s">
        <v>639</v>
      </c>
      <c r="C339" s="298" t="s">
        <v>39</v>
      </c>
      <c r="D339" s="299" t="s">
        <v>1613</v>
      </c>
      <c r="E339" s="299" t="s">
        <v>1613</v>
      </c>
      <c r="F339" s="299" t="s">
        <v>1613</v>
      </c>
      <c r="G339" s="302">
        <v>40</v>
      </c>
      <c r="H339" s="303">
        <v>76960</v>
      </c>
      <c r="I339" s="303">
        <v>85300</v>
      </c>
      <c r="J339" s="299" t="s">
        <v>1613</v>
      </c>
      <c r="K339" s="299" t="s">
        <v>1613</v>
      </c>
      <c r="L339" s="299" t="s">
        <v>1613</v>
      </c>
      <c r="M339" s="302">
        <v>40</v>
      </c>
      <c r="N339" s="303">
        <v>74880</v>
      </c>
      <c r="O339" s="303">
        <v>120640</v>
      </c>
      <c r="P339" s="302">
        <v>40</v>
      </c>
      <c r="Q339" s="303">
        <v>28600</v>
      </c>
      <c r="R339" s="303">
        <v>37800</v>
      </c>
      <c r="S339" s="302">
        <v>20</v>
      </c>
      <c r="T339" s="303">
        <v>9900</v>
      </c>
      <c r="U339" s="303">
        <v>33280</v>
      </c>
      <c r="V339" s="321" t="s">
        <v>1648</v>
      </c>
      <c r="W339" s="321" t="s">
        <v>1648</v>
      </c>
      <c r="X339" s="321" t="s">
        <v>1648</v>
      </c>
      <c r="Y339" s="321" t="s">
        <v>1649</v>
      </c>
      <c r="Z339" s="321" t="s">
        <v>1648</v>
      </c>
      <c r="AA339" s="321" t="s">
        <v>1648</v>
      </c>
      <c r="AB339" s="321" t="s">
        <v>1648</v>
      </c>
      <c r="AC339" s="321" t="s">
        <v>1648</v>
      </c>
      <c r="AD339" s="321" t="s">
        <v>1648</v>
      </c>
      <c r="AE339" s="321" t="s">
        <v>1648</v>
      </c>
      <c r="AF339" s="321" t="s">
        <v>1648</v>
      </c>
      <c r="AG339" s="321" t="s">
        <v>1648</v>
      </c>
      <c r="AH339" s="300" t="s">
        <v>1613</v>
      </c>
      <c r="AI339" s="321" t="s">
        <v>1649</v>
      </c>
      <c r="AJ339" s="321" t="s">
        <v>1649</v>
      </c>
      <c r="AK339" s="321" t="s">
        <v>1649</v>
      </c>
      <c r="AL339" s="321" t="s">
        <v>1649</v>
      </c>
      <c r="AM339" s="321" t="s">
        <v>1649</v>
      </c>
      <c r="AN339" s="321" t="s">
        <v>1649</v>
      </c>
      <c r="AO339" s="321" t="s">
        <v>1649</v>
      </c>
      <c r="AP339" s="321" t="s">
        <v>1648</v>
      </c>
      <c r="AQ339" s="321" t="s">
        <v>1649</v>
      </c>
      <c r="AR339" s="321" t="s">
        <v>1648</v>
      </c>
      <c r="AS339" s="321" t="s">
        <v>1648</v>
      </c>
      <c r="AT339" s="321" t="s">
        <v>1649</v>
      </c>
      <c r="AU339" s="301" t="s">
        <v>1613</v>
      </c>
    </row>
    <row r="340" spans="1:47" ht="13.5" thickBot="1" x14ac:dyDescent="0.25">
      <c r="A340" s="48" t="s">
        <v>642</v>
      </c>
      <c r="B340" s="291" t="s">
        <v>641</v>
      </c>
      <c r="C340" s="298" t="s">
        <v>39</v>
      </c>
      <c r="D340" s="302">
        <v>40</v>
      </c>
      <c r="E340" s="303">
        <v>50000</v>
      </c>
      <c r="F340" s="303">
        <v>60000</v>
      </c>
      <c r="G340" s="299" t="s">
        <v>1613</v>
      </c>
      <c r="H340" s="299" t="s">
        <v>1613</v>
      </c>
      <c r="I340" s="299" t="s">
        <v>1613</v>
      </c>
      <c r="J340" s="299" t="s">
        <v>1613</v>
      </c>
      <c r="K340" s="299" t="s">
        <v>1613</v>
      </c>
      <c r="L340" s="299" t="s">
        <v>1613</v>
      </c>
      <c r="M340" s="302">
        <v>40</v>
      </c>
      <c r="N340" s="303">
        <v>40000</v>
      </c>
      <c r="O340" s="303">
        <v>50000</v>
      </c>
      <c r="P340" s="299" t="s">
        <v>1613</v>
      </c>
      <c r="Q340" s="299" t="s">
        <v>1613</v>
      </c>
      <c r="R340" s="299" t="s">
        <v>1613</v>
      </c>
      <c r="S340" s="302">
        <v>25</v>
      </c>
      <c r="T340" s="303">
        <v>23400</v>
      </c>
      <c r="U340" s="303">
        <v>25480</v>
      </c>
      <c r="V340" s="321" t="s">
        <v>1648</v>
      </c>
      <c r="W340" s="321" t="s">
        <v>1648</v>
      </c>
      <c r="X340" s="321" t="s">
        <v>1648</v>
      </c>
      <c r="Y340" s="321" t="s">
        <v>1648</v>
      </c>
      <c r="Z340" s="321" t="s">
        <v>1648</v>
      </c>
      <c r="AA340" s="321" t="s">
        <v>1648</v>
      </c>
      <c r="AB340" s="321" t="s">
        <v>1648</v>
      </c>
      <c r="AC340" s="321" t="s">
        <v>1648</v>
      </c>
      <c r="AD340" s="321" t="s">
        <v>1648</v>
      </c>
      <c r="AE340" s="321" t="s">
        <v>1648</v>
      </c>
      <c r="AF340" s="321" t="s">
        <v>1648</v>
      </c>
      <c r="AG340" s="321" t="s">
        <v>1649</v>
      </c>
      <c r="AH340" s="300" t="s">
        <v>1613</v>
      </c>
      <c r="AI340" s="321" t="s">
        <v>1649</v>
      </c>
      <c r="AJ340" s="321" t="s">
        <v>1649</v>
      </c>
      <c r="AK340" s="321" t="s">
        <v>1649</v>
      </c>
      <c r="AL340" s="321" t="s">
        <v>1649</v>
      </c>
      <c r="AM340" s="321" t="s">
        <v>1649</v>
      </c>
      <c r="AN340" s="321" t="s">
        <v>1648</v>
      </c>
      <c r="AO340" s="321" t="s">
        <v>1649</v>
      </c>
      <c r="AP340" s="321" t="s">
        <v>1649</v>
      </c>
      <c r="AQ340" s="321" t="s">
        <v>1649</v>
      </c>
      <c r="AR340" s="321" t="s">
        <v>1649</v>
      </c>
      <c r="AS340" s="321" t="s">
        <v>1649</v>
      </c>
      <c r="AT340" s="321" t="s">
        <v>1649</v>
      </c>
      <c r="AU340" s="301" t="s">
        <v>1613</v>
      </c>
    </row>
    <row r="341" spans="1:47" ht="13.5" thickBot="1" x14ac:dyDescent="0.25">
      <c r="A341" s="48" t="s">
        <v>646</v>
      </c>
      <c r="B341" s="291" t="s">
        <v>645</v>
      </c>
      <c r="C341" s="298" t="s">
        <v>39</v>
      </c>
      <c r="D341" s="302">
        <v>40</v>
      </c>
      <c r="E341" s="303">
        <v>70952</v>
      </c>
      <c r="F341" s="303">
        <v>74065</v>
      </c>
      <c r="G341" s="302">
        <v>40</v>
      </c>
      <c r="H341" s="303">
        <v>63910</v>
      </c>
      <c r="I341" s="303">
        <v>97847</v>
      </c>
      <c r="J341" s="302">
        <v>40</v>
      </c>
      <c r="K341" s="303">
        <v>57544</v>
      </c>
      <c r="L341" s="303">
        <v>60129</v>
      </c>
      <c r="M341" s="302">
        <v>28</v>
      </c>
      <c r="N341" s="303">
        <v>34580</v>
      </c>
      <c r="O341" s="303">
        <v>36036</v>
      </c>
      <c r="P341" s="299" t="s">
        <v>1613</v>
      </c>
      <c r="Q341" s="299" t="s">
        <v>1613</v>
      </c>
      <c r="R341" s="299" t="s">
        <v>1613</v>
      </c>
      <c r="S341" s="302">
        <v>24</v>
      </c>
      <c r="T341" s="303">
        <v>14976</v>
      </c>
      <c r="U341" s="303">
        <v>18408</v>
      </c>
      <c r="V341" s="321" t="s">
        <v>1648</v>
      </c>
      <c r="W341" s="321" t="s">
        <v>1648</v>
      </c>
      <c r="X341" s="321" t="s">
        <v>1648</v>
      </c>
      <c r="Y341" s="321" t="s">
        <v>1648</v>
      </c>
      <c r="Z341" s="321" t="s">
        <v>1648</v>
      </c>
      <c r="AA341" s="321" t="s">
        <v>1648</v>
      </c>
      <c r="AB341" s="321" t="s">
        <v>1648</v>
      </c>
      <c r="AC341" s="321" t="s">
        <v>1648</v>
      </c>
      <c r="AD341" s="321" t="s">
        <v>1648</v>
      </c>
      <c r="AE341" s="321" t="s">
        <v>1648</v>
      </c>
      <c r="AF341" s="321" t="s">
        <v>1648</v>
      </c>
      <c r="AG341" s="321" t="s">
        <v>1649</v>
      </c>
      <c r="AH341" s="300" t="s">
        <v>1613</v>
      </c>
      <c r="AI341" s="321" t="s">
        <v>1649</v>
      </c>
      <c r="AJ341" s="321" t="s">
        <v>1649</v>
      </c>
      <c r="AK341" s="321" t="s">
        <v>1649</v>
      </c>
      <c r="AL341" s="321" t="s">
        <v>1648</v>
      </c>
      <c r="AM341" s="321" t="s">
        <v>1649</v>
      </c>
      <c r="AN341" s="321" t="s">
        <v>1649</v>
      </c>
      <c r="AO341" s="321" t="s">
        <v>1649</v>
      </c>
      <c r="AP341" s="321" t="s">
        <v>1649</v>
      </c>
      <c r="AQ341" s="321" t="s">
        <v>1648</v>
      </c>
      <c r="AR341" s="321" t="s">
        <v>1649</v>
      </c>
      <c r="AS341" s="321" t="s">
        <v>1649</v>
      </c>
      <c r="AT341" s="321" t="s">
        <v>1649</v>
      </c>
      <c r="AU341" s="307" t="s">
        <v>3597</v>
      </c>
    </row>
    <row r="342" spans="1:47" ht="13.5" thickBot="1" x14ac:dyDescent="0.25">
      <c r="A342" s="48" t="s">
        <v>664</v>
      </c>
      <c r="B342" s="291" t="s">
        <v>663</v>
      </c>
      <c r="C342" s="298" t="s">
        <v>39</v>
      </c>
      <c r="D342" s="302">
        <v>40</v>
      </c>
      <c r="E342" s="303">
        <v>74200</v>
      </c>
      <c r="F342" s="303">
        <v>115000</v>
      </c>
      <c r="G342" s="302">
        <v>40</v>
      </c>
      <c r="H342" s="303">
        <v>64000</v>
      </c>
      <c r="I342" s="303">
        <v>99200</v>
      </c>
      <c r="J342" s="302">
        <v>40</v>
      </c>
      <c r="K342" s="303">
        <v>46800</v>
      </c>
      <c r="L342" s="303">
        <v>70200</v>
      </c>
      <c r="M342" s="302">
        <v>20</v>
      </c>
      <c r="N342" s="303">
        <v>41200</v>
      </c>
      <c r="O342" s="303">
        <v>59700</v>
      </c>
      <c r="P342" s="302">
        <v>40</v>
      </c>
      <c r="Q342" s="303">
        <v>55200</v>
      </c>
      <c r="R342" s="303">
        <v>85600</v>
      </c>
      <c r="S342" s="302">
        <v>20</v>
      </c>
      <c r="T342" s="303">
        <v>29200</v>
      </c>
      <c r="U342" s="303">
        <v>39400</v>
      </c>
      <c r="V342" s="321" t="s">
        <v>1648</v>
      </c>
      <c r="W342" s="321" t="s">
        <v>1648</v>
      </c>
      <c r="X342" s="321" t="s">
        <v>1648</v>
      </c>
      <c r="Y342" s="321" t="s">
        <v>1648</v>
      </c>
      <c r="Z342" s="321" t="s">
        <v>1648</v>
      </c>
      <c r="AA342" s="321" t="s">
        <v>1648</v>
      </c>
      <c r="AB342" s="321" t="s">
        <v>1648</v>
      </c>
      <c r="AC342" s="321" t="s">
        <v>1648</v>
      </c>
      <c r="AD342" s="321" t="s">
        <v>1648</v>
      </c>
      <c r="AE342" s="321" t="s">
        <v>1648</v>
      </c>
      <c r="AF342" s="321" t="s">
        <v>1649</v>
      </c>
      <c r="AG342" s="321" t="s">
        <v>1649</v>
      </c>
      <c r="AH342" s="165" t="s">
        <v>3601</v>
      </c>
      <c r="AI342" s="321" t="s">
        <v>1649</v>
      </c>
      <c r="AJ342" s="321" t="s">
        <v>1649</v>
      </c>
      <c r="AK342" s="321" t="s">
        <v>1649</v>
      </c>
      <c r="AL342" s="321" t="s">
        <v>1648</v>
      </c>
      <c r="AM342" s="321" t="s">
        <v>1649</v>
      </c>
      <c r="AN342" s="321" t="s">
        <v>1648</v>
      </c>
      <c r="AO342" s="321" t="s">
        <v>1648</v>
      </c>
      <c r="AP342" s="321" t="s">
        <v>1648</v>
      </c>
      <c r="AQ342" s="321" t="s">
        <v>1648</v>
      </c>
      <c r="AR342" s="321" t="s">
        <v>1649</v>
      </c>
      <c r="AS342" s="321" t="s">
        <v>1649</v>
      </c>
      <c r="AT342" s="321" t="s">
        <v>1649</v>
      </c>
      <c r="AU342" s="307" t="s">
        <v>3601</v>
      </c>
    </row>
    <row r="343" spans="1:47" ht="13.5" thickBot="1" x14ac:dyDescent="0.25">
      <c r="A343" s="48" t="s">
        <v>688</v>
      </c>
      <c r="B343" s="291" t="s">
        <v>687</v>
      </c>
      <c r="C343" s="298" t="s">
        <v>39</v>
      </c>
      <c r="D343" s="302">
        <v>39</v>
      </c>
      <c r="E343" s="303">
        <v>50665</v>
      </c>
      <c r="F343" s="303">
        <v>60081</v>
      </c>
      <c r="G343" s="302">
        <v>37</v>
      </c>
      <c r="H343" s="303">
        <v>45372</v>
      </c>
      <c r="I343" s="303">
        <v>53803</v>
      </c>
      <c r="J343" s="299" t="s">
        <v>1613</v>
      </c>
      <c r="K343" s="299" t="s">
        <v>1613</v>
      </c>
      <c r="L343" s="299" t="s">
        <v>1613</v>
      </c>
      <c r="M343" s="299" t="s">
        <v>1613</v>
      </c>
      <c r="N343" s="299" t="s">
        <v>1613</v>
      </c>
      <c r="O343" s="299" t="s">
        <v>1613</v>
      </c>
      <c r="P343" s="299" t="s">
        <v>1613</v>
      </c>
      <c r="Q343" s="299" t="s">
        <v>1613</v>
      </c>
      <c r="R343" s="299" t="s">
        <v>1613</v>
      </c>
      <c r="S343" s="302">
        <v>37</v>
      </c>
      <c r="T343" s="303">
        <v>28748</v>
      </c>
      <c r="U343" s="303">
        <v>41456</v>
      </c>
      <c r="V343" s="321" t="s">
        <v>1648</v>
      </c>
      <c r="W343" s="321" t="s">
        <v>1648</v>
      </c>
      <c r="X343" s="321" t="s">
        <v>1648</v>
      </c>
      <c r="Y343" s="321" t="s">
        <v>1648</v>
      </c>
      <c r="Z343" s="321" t="s">
        <v>1648</v>
      </c>
      <c r="AA343" s="321" t="s">
        <v>1648</v>
      </c>
      <c r="AB343" s="321" t="s">
        <v>1648</v>
      </c>
      <c r="AC343" s="321" t="s">
        <v>1648</v>
      </c>
      <c r="AD343" s="321" t="s">
        <v>1648</v>
      </c>
      <c r="AE343" s="321" t="s">
        <v>1648</v>
      </c>
      <c r="AF343" s="321" t="s">
        <v>1648</v>
      </c>
      <c r="AG343" s="321" t="s">
        <v>1648</v>
      </c>
      <c r="AH343" s="300" t="s">
        <v>1613</v>
      </c>
      <c r="AI343" s="321" t="s">
        <v>1649</v>
      </c>
      <c r="AJ343" s="321" t="s">
        <v>1649</v>
      </c>
      <c r="AK343" s="321" t="s">
        <v>1649</v>
      </c>
      <c r="AL343" s="321" t="s">
        <v>1649</v>
      </c>
      <c r="AM343" s="321" t="s">
        <v>1649</v>
      </c>
      <c r="AN343" s="321" t="s">
        <v>1649</v>
      </c>
      <c r="AO343" s="321" t="s">
        <v>1649</v>
      </c>
      <c r="AP343" s="321" t="s">
        <v>1649</v>
      </c>
      <c r="AQ343" s="321" t="s">
        <v>1649</v>
      </c>
      <c r="AR343" s="321" t="s">
        <v>1649</v>
      </c>
      <c r="AS343" s="321" t="s">
        <v>1649</v>
      </c>
      <c r="AT343" s="321" t="s">
        <v>1649</v>
      </c>
      <c r="AU343" s="301" t="s">
        <v>1613</v>
      </c>
    </row>
    <row r="344" spans="1:47" ht="13.5" thickBot="1" x14ac:dyDescent="0.25">
      <c r="A344" s="48" t="s">
        <v>698</v>
      </c>
      <c r="B344" s="291" t="s">
        <v>697</v>
      </c>
      <c r="C344" s="298" t="s">
        <v>39</v>
      </c>
      <c r="D344" s="299" t="s">
        <v>1613</v>
      </c>
      <c r="E344" s="299" t="s">
        <v>1613</v>
      </c>
      <c r="F344" s="299" t="s">
        <v>1613</v>
      </c>
      <c r="G344" s="299" t="s">
        <v>1613</v>
      </c>
      <c r="H344" s="299" t="s">
        <v>1613</v>
      </c>
      <c r="I344" s="299" t="s">
        <v>1613</v>
      </c>
      <c r="J344" s="302">
        <v>40</v>
      </c>
      <c r="K344" s="303">
        <v>38000</v>
      </c>
      <c r="L344" s="303">
        <v>40000</v>
      </c>
      <c r="M344" s="299" t="s">
        <v>1613</v>
      </c>
      <c r="N344" s="299" t="s">
        <v>1613</v>
      </c>
      <c r="O344" s="299" t="s">
        <v>1613</v>
      </c>
      <c r="P344" s="299" t="s">
        <v>1613</v>
      </c>
      <c r="Q344" s="299" t="s">
        <v>1613</v>
      </c>
      <c r="R344" s="299" t="s">
        <v>1613</v>
      </c>
      <c r="S344" s="302">
        <v>28</v>
      </c>
      <c r="T344" s="303">
        <v>13759</v>
      </c>
      <c r="U344" s="303">
        <v>21548</v>
      </c>
      <c r="V344" s="321" t="s">
        <v>1648</v>
      </c>
      <c r="W344" s="321" t="s">
        <v>1648</v>
      </c>
      <c r="X344" s="321" t="s">
        <v>1649</v>
      </c>
      <c r="Y344" s="321" t="s">
        <v>1648</v>
      </c>
      <c r="Z344" s="321" t="s">
        <v>1648</v>
      </c>
      <c r="AA344" s="321" t="s">
        <v>1648</v>
      </c>
      <c r="AB344" s="321" t="s">
        <v>1648</v>
      </c>
      <c r="AC344" s="321" t="s">
        <v>1648</v>
      </c>
      <c r="AD344" s="321" t="s">
        <v>1648</v>
      </c>
      <c r="AE344" s="321" t="s">
        <v>1649</v>
      </c>
      <c r="AF344" s="321" t="s">
        <v>1648</v>
      </c>
      <c r="AG344" s="321" t="s">
        <v>1649</v>
      </c>
      <c r="AH344" s="300" t="s">
        <v>1613</v>
      </c>
      <c r="AI344" s="321" t="s">
        <v>1649</v>
      </c>
      <c r="AJ344" s="321" t="s">
        <v>1649</v>
      </c>
      <c r="AK344" s="321" t="s">
        <v>1649</v>
      </c>
      <c r="AL344" s="321" t="s">
        <v>1649</v>
      </c>
      <c r="AM344" s="321" t="s">
        <v>1649</v>
      </c>
      <c r="AN344" s="321" t="s">
        <v>1649</v>
      </c>
      <c r="AO344" s="321" t="s">
        <v>1648</v>
      </c>
      <c r="AP344" s="321" t="s">
        <v>1649</v>
      </c>
      <c r="AQ344" s="321" t="s">
        <v>1649</v>
      </c>
      <c r="AR344" s="321" t="s">
        <v>1649</v>
      </c>
      <c r="AS344" s="321" t="s">
        <v>1649</v>
      </c>
      <c r="AT344" s="321" t="s">
        <v>1649</v>
      </c>
      <c r="AU344" s="301" t="s">
        <v>1613</v>
      </c>
    </row>
    <row r="345" spans="1:47" ht="13.5" thickBot="1" x14ac:dyDescent="0.25">
      <c r="A345" s="48" t="s">
        <v>716</v>
      </c>
      <c r="B345" s="291" t="s">
        <v>715</v>
      </c>
      <c r="C345" s="298" t="s">
        <v>39</v>
      </c>
      <c r="D345" s="302">
        <v>35</v>
      </c>
      <c r="E345" s="303">
        <v>39203</v>
      </c>
      <c r="F345" s="303">
        <v>42843</v>
      </c>
      <c r="G345" s="302">
        <v>35</v>
      </c>
      <c r="H345" s="303">
        <v>20020</v>
      </c>
      <c r="I345" s="303">
        <v>38125</v>
      </c>
      <c r="J345" s="302">
        <v>35</v>
      </c>
      <c r="K345" s="303">
        <v>38912</v>
      </c>
      <c r="L345" s="303">
        <v>42552</v>
      </c>
      <c r="M345" s="302">
        <v>20</v>
      </c>
      <c r="N345" s="303">
        <v>18200</v>
      </c>
      <c r="O345" s="303">
        <v>19292</v>
      </c>
      <c r="P345" s="302">
        <v>15</v>
      </c>
      <c r="Q345" s="303">
        <v>11700</v>
      </c>
      <c r="R345" s="303">
        <v>11700</v>
      </c>
      <c r="S345" s="302">
        <v>20</v>
      </c>
      <c r="T345" s="303">
        <v>10036</v>
      </c>
      <c r="U345" s="303">
        <v>11024</v>
      </c>
      <c r="V345" s="321" t="s">
        <v>1648</v>
      </c>
      <c r="W345" s="321" t="s">
        <v>1648</v>
      </c>
      <c r="X345" s="321" t="s">
        <v>1648</v>
      </c>
      <c r="Y345" s="321" t="s">
        <v>1648</v>
      </c>
      <c r="Z345" s="321" t="s">
        <v>1648</v>
      </c>
      <c r="AA345" s="321" t="s">
        <v>1648</v>
      </c>
      <c r="AB345" s="321" t="s">
        <v>1648</v>
      </c>
      <c r="AC345" s="321" t="s">
        <v>1648</v>
      </c>
      <c r="AD345" s="321" t="s">
        <v>1649</v>
      </c>
      <c r="AE345" s="321" t="s">
        <v>1649</v>
      </c>
      <c r="AF345" s="321" t="s">
        <v>1648</v>
      </c>
      <c r="AG345" s="321" t="s">
        <v>1649</v>
      </c>
      <c r="AH345" s="300" t="s">
        <v>1613</v>
      </c>
      <c r="AI345" s="321" t="s">
        <v>1649</v>
      </c>
      <c r="AJ345" s="321" t="s">
        <v>1649</v>
      </c>
      <c r="AK345" s="321" t="s">
        <v>1649</v>
      </c>
      <c r="AL345" s="321" t="s">
        <v>1649</v>
      </c>
      <c r="AM345" s="321" t="s">
        <v>1649</v>
      </c>
      <c r="AN345" s="321" t="s">
        <v>1648</v>
      </c>
      <c r="AO345" s="321" t="s">
        <v>1648</v>
      </c>
      <c r="AP345" s="321" t="s">
        <v>1648</v>
      </c>
      <c r="AQ345" s="321" t="s">
        <v>1649</v>
      </c>
      <c r="AR345" s="321" t="s">
        <v>1649</v>
      </c>
      <c r="AS345" s="321" t="s">
        <v>1648</v>
      </c>
      <c r="AT345" s="321" t="s">
        <v>1649</v>
      </c>
      <c r="AU345" s="301" t="s">
        <v>1613</v>
      </c>
    </row>
    <row r="346" spans="1:47" ht="13.5" thickBot="1" x14ac:dyDescent="0.25">
      <c r="A346" s="48" t="s">
        <v>760</v>
      </c>
      <c r="B346" s="291" t="s">
        <v>759</v>
      </c>
      <c r="C346" s="298" t="s">
        <v>39</v>
      </c>
      <c r="D346" s="302">
        <v>40</v>
      </c>
      <c r="E346" s="303">
        <v>57000</v>
      </c>
      <c r="F346" s="303">
        <v>62000</v>
      </c>
      <c r="G346" s="302">
        <v>30</v>
      </c>
      <c r="H346" s="303">
        <v>35000</v>
      </c>
      <c r="I346" s="303">
        <v>55000</v>
      </c>
      <c r="J346" s="302">
        <v>40</v>
      </c>
      <c r="K346" s="303">
        <v>35000</v>
      </c>
      <c r="L346" s="303">
        <v>45000</v>
      </c>
      <c r="M346" s="304"/>
      <c r="N346" s="303">
        <v>34000</v>
      </c>
      <c r="O346" s="303">
        <v>40000</v>
      </c>
      <c r="P346" s="304"/>
      <c r="Q346" s="303">
        <v>28000</v>
      </c>
      <c r="R346" s="303">
        <v>35000</v>
      </c>
      <c r="S346" s="302">
        <v>20</v>
      </c>
      <c r="T346" s="303">
        <v>22000</v>
      </c>
      <c r="U346" s="303">
        <v>31000</v>
      </c>
      <c r="V346" s="321" t="s">
        <v>1648</v>
      </c>
      <c r="W346" s="321" t="s">
        <v>1648</v>
      </c>
      <c r="X346" s="321" t="s">
        <v>1648</v>
      </c>
      <c r="Y346" s="321" t="s">
        <v>1649</v>
      </c>
      <c r="Z346" s="321" t="s">
        <v>1648</v>
      </c>
      <c r="AA346" s="321" t="s">
        <v>1648</v>
      </c>
      <c r="AB346" s="321" t="s">
        <v>1648</v>
      </c>
      <c r="AC346" s="321" t="s">
        <v>1648</v>
      </c>
      <c r="AD346" s="321" t="s">
        <v>1648</v>
      </c>
      <c r="AE346" s="321" t="s">
        <v>1648</v>
      </c>
      <c r="AF346" s="321" t="s">
        <v>1648</v>
      </c>
      <c r="AG346" s="321" t="s">
        <v>1649</v>
      </c>
      <c r="AH346" s="300"/>
      <c r="AI346" s="321" t="s">
        <v>1649</v>
      </c>
      <c r="AJ346" s="321" t="s">
        <v>1649</v>
      </c>
      <c r="AK346" s="321" t="s">
        <v>1648</v>
      </c>
      <c r="AL346" s="321" t="s">
        <v>1649</v>
      </c>
      <c r="AM346" s="321" t="s">
        <v>1649</v>
      </c>
      <c r="AN346" s="321" t="s">
        <v>1648</v>
      </c>
      <c r="AO346" s="321" t="s">
        <v>1648</v>
      </c>
      <c r="AP346" s="321" t="s">
        <v>1648</v>
      </c>
      <c r="AQ346" s="321" t="s">
        <v>1649</v>
      </c>
      <c r="AR346" s="321" t="s">
        <v>1649</v>
      </c>
      <c r="AS346" s="321" t="s">
        <v>1648</v>
      </c>
      <c r="AT346" s="321" t="s">
        <v>1648</v>
      </c>
      <c r="AU346" s="301" t="s">
        <v>1613</v>
      </c>
    </row>
    <row r="347" spans="1:47" ht="13.5" thickBot="1" x14ac:dyDescent="0.25">
      <c r="A347" s="48" t="s">
        <v>800</v>
      </c>
      <c r="B347" s="291" t="s">
        <v>799</v>
      </c>
      <c r="C347" s="298" t="s">
        <v>39</v>
      </c>
      <c r="D347" s="302">
        <v>40</v>
      </c>
      <c r="E347" s="303">
        <v>60000</v>
      </c>
      <c r="F347" s="303">
        <v>60000</v>
      </c>
      <c r="G347" s="302">
        <v>40</v>
      </c>
      <c r="H347" s="303">
        <v>50000</v>
      </c>
      <c r="I347" s="303">
        <v>50000</v>
      </c>
      <c r="J347" s="302">
        <v>40</v>
      </c>
      <c r="K347" s="303">
        <v>47000</v>
      </c>
      <c r="L347" s="303">
        <v>50000</v>
      </c>
      <c r="M347" s="302">
        <v>24</v>
      </c>
      <c r="N347" s="303">
        <v>24000</v>
      </c>
      <c r="O347" s="303">
        <v>28000</v>
      </c>
      <c r="P347" s="302">
        <v>40</v>
      </c>
      <c r="Q347" s="303">
        <v>45000</v>
      </c>
      <c r="R347" s="303">
        <v>50000</v>
      </c>
      <c r="S347" s="302">
        <v>24</v>
      </c>
      <c r="T347" s="303">
        <v>16000</v>
      </c>
      <c r="U347" s="303">
        <v>18000</v>
      </c>
      <c r="V347" s="321" t="s">
        <v>1648</v>
      </c>
      <c r="W347" s="321" t="s">
        <v>1648</v>
      </c>
      <c r="X347" s="321" t="s">
        <v>1648</v>
      </c>
      <c r="Y347" s="321" t="s">
        <v>1648</v>
      </c>
      <c r="Z347" s="321" t="s">
        <v>1648</v>
      </c>
      <c r="AA347" s="321" t="s">
        <v>1648</v>
      </c>
      <c r="AB347" s="321" t="s">
        <v>1648</v>
      </c>
      <c r="AC347" s="321" t="s">
        <v>1648</v>
      </c>
      <c r="AD347" s="321" t="s">
        <v>1648</v>
      </c>
      <c r="AE347" s="321" t="s">
        <v>1649</v>
      </c>
      <c r="AF347" s="321" t="s">
        <v>1648</v>
      </c>
      <c r="AG347" s="321" t="s">
        <v>1649</v>
      </c>
      <c r="AH347" s="300"/>
      <c r="AI347" s="321" t="s">
        <v>1649</v>
      </c>
      <c r="AJ347" s="321" t="s">
        <v>1649</v>
      </c>
      <c r="AK347" s="321" t="s">
        <v>1649</v>
      </c>
      <c r="AL347" s="321" t="s">
        <v>1649</v>
      </c>
      <c r="AM347" s="321" t="s">
        <v>1649</v>
      </c>
      <c r="AN347" s="321" t="s">
        <v>1648</v>
      </c>
      <c r="AO347" s="321" t="s">
        <v>1648</v>
      </c>
      <c r="AP347" s="321" t="s">
        <v>1649</v>
      </c>
      <c r="AQ347" s="321" t="s">
        <v>1649</v>
      </c>
      <c r="AR347" s="321" t="s">
        <v>1649</v>
      </c>
      <c r="AS347" s="321" t="s">
        <v>1648</v>
      </c>
      <c r="AT347" s="321" t="s">
        <v>1649</v>
      </c>
      <c r="AU347" s="301"/>
    </row>
    <row r="348" spans="1:47" ht="13.5" thickBot="1" x14ac:dyDescent="0.25">
      <c r="A348" s="48" t="s">
        <v>53</v>
      </c>
      <c r="B348" s="291" t="s">
        <v>52</v>
      </c>
      <c r="C348" s="298" t="s">
        <v>54</v>
      </c>
      <c r="D348" s="302">
        <v>40</v>
      </c>
      <c r="E348" s="303">
        <v>114800</v>
      </c>
      <c r="F348" s="303">
        <v>164230</v>
      </c>
      <c r="G348" s="302">
        <v>40</v>
      </c>
      <c r="H348" s="303">
        <v>79400</v>
      </c>
      <c r="I348" s="303">
        <v>111320</v>
      </c>
      <c r="J348" s="302">
        <v>40</v>
      </c>
      <c r="K348" s="303">
        <v>52300</v>
      </c>
      <c r="L348" s="303">
        <v>71940</v>
      </c>
      <c r="M348" s="302">
        <v>40</v>
      </c>
      <c r="N348" s="303">
        <v>52300</v>
      </c>
      <c r="O348" s="303">
        <v>71940</v>
      </c>
      <c r="P348" s="302">
        <v>40</v>
      </c>
      <c r="Q348" s="303">
        <v>52300</v>
      </c>
      <c r="R348" s="303">
        <v>71940</v>
      </c>
      <c r="S348" s="302">
        <v>40</v>
      </c>
      <c r="T348" s="303">
        <v>37000</v>
      </c>
      <c r="U348" s="303">
        <v>48840</v>
      </c>
      <c r="V348" s="321" t="s">
        <v>1648</v>
      </c>
      <c r="W348" s="321" t="s">
        <v>1648</v>
      </c>
      <c r="X348" s="321" t="s">
        <v>1648</v>
      </c>
      <c r="Y348" s="321" t="s">
        <v>1649</v>
      </c>
      <c r="Z348" s="321" t="s">
        <v>1648</v>
      </c>
      <c r="AA348" s="321" t="s">
        <v>1648</v>
      </c>
      <c r="AB348" s="321" t="s">
        <v>1648</v>
      </c>
      <c r="AC348" s="321" t="s">
        <v>1648</v>
      </c>
      <c r="AD348" s="321" t="s">
        <v>1648</v>
      </c>
      <c r="AE348" s="321" t="s">
        <v>1648</v>
      </c>
      <c r="AF348" s="321" t="s">
        <v>1649</v>
      </c>
      <c r="AG348" s="321" t="s">
        <v>1649</v>
      </c>
      <c r="AH348" s="300"/>
      <c r="AI348" s="321" t="s">
        <v>1649</v>
      </c>
      <c r="AJ348" s="321" t="s">
        <v>1649</v>
      </c>
      <c r="AK348" s="321" t="s">
        <v>1649</v>
      </c>
      <c r="AL348" s="321" t="s">
        <v>1649</v>
      </c>
      <c r="AM348" s="321" t="s">
        <v>1649</v>
      </c>
      <c r="AN348" s="321" t="s">
        <v>1649</v>
      </c>
      <c r="AO348" s="321" t="s">
        <v>1649</v>
      </c>
      <c r="AP348" s="321" t="s">
        <v>1649</v>
      </c>
      <c r="AQ348" s="321" t="s">
        <v>1649</v>
      </c>
      <c r="AR348" s="321" t="s">
        <v>1649</v>
      </c>
      <c r="AS348" s="321" t="s">
        <v>1649</v>
      </c>
      <c r="AT348" s="321" t="s">
        <v>1649</v>
      </c>
      <c r="AU348" s="301"/>
    </row>
    <row r="349" spans="1:47" ht="13.5" thickBot="1" x14ac:dyDescent="0.25">
      <c r="A349" s="48" t="s">
        <v>78</v>
      </c>
      <c r="B349" s="291" t="s">
        <v>77</v>
      </c>
      <c r="C349" s="298" t="s">
        <v>54</v>
      </c>
      <c r="D349" s="302">
        <v>40</v>
      </c>
      <c r="E349" s="303">
        <v>68598</v>
      </c>
      <c r="F349" s="303">
        <v>83720</v>
      </c>
      <c r="G349" s="302">
        <v>40</v>
      </c>
      <c r="H349" s="303">
        <v>46821</v>
      </c>
      <c r="I349" s="303">
        <v>64522</v>
      </c>
      <c r="J349" s="302">
        <v>40</v>
      </c>
      <c r="K349" s="303">
        <v>44283</v>
      </c>
      <c r="L349" s="303">
        <v>53206</v>
      </c>
      <c r="M349" s="302">
        <v>40</v>
      </c>
      <c r="N349" s="303">
        <v>42578</v>
      </c>
      <c r="O349" s="303">
        <v>51085</v>
      </c>
      <c r="P349" s="302">
        <v>40</v>
      </c>
      <c r="Q349" s="303">
        <v>34320</v>
      </c>
      <c r="R349" s="303">
        <v>41163</v>
      </c>
      <c r="S349" s="302">
        <v>40</v>
      </c>
      <c r="T349" s="303">
        <v>28080</v>
      </c>
      <c r="U349" s="303">
        <v>37794</v>
      </c>
      <c r="V349" s="321" t="s">
        <v>1648</v>
      </c>
      <c r="W349" s="321" t="s">
        <v>1648</v>
      </c>
      <c r="X349" s="321" t="s">
        <v>1648</v>
      </c>
      <c r="Y349" s="321" t="s">
        <v>1648</v>
      </c>
      <c r="Z349" s="321" t="s">
        <v>1648</v>
      </c>
      <c r="AA349" s="321" t="s">
        <v>1648</v>
      </c>
      <c r="AB349" s="321" t="s">
        <v>1648</v>
      </c>
      <c r="AC349" s="321" t="s">
        <v>1648</v>
      </c>
      <c r="AD349" s="321" t="s">
        <v>1648</v>
      </c>
      <c r="AE349" s="321" t="s">
        <v>1649</v>
      </c>
      <c r="AF349" s="321" t="s">
        <v>1648</v>
      </c>
      <c r="AG349" s="321" t="s">
        <v>1649</v>
      </c>
      <c r="AH349" s="300" t="s">
        <v>1613</v>
      </c>
      <c r="AI349" s="321" t="s">
        <v>1649</v>
      </c>
      <c r="AJ349" s="321" t="s">
        <v>1649</v>
      </c>
      <c r="AK349" s="321" t="s">
        <v>1649</v>
      </c>
      <c r="AL349" s="321" t="s">
        <v>1649</v>
      </c>
      <c r="AM349" s="321" t="s">
        <v>1649</v>
      </c>
      <c r="AN349" s="321" t="s">
        <v>1649</v>
      </c>
      <c r="AO349" s="321" t="s">
        <v>1649</v>
      </c>
      <c r="AP349" s="321" t="s">
        <v>1649</v>
      </c>
      <c r="AQ349" s="321" t="s">
        <v>1649</v>
      </c>
      <c r="AR349" s="321" t="s">
        <v>1649</v>
      </c>
      <c r="AS349" s="321" t="s">
        <v>1649</v>
      </c>
      <c r="AT349" s="321" t="s">
        <v>1649</v>
      </c>
      <c r="AU349" s="301" t="s">
        <v>1613</v>
      </c>
    </row>
    <row r="350" spans="1:47" ht="13.5" thickBot="1" x14ac:dyDescent="0.25">
      <c r="A350" s="48" t="s">
        <v>140</v>
      </c>
      <c r="B350" s="291" t="s">
        <v>139</v>
      </c>
      <c r="C350" s="298" t="s">
        <v>54</v>
      </c>
      <c r="D350" s="304"/>
      <c r="E350" s="305"/>
      <c r="F350" s="305"/>
      <c r="G350" s="302">
        <v>37</v>
      </c>
      <c r="H350" s="303">
        <v>61900</v>
      </c>
      <c r="I350" s="303">
        <v>95900</v>
      </c>
      <c r="J350" s="302">
        <v>37</v>
      </c>
      <c r="K350" s="303">
        <v>50500</v>
      </c>
      <c r="L350" s="303">
        <v>75800</v>
      </c>
      <c r="M350" s="302">
        <v>22</v>
      </c>
      <c r="N350" s="303">
        <v>48100</v>
      </c>
      <c r="O350" s="303">
        <v>69700</v>
      </c>
      <c r="P350" s="302">
        <v>37</v>
      </c>
      <c r="Q350" s="303">
        <v>48100</v>
      </c>
      <c r="R350" s="303">
        <v>69700</v>
      </c>
      <c r="S350" s="302">
        <v>20</v>
      </c>
      <c r="T350" s="303">
        <v>25700</v>
      </c>
      <c r="U350" s="303">
        <v>34700</v>
      </c>
      <c r="V350" s="321" t="s">
        <v>1648</v>
      </c>
      <c r="W350" s="321" t="s">
        <v>1648</v>
      </c>
      <c r="X350" s="321" t="s">
        <v>1648</v>
      </c>
      <c r="Y350" s="321" t="s">
        <v>1648</v>
      </c>
      <c r="Z350" s="321" t="s">
        <v>1649</v>
      </c>
      <c r="AA350" s="321" t="s">
        <v>1648</v>
      </c>
      <c r="AB350" s="321" t="s">
        <v>1648</v>
      </c>
      <c r="AC350" s="321" t="s">
        <v>1648</v>
      </c>
      <c r="AD350" s="321" t="s">
        <v>1648</v>
      </c>
      <c r="AE350" s="321" t="s">
        <v>1648</v>
      </c>
      <c r="AF350" s="321" t="s">
        <v>1648</v>
      </c>
      <c r="AG350" s="321" t="s">
        <v>1649</v>
      </c>
      <c r="AH350" s="300"/>
      <c r="AI350" s="321" t="s">
        <v>1649</v>
      </c>
      <c r="AJ350" s="321" t="s">
        <v>1649</v>
      </c>
      <c r="AK350" s="321" t="s">
        <v>1649</v>
      </c>
      <c r="AL350" s="321" t="s">
        <v>1649</v>
      </c>
      <c r="AM350" s="321" t="s">
        <v>1649</v>
      </c>
      <c r="AN350" s="321" t="s">
        <v>1648</v>
      </c>
      <c r="AO350" s="321" t="s">
        <v>1648</v>
      </c>
      <c r="AP350" s="321" t="s">
        <v>1648</v>
      </c>
      <c r="AQ350" s="321" t="s">
        <v>1648</v>
      </c>
      <c r="AR350" s="321" t="s">
        <v>1649</v>
      </c>
      <c r="AS350" s="321" t="s">
        <v>1649</v>
      </c>
      <c r="AT350" s="321" t="s">
        <v>1649</v>
      </c>
      <c r="AU350" s="301"/>
    </row>
    <row r="351" spans="1:47" ht="13.5" thickBot="1" x14ac:dyDescent="0.25">
      <c r="A351" s="48" t="s">
        <v>142</v>
      </c>
      <c r="B351" s="291" t="s">
        <v>141</v>
      </c>
      <c r="C351" s="298" t="s">
        <v>54</v>
      </c>
      <c r="D351" s="302">
        <v>40</v>
      </c>
      <c r="E351" s="303">
        <v>80681</v>
      </c>
      <c r="F351" s="303">
        <v>112953</v>
      </c>
      <c r="G351" s="302">
        <v>40</v>
      </c>
      <c r="H351" s="303">
        <v>66661</v>
      </c>
      <c r="I351" s="303">
        <v>83303.98</v>
      </c>
      <c r="J351" s="302">
        <v>40</v>
      </c>
      <c r="K351" s="303">
        <v>62047.56</v>
      </c>
      <c r="L351" s="303">
        <v>77587.039999999994</v>
      </c>
      <c r="M351" s="302">
        <v>40</v>
      </c>
      <c r="N351" s="303">
        <v>53946.720000000001</v>
      </c>
      <c r="O351" s="303">
        <v>67433.399999999994</v>
      </c>
      <c r="P351" s="302">
        <v>40</v>
      </c>
      <c r="Q351" s="303">
        <v>80681</v>
      </c>
      <c r="R351" s="303">
        <v>112953</v>
      </c>
      <c r="S351" s="302">
        <v>40</v>
      </c>
      <c r="T351" s="303">
        <v>27125.58</v>
      </c>
      <c r="U351" s="303">
        <v>37608.47</v>
      </c>
      <c r="V351" s="321" t="s">
        <v>1648</v>
      </c>
      <c r="W351" s="321" t="s">
        <v>1648</v>
      </c>
      <c r="X351" s="321" t="s">
        <v>1648</v>
      </c>
      <c r="Y351" s="321" t="s">
        <v>1648</v>
      </c>
      <c r="Z351" s="321" t="s">
        <v>1648</v>
      </c>
      <c r="AA351" s="321" t="s">
        <v>1648</v>
      </c>
      <c r="AB351" s="321" t="s">
        <v>1648</v>
      </c>
      <c r="AC351" s="321" t="s">
        <v>1648</v>
      </c>
      <c r="AD351" s="321" t="s">
        <v>1648</v>
      </c>
      <c r="AE351" s="321" t="s">
        <v>1648</v>
      </c>
      <c r="AF351" s="321" t="s">
        <v>1648</v>
      </c>
      <c r="AG351" s="321" t="s">
        <v>1649</v>
      </c>
      <c r="AH351" s="165" t="s">
        <v>3681</v>
      </c>
      <c r="AI351" s="321" t="s">
        <v>1649</v>
      </c>
      <c r="AJ351" s="321" t="s">
        <v>1649</v>
      </c>
      <c r="AK351" s="321" t="s">
        <v>1648</v>
      </c>
      <c r="AL351" s="321" t="s">
        <v>1648</v>
      </c>
      <c r="AM351" s="321" t="s">
        <v>1649</v>
      </c>
      <c r="AN351" s="321" t="s">
        <v>1648</v>
      </c>
      <c r="AO351" s="321" t="s">
        <v>1648</v>
      </c>
      <c r="AP351" s="321" t="s">
        <v>1648</v>
      </c>
      <c r="AQ351" s="321" t="s">
        <v>1648</v>
      </c>
      <c r="AR351" s="321" t="s">
        <v>1648</v>
      </c>
      <c r="AS351" s="321" t="s">
        <v>1648</v>
      </c>
      <c r="AT351" s="321" t="s">
        <v>1649</v>
      </c>
      <c r="AU351" s="307" t="s">
        <v>3682</v>
      </c>
    </row>
    <row r="352" spans="1:47" ht="13.5" thickBot="1" x14ac:dyDescent="0.25">
      <c r="A352" s="48" t="s">
        <v>172</v>
      </c>
      <c r="B352" s="291" t="s">
        <v>171</v>
      </c>
      <c r="C352" s="298" t="s">
        <v>54</v>
      </c>
      <c r="D352" s="299" t="s">
        <v>1613</v>
      </c>
      <c r="E352" s="299" t="s">
        <v>1613</v>
      </c>
      <c r="F352" s="299" t="s">
        <v>1613</v>
      </c>
      <c r="G352" s="299" t="s">
        <v>1613</v>
      </c>
      <c r="H352" s="299" t="s">
        <v>1613</v>
      </c>
      <c r="I352" s="299" t="s">
        <v>1613</v>
      </c>
      <c r="J352" s="302">
        <v>40</v>
      </c>
      <c r="K352" s="303">
        <v>56326</v>
      </c>
      <c r="L352" s="303">
        <v>62608</v>
      </c>
      <c r="M352" s="302">
        <v>40</v>
      </c>
      <c r="N352" s="303">
        <v>49046</v>
      </c>
      <c r="O352" s="303">
        <v>51293</v>
      </c>
      <c r="P352" s="302">
        <v>40</v>
      </c>
      <c r="Q352" s="303">
        <v>48048</v>
      </c>
      <c r="R352" s="303">
        <v>61589</v>
      </c>
      <c r="S352" s="302">
        <v>40</v>
      </c>
      <c r="T352" s="303">
        <v>31034</v>
      </c>
      <c r="U352" s="303">
        <v>45739</v>
      </c>
      <c r="V352" s="321" t="s">
        <v>1648</v>
      </c>
      <c r="W352" s="321" t="s">
        <v>1648</v>
      </c>
      <c r="X352" s="321" t="s">
        <v>1648</v>
      </c>
      <c r="Y352" s="321" t="s">
        <v>1648</v>
      </c>
      <c r="Z352" s="321" t="s">
        <v>1648</v>
      </c>
      <c r="AA352" s="321" t="s">
        <v>1648</v>
      </c>
      <c r="AB352" s="321" t="s">
        <v>1648</v>
      </c>
      <c r="AC352" s="321" t="s">
        <v>1648</v>
      </c>
      <c r="AD352" s="321" t="s">
        <v>1648</v>
      </c>
      <c r="AE352" s="321" t="s">
        <v>1649</v>
      </c>
      <c r="AF352" s="321" t="s">
        <v>1648</v>
      </c>
      <c r="AG352" s="321" t="s">
        <v>1649</v>
      </c>
      <c r="AH352" s="165" t="s">
        <v>3548</v>
      </c>
      <c r="AI352" s="321" t="s">
        <v>1649</v>
      </c>
      <c r="AJ352" s="321" t="s">
        <v>1649</v>
      </c>
      <c r="AK352" s="321" t="s">
        <v>1648</v>
      </c>
      <c r="AL352" s="321" t="s">
        <v>1649</v>
      </c>
      <c r="AM352" s="321" t="s">
        <v>1648</v>
      </c>
      <c r="AN352" s="321" t="s">
        <v>1648</v>
      </c>
      <c r="AO352" s="321" t="s">
        <v>1648</v>
      </c>
      <c r="AP352" s="321" t="s">
        <v>1648</v>
      </c>
      <c r="AQ352" s="321" t="s">
        <v>1649</v>
      </c>
      <c r="AR352" s="321" t="s">
        <v>1649</v>
      </c>
      <c r="AS352" s="321" t="s">
        <v>1648</v>
      </c>
      <c r="AT352" s="321" t="s">
        <v>1649</v>
      </c>
      <c r="AU352" s="307" t="s">
        <v>3548</v>
      </c>
    </row>
    <row r="353" spans="1:47" ht="13.5" thickBot="1" x14ac:dyDescent="0.25">
      <c r="A353" s="48" t="s">
        <v>178</v>
      </c>
      <c r="B353" s="291" t="s">
        <v>177</v>
      </c>
      <c r="C353" s="298" t="s">
        <v>54</v>
      </c>
      <c r="D353" s="299" t="s">
        <v>1613</v>
      </c>
      <c r="E353" s="299" t="s">
        <v>1613</v>
      </c>
      <c r="F353" s="299" t="s">
        <v>1613</v>
      </c>
      <c r="G353" s="302">
        <v>38</v>
      </c>
      <c r="H353" s="303">
        <v>61000</v>
      </c>
      <c r="I353" s="303">
        <v>80037</v>
      </c>
      <c r="J353" s="302">
        <v>38</v>
      </c>
      <c r="K353" s="303">
        <v>50473</v>
      </c>
      <c r="L353" s="303">
        <v>66225</v>
      </c>
      <c r="M353" s="302">
        <v>38</v>
      </c>
      <c r="N353" s="303">
        <v>45005</v>
      </c>
      <c r="O353" s="303">
        <v>59051</v>
      </c>
      <c r="P353" s="302">
        <v>38</v>
      </c>
      <c r="Q353" s="303">
        <v>83731</v>
      </c>
      <c r="R353" s="303">
        <v>109863</v>
      </c>
      <c r="S353" s="302">
        <v>38</v>
      </c>
      <c r="T353" s="303">
        <v>28260</v>
      </c>
      <c r="U353" s="303">
        <v>37079</v>
      </c>
      <c r="V353" s="321" t="s">
        <v>1648</v>
      </c>
      <c r="W353" s="321" t="s">
        <v>1648</v>
      </c>
      <c r="X353" s="321" t="s">
        <v>1648</v>
      </c>
      <c r="Y353" s="321" t="s">
        <v>1648</v>
      </c>
      <c r="Z353" s="321" t="s">
        <v>1648</v>
      </c>
      <c r="AA353" s="321" t="s">
        <v>1648</v>
      </c>
      <c r="AB353" s="321" t="s">
        <v>1648</v>
      </c>
      <c r="AC353" s="321" t="s">
        <v>1648</v>
      </c>
      <c r="AD353" s="321" t="s">
        <v>1648</v>
      </c>
      <c r="AE353" s="321" t="s">
        <v>1648</v>
      </c>
      <c r="AF353" s="321" t="s">
        <v>1649</v>
      </c>
      <c r="AG353" s="321" t="s">
        <v>1649</v>
      </c>
      <c r="AH353" s="300" t="s">
        <v>1613</v>
      </c>
      <c r="AI353" s="321" t="s">
        <v>1649</v>
      </c>
      <c r="AJ353" s="321" t="s">
        <v>1649</v>
      </c>
      <c r="AK353" s="321" t="s">
        <v>1648</v>
      </c>
      <c r="AL353" s="321" t="s">
        <v>1648</v>
      </c>
      <c r="AM353" s="321" t="s">
        <v>1649</v>
      </c>
      <c r="AN353" s="321" t="s">
        <v>1648</v>
      </c>
      <c r="AO353" s="321" t="s">
        <v>1648</v>
      </c>
      <c r="AP353" s="321" t="s">
        <v>1648</v>
      </c>
      <c r="AQ353" s="321" t="s">
        <v>1648</v>
      </c>
      <c r="AR353" s="321" t="s">
        <v>1648</v>
      </c>
      <c r="AS353" s="321" t="s">
        <v>1649</v>
      </c>
      <c r="AT353" s="321" t="s">
        <v>1649</v>
      </c>
      <c r="AU353" s="301" t="s">
        <v>1613</v>
      </c>
    </row>
    <row r="354" spans="1:47" ht="13.5" thickBot="1" x14ac:dyDescent="0.25">
      <c r="A354" s="48" t="s">
        <v>212</v>
      </c>
      <c r="B354" s="291" t="s">
        <v>211</v>
      </c>
      <c r="C354" s="298" t="s">
        <v>54</v>
      </c>
      <c r="D354" s="299" t="s">
        <v>1613</v>
      </c>
      <c r="E354" s="299" t="s">
        <v>1613</v>
      </c>
      <c r="F354" s="299" t="s">
        <v>1613</v>
      </c>
      <c r="G354" s="302">
        <v>40</v>
      </c>
      <c r="H354" s="303">
        <v>47000</v>
      </c>
      <c r="I354" s="303">
        <v>50000</v>
      </c>
      <c r="J354" s="299" t="s">
        <v>1613</v>
      </c>
      <c r="K354" s="299" t="s">
        <v>1613</v>
      </c>
      <c r="L354" s="299" t="s">
        <v>1613</v>
      </c>
      <c r="M354" s="302">
        <v>40</v>
      </c>
      <c r="N354" s="303">
        <v>39000</v>
      </c>
      <c r="O354" s="303">
        <v>41000</v>
      </c>
      <c r="P354" s="299" t="s">
        <v>1613</v>
      </c>
      <c r="Q354" s="299" t="s">
        <v>1613</v>
      </c>
      <c r="R354" s="299" t="s">
        <v>1613</v>
      </c>
      <c r="S354" s="302">
        <v>20</v>
      </c>
      <c r="T354" s="303">
        <v>11500</v>
      </c>
      <c r="U354" s="303">
        <v>16600</v>
      </c>
      <c r="V354" s="321" t="s">
        <v>1648</v>
      </c>
      <c r="W354" s="321" t="s">
        <v>1648</v>
      </c>
      <c r="X354" s="321" t="s">
        <v>1648</v>
      </c>
      <c r="Y354" s="321" t="s">
        <v>1648</v>
      </c>
      <c r="Z354" s="321" t="s">
        <v>1648</v>
      </c>
      <c r="AA354" s="321" t="s">
        <v>1648</v>
      </c>
      <c r="AB354" s="321" t="s">
        <v>1648</v>
      </c>
      <c r="AC354" s="321" t="s">
        <v>1648</v>
      </c>
      <c r="AD354" s="321" t="s">
        <v>1648</v>
      </c>
      <c r="AE354" s="321" t="s">
        <v>1648</v>
      </c>
      <c r="AF354" s="321" t="s">
        <v>1648</v>
      </c>
      <c r="AG354" s="321" t="s">
        <v>1648</v>
      </c>
      <c r="AH354" s="300" t="s">
        <v>1613</v>
      </c>
      <c r="AI354" s="321" t="s">
        <v>1649</v>
      </c>
      <c r="AJ354" s="321" t="s">
        <v>1649</v>
      </c>
      <c r="AK354" s="321" t="s">
        <v>1649</v>
      </c>
      <c r="AL354" s="321" t="s">
        <v>1649</v>
      </c>
      <c r="AM354" s="321" t="s">
        <v>1649</v>
      </c>
      <c r="AN354" s="321" t="s">
        <v>1648</v>
      </c>
      <c r="AO354" s="321" t="s">
        <v>1649</v>
      </c>
      <c r="AP354" s="321" t="s">
        <v>1649</v>
      </c>
      <c r="AQ354" s="321" t="s">
        <v>1649</v>
      </c>
      <c r="AR354" s="321" t="s">
        <v>1649</v>
      </c>
      <c r="AS354" s="321" t="s">
        <v>1649</v>
      </c>
      <c r="AT354" s="321" t="s">
        <v>1649</v>
      </c>
      <c r="AU354" s="301" t="s">
        <v>1613</v>
      </c>
    </row>
    <row r="355" spans="1:47" ht="13.5" thickBot="1" x14ac:dyDescent="0.25">
      <c r="A355" s="48" t="s">
        <v>214</v>
      </c>
      <c r="B355" s="291" t="s">
        <v>213</v>
      </c>
      <c r="C355" s="298" t="s">
        <v>54</v>
      </c>
      <c r="D355" s="302">
        <v>40</v>
      </c>
      <c r="E355" s="303">
        <v>76626</v>
      </c>
      <c r="F355" s="303">
        <v>97067</v>
      </c>
      <c r="G355" s="302">
        <v>40</v>
      </c>
      <c r="H355" s="303">
        <v>65973</v>
      </c>
      <c r="I355" s="303">
        <v>83572</v>
      </c>
      <c r="J355" s="302">
        <v>38</v>
      </c>
      <c r="K355" s="303">
        <v>62656</v>
      </c>
      <c r="L355" s="303">
        <v>79372</v>
      </c>
      <c r="M355" s="302">
        <v>38</v>
      </c>
      <c r="N355" s="303">
        <v>52176</v>
      </c>
      <c r="O355" s="303">
        <v>66095</v>
      </c>
      <c r="P355" s="302">
        <v>38</v>
      </c>
      <c r="Q355" s="303">
        <v>48009</v>
      </c>
      <c r="R355" s="303">
        <v>60816</v>
      </c>
      <c r="S355" s="302">
        <v>38</v>
      </c>
      <c r="T355" s="303">
        <v>43613</v>
      </c>
      <c r="U355" s="303">
        <v>55248</v>
      </c>
      <c r="V355" s="321" t="s">
        <v>1648</v>
      </c>
      <c r="W355" s="321" t="s">
        <v>1648</v>
      </c>
      <c r="X355" s="321" t="s">
        <v>1648</v>
      </c>
      <c r="Y355" s="321" t="s">
        <v>1648</v>
      </c>
      <c r="Z355" s="321" t="s">
        <v>1648</v>
      </c>
      <c r="AA355" s="321" t="s">
        <v>1648</v>
      </c>
      <c r="AB355" s="321" t="s">
        <v>1648</v>
      </c>
      <c r="AC355" s="321" t="s">
        <v>1648</v>
      </c>
      <c r="AD355" s="321" t="s">
        <v>1648</v>
      </c>
      <c r="AE355" s="321" t="s">
        <v>1649</v>
      </c>
      <c r="AF355" s="321" t="s">
        <v>1648</v>
      </c>
      <c r="AG355" s="321" t="s">
        <v>1648</v>
      </c>
      <c r="AH355" s="165" t="s">
        <v>3683</v>
      </c>
      <c r="AI355" s="321" t="s">
        <v>1648</v>
      </c>
      <c r="AJ355" s="321" t="s">
        <v>1649</v>
      </c>
      <c r="AK355" s="321" t="s">
        <v>1649</v>
      </c>
      <c r="AL355" s="321" t="s">
        <v>1649</v>
      </c>
      <c r="AM355" s="321" t="s">
        <v>1649</v>
      </c>
      <c r="AN355" s="321" t="s">
        <v>1649</v>
      </c>
      <c r="AO355" s="321" t="s">
        <v>1649</v>
      </c>
      <c r="AP355" s="321" t="s">
        <v>1649</v>
      </c>
      <c r="AQ355" s="321" t="s">
        <v>1648</v>
      </c>
      <c r="AR355" s="321" t="s">
        <v>1649</v>
      </c>
      <c r="AS355" s="321" t="s">
        <v>1648</v>
      </c>
      <c r="AT355" s="321" t="s">
        <v>1649</v>
      </c>
      <c r="AU355" s="307" t="s">
        <v>3684</v>
      </c>
    </row>
    <row r="356" spans="1:47" ht="13.5" thickBot="1" x14ac:dyDescent="0.25">
      <c r="A356" s="48" t="s">
        <v>222</v>
      </c>
      <c r="B356" s="291" t="s">
        <v>221</v>
      </c>
      <c r="C356" s="298" t="s">
        <v>54</v>
      </c>
      <c r="D356" s="304"/>
      <c r="E356" s="305"/>
      <c r="F356" s="305"/>
      <c r="G356" s="302">
        <v>40</v>
      </c>
      <c r="H356" s="303">
        <v>60975</v>
      </c>
      <c r="I356" s="303">
        <v>68297</v>
      </c>
      <c r="J356" s="302">
        <v>40</v>
      </c>
      <c r="K356" s="303">
        <v>55184</v>
      </c>
      <c r="L356" s="303">
        <v>60647</v>
      </c>
      <c r="M356" s="302">
        <v>40</v>
      </c>
      <c r="N356" s="303">
        <v>40214</v>
      </c>
      <c r="O356" s="303">
        <v>48299</v>
      </c>
      <c r="P356" s="302">
        <v>40</v>
      </c>
      <c r="Q356" s="303">
        <v>65650</v>
      </c>
      <c r="R356" s="303">
        <v>85823</v>
      </c>
      <c r="S356" s="302">
        <v>40</v>
      </c>
      <c r="T356" s="303">
        <v>25697</v>
      </c>
      <c r="U356" s="303">
        <v>35492</v>
      </c>
      <c r="V356" s="321" t="s">
        <v>1648</v>
      </c>
      <c r="W356" s="321" t="s">
        <v>1648</v>
      </c>
      <c r="X356" s="321" t="s">
        <v>1648</v>
      </c>
      <c r="Y356" s="321" t="s">
        <v>1648</v>
      </c>
      <c r="Z356" s="321" t="s">
        <v>1648</v>
      </c>
      <c r="AA356" s="321" t="s">
        <v>1648</v>
      </c>
      <c r="AB356" s="321" t="s">
        <v>1648</v>
      </c>
      <c r="AC356" s="321" t="s">
        <v>1648</v>
      </c>
      <c r="AD356" s="321" t="s">
        <v>1648</v>
      </c>
      <c r="AE356" s="321" t="s">
        <v>1649</v>
      </c>
      <c r="AF356" s="321" t="s">
        <v>1648</v>
      </c>
      <c r="AG356" s="321" t="s">
        <v>1648</v>
      </c>
      <c r="AH356" s="165" t="s">
        <v>3553</v>
      </c>
      <c r="AI356" s="321" t="s">
        <v>1649</v>
      </c>
      <c r="AJ356" s="321" t="s">
        <v>1649</v>
      </c>
      <c r="AK356" s="321" t="s">
        <v>1648</v>
      </c>
      <c r="AL356" s="321" t="s">
        <v>1649</v>
      </c>
      <c r="AM356" s="321" t="s">
        <v>1649</v>
      </c>
      <c r="AN356" s="321" t="s">
        <v>1649</v>
      </c>
      <c r="AO356" s="321" t="s">
        <v>1649</v>
      </c>
      <c r="AP356" s="321" t="s">
        <v>1648</v>
      </c>
      <c r="AQ356" s="321" t="s">
        <v>1649</v>
      </c>
      <c r="AR356" s="321" t="s">
        <v>1649</v>
      </c>
      <c r="AS356" s="321" t="s">
        <v>1649</v>
      </c>
      <c r="AT356" s="321" t="s">
        <v>1649</v>
      </c>
      <c r="AU356" s="301" t="s">
        <v>1613</v>
      </c>
    </row>
    <row r="357" spans="1:47" ht="13.5" thickBot="1" x14ac:dyDescent="0.25">
      <c r="A357" s="48" t="s">
        <v>266</v>
      </c>
      <c r="B357" s="291" t="s">
        <v>265</v>
      </c>
      <c r="C357" s="298" t="s">
        <v>54</v>
      </c>
      <c r="D357" s="304"/>
      <c r="E357" s="305"/>
      <c r="F357" s="305"/>
      <c r="G357" s="302">
        <v>40</v>
      </c>
      <c r="H357" s="303">
        <v>51426</v>
      </c>
      <c r="I357" s="303">
        <v>82366</v>
      </c>
      <c r="J357" s="302">
        <v>40</v>
      </c>
      <c r="K357" s="303">
        <v>44966</v>
      </c>
      <c r="L357" s="303">
        <v>72665</v>
      </c>
      <c r="M357" s="302">
        <v>40</v>
      </c>
      <c r="N357" s="303">
        <v>41809</v>
      </c>
      <c r="O357" s="303">
        <v>62348</v>
      </c>
      <c r="P357" s="304"/>
      <c r="Q357" s="303">
        <v>34639</v>
      </c>
      <c r="R357" s="303">
        <v>57282</v>
      </c>
      <c r="S357" s="302">
        <v>40</v>
      </c>
      <c r="T357" s="303">
        <v>27052</v>
      </c>
      <c r="U357" s="303">
        <v>44383</v>
      </c>
      <c r="V357" s="321" t="s">
        <v>1648</v>
      </c>
      <c r="W357" s="321" t="s">
        <v>1648</v>
      </c>
      <c r="X357" s="321" t="s">
        <v>1648</v>
      </c>
      <c r="Y357" s="321" t="s">
        <v>1648</v>
      </c>
      <c r="Z357" s="321" t="s">
        <v>1648</v>
      </c>
      <c r="AA357" s="321" t="s">
        <v>1648</v>
      </c>
      <c r="AB357" s="321" t="s">
        <v>1648</v>
      </c>
      <c r="AC357" s="321" t="s">
        <v>1648</v>
      </c>
      <c r="AD357" s="321" t="s">
        <v>1649</v>
      </c>
      <c r="AE357" s="321" t="s">
        <v>1648</v>
      </c>
      <c r="AF357" s="321" t="s">
        <v>1648</v>
      </c>
      <c r="AG357" s="321" t="s">
        <v>1649</v>
      </c>
      <c r="AH357" s="165" t="s">
        <v>3539</v>
      </c>
      <c r="AI357" s="321" t="s">
        <v>1649</v>
      </c>
      <c r="AJ357" s="321" t="s">
        <v>1649</v>
      </c>
      <c r="AK357" s="321" t="s">
        <v>1648</v>
      </c>
      <c r="AL357" s="321" t="s">
        <v>1648</v>
      </c>
      <c r="AM357" s="321" t="s">
        <v>1649</v>
      </c>
      <c r="AN357" s="321" t="s">
        <v>1648</v>
      </c>
      <c r="AO357" s="321" t="s">
        <v>1648</v>
      </c>
      <c r="AP357" s="321" t="s">
        <v>1648</v>
      </c>
      <c r="AQ357" s="321" t="s">
        <v>1649</v>
      </c>
      <c r="AR357" s="321" t="s">
        <v>1648</v>
      </c>
      <c r="AS357" s="321" t="s">
        <v>1648</v>
      </c>
      <c r="AT357" s="321" t="s">
        <v>1649</v>
      </c>
      <c r="AU357" s="307" t="s">
        <v>3539</v>
      </c>
    </row>
    <row r="358" spans="1:47" ht="13.5" thickBot="1" x14ac:dyDescent="0.25">
      <c r="A358" s="48" t="s">
        <v>278</v>
      </c>
      <c r="B358" s="291" t="s">
        <v>277</v>
      </c>
      <c r="C358" s="298" t="s">
        <v>54</v>
      </c>
      <c r="D358" s="304"/>
      <c r="E358" s="305"/>
      <c r="F358" s="305"/>
      <c r="G358" s="302">
        <v>50</v>
      </c>
      <c r="H358" s="303">
        <v>59312</v>
      </c>
      <c r="I358" s="303">
        <v>80050</v>
      </c>
      <c r="J358" s="302">
        <v>40</v>
      </c>
      <c r="K358" s="303">
        <v>48681</v>
      </c>
      <c r="L358" s="303">
        <v>60197</v>
      </c>
      <c r="M358" s="302">
        <v>40</v>
      </c>
      <c r="N358" s="303">
        <v>41681</v>
      </c>
      <c r="O358" s="303">
        <v>53197</v>
      </c>
      <c r="P358" s="302">
        <v>40</v>
      </c>
      <c r="Q358" s="303">
        <v>32618</v>
      </c>
      <c r="R358" s="303">
        <v>42033</v>
      </c>
      <c r="S358" s="302">
        <v>40</v>
      </c>
      <c r="T358" s="303">
        <v>24461</v>
      </c>
      <c r="U358" s="303">
        <v>31429</v>
      </c>
      <c r="V358" s="321" t="s">
        <v>1648</v>
      </c>
      <c r="W358" s="321" t="s">
        <v>1648</v>
      </c>
      <c r="X358" s="321" t="s">
        <v>1648</v>
      </c>
      <c r="Y358" s="321" t="s">
        <v>1648</v>
      </c>
      <c r="Z358" s="321" t="s">
        <v>1648</v>
      </c>
      <c r="AA358" s="321" t="s">
        <v>1648</v>
      </c>
      <c r="AB358" s="321" t="s">
        <v>1648</v>
      </c>
      <c r="AC358" s="321" t="s">
        <v>1648</v>
      </c>
      <c r="AD358" s="321" t="s">
        <v>1648</v>
      </c>
      <c r="AE358" s="321" t="s">
        <v>1648</v>
      </c>
      <c r="AF358" s="321" t="s">
        <v>1648</v>
      </c>
      <c r="AG358" s="321" t="s">
        <v>1648</v>
      </c>
      <c r="AH358" s="300" t="s">
        <v>1613</v>
      </c>
      <c r="AI358" s="321" t="s">
        <v>1649</v>
      </c>
      <c r="AJ358" s="321" t="s">
        <v>1649</v>
      </c>
      <c r="AK358" s="321" t="s">
        <v>1649</v>
      </c>
      <c r="AL358" s="321" t="s">
        <v>1649</v>
      </c>
      <c r="AM358" s="321" t="s">
        <v>1649</v>
      </c>
      <c r="AN358" s="321" t="s">
        <v>1649</v>
      </c>
      <c r="AO358" s="321" t="s">
        <v>1649</v>
      </c>
      <c r="AP358" s="321" t="s">
        <v>1648</v>
      </c>
      <c r="AQ358" s="321" t="s">
        <v>1648</v>
      </c>
      <c r="AR358" s="321" t="s">
        <v>1649</v>
      </c>
      <c r="AS358" s="321" t="s">
        <v>1649</v>
      </c>
      <c r="AT358" s="321" t="s">
        <v>1649</v>
      </c>
      <c r="AU358" s="301" t="s">
        <v>1613</v>
      </c>
    </row>
    <row r="359" spans="1:47" ht="13.5" thickBot="1" x14ac:dyDescent="0.25">
      <c r="A359" s="48" t="s">
        <v>304</v>
      </c>
      <c r="B359" s="291" t="s">
        <v>303</v>
      </c>
      <c r="C359" s="298" t="s">
        <v>54</v>
      </c>
      <c r="D359" s="304"/>
      <c r="E359" s="305"/>
      <c r="F359" s="305"/>
      <c r="G359" s="302">
        <v>40</v>
      </c>
      <c r="H359" s="303">
        <v>57990</v>
      </c>
      <c r="I359" s="303">
        <v>70564</v>
      </c>
      <c r="J359" s="302">
        <v>40</v>
      </c>
      <c r="K359" s="303">
        <v>52728</v>
      </c>
      <c r="L359" s="303">
        <v>62670</v>
      </c>
      <c r="M359" s="302">
        <v>40</v>
      </c>
      <c r="N359" s="303">
        <v>46280</v>
      </c>
      <c r="O359" s="303">
        <v>58011</v>
      </c>
      <c r="P359" s="302">
        <v>40</v>
      </c>
      <c r="Q359" s="303">
        <v>39832</v>
      </c>
      <c r="R359" s="303">
        <v>47278</v>
      </c>
      <c r="S359" s="302">
        <v>40</v>
      </c>
      <c r="T359" s="303">
        <v>36608</v>
      </c>
      <c r="U359" s="303">
        <v>47174</v>
      </c>
      <c r="V359" s="321" t="s">
        <v>1648</v>
      </c>
      <c r="W359" s="321" t="s">
        <v>1648</v>
      </c>
      <c r="X359" s="321" t="s">
        <v>1648</v>
      </c>
      <c r="Y359" s="321" t="s">
        <v>1648</v>
      </c>
      <c r="Z359" s="321" t="s">
        <v>1648</v>
      </c>
      <c r="AA359" s="321" t="s">
        <v>1648</v>
      </c>
      <c r="AB359" s="321" t="s">
        <v>1648</v>
      </c>
      <c r="AC359" s="321" t="s">
        <v>1648</v>
      </c>
      <c r="AD359" s="321" t="s">
        <v>1649</v>
      </c>
      <c r="AE359" s="321" t="s">
        <v>1648</v>
      </c>
      <c r="AF359" s="321" t="s">
        <v>1648</v>
      </c>
      <c r="AG359" s="321" t="s">
        <v>1649</v>
      </c>
      <c r="AH359" s="300" t="s">
        <v>1613</v>
      </c>
      <c r="AI359" s="321" t="s">
        <v>1649</v>
      </c>
      <c r="AJ359" s="321" t="s">
        <v>1649</v>
      </c>
      <c r="AK359" s="321" t="s">
        <v>1649</v>
      </c>
      <c r="AL359" s="321" t="s">
        <v>1649</v>
      </c>
      <c r="AM359" s="321" t="s">
        <v>1649</v>
      </c>
      <c r="AN359" s="321" t="s">
        <v>1649</v>
      </c>
      <c r="AO359" s="321" t="s">
        <v>1649</v>
      </c>
      <c r="AP359" s="321" t="s">
        <v>1649</v>
      </c>
      <c r="AQ359" s="321" t="s">
        <v>1649</v>
      </c>
      <c r="AR359" s="321" t="s">
        <v>1649</v>
      </c>
      <c r="AS359" s="321" t="s">
        <v>1649</v>
      </c>
      <c r="AT359" s="321" t="s">
        <v>1649</v>
      </c>
      <c r="AU359" s="301" t="s">
        <v>1613</v>
      </c>
    </row>
    <row r="360" spans="1:47" ht="13.5" thickBot="1" x14ac:dyDescent="0.25">
      <c r="A360" s="48" t="s">
        <v>318</v>
      </c>
      <c r="B360" s="291" t="s">
        <v>317</v>
      </c>
      <c r="C360" s="298" t="s">
        <v>54</v>
      </c>
      <c r="D360" s="299" t="s">
        <v>1613</v>
      </c>
      <c r="E360" s="299" t="s">
        <v>1613</v>
      </c>
      <c r="F360" s="299" t="s">
        <v>1613</v>
      </c>
      <c r="G360" s="302">
        <v>40</v>
      </c>
      <c r="H360" s="303">
        <v>59584</v>
      </c>
      <c r="I360" s="303">
        <v>71042</v>
      </c>
      <c r="J360" s="302">
        <v>40</v>
      </c>
      <c r="K360" s="303">
        <v>51688</v>
      </c>
      <c r="L360" s="303">
        <v>65811</v>
      </c>
      <c r="M360" s="302">
        <v>40</v>
      </c>
      <c r="N360" s="303">
        <v>45635</v>
      </c>
      <c r="O360" s="303">
        <v>58115</v>
      </c>
      <c r="P360" s="299" t="s">
        <v>1613</v>
      </c>
      <c r="Q360" s="299" t="s">
        <v>1613</v>
      </c>
      <c r="R360" s="299" t="s">
        <v>1613</v>
      </c>
      <c r="S360" s="302">
        <v>20</v>
      </c>
      <c r="T360" s="303">
        <v>19264</v>
      </c>
      <c r="U360" s="303">
        <v>24539</v>
      </c>
      <c r="V360" s="321" t="s">
        <v>1648</v>
      </c>
      <c r="W360" s="321" t="s">
        <v>1648</v>
      </c>
      <c r="X360" s="321" t="s">
        <v>1648</v>
      </c>
      <c r="Y360" s="321" t="s">
        <v>1649</v>
      </c>
      <c r="Z360" s="321" t="s">
        <v>1648</v>
      </c>
      <c r="AA360" s="321" t="s">
        <v>1648</v>
      </c>
      <c r="AB360" s="321" t="s">
        <v>1648</v>
      </c>
      <c r="AC360" s="321" t="s">
        <v>1648</v>
      </c>
      <c r="AD360" s="321" t="s">
        <v>1648</v>
      </c>
      <c r="AE360" s="321" t="s">
        <v>1648</v>
      </c>
      <c r="AF360" s="321" t="s">
        <v>1648</v>
      </c>
      <c r="AG360" s="321" t="s">
        <v>1649</v>
      </c>
      <c r="AH360" s="300" t="s">
        <v>1613</v>
      </c>
      <c r="AI360" s="321" t="s">
        <v>1649</v>
      </c>
      <c r="AJ360" s="321" t="s">
        <v>1649</v>
      </c>
      <c r="AK360" s="321" t="s">
        <v>1649</v>
      </c>
      <c r="AL360" s="321" t="s">
        <v>1649</v>
      </c>
      <c r="AM360" s="321" t="s">
        <v>1649</v>
      </c>
      <c r="AN360" s="321" t="s">
        <v>1648</v>
      </c>
      <c r="AO360" s="321" t="s">
        <v>1649</v>
      </c>
      <c r="AP360" s="321" t="s">
        <v>1649</v>
      </c>
      <c r="AQ360" s="321" t="s">
        <v>1649</v>
      </c>
      <c r="AR360" s="321" t="s">
        <v>1649</v>
      </c>
      <c r="AS360" s="321" t="s">
        <v>1648</v>
      </c>
      <c r="AT360" s="321" t="s">
        <v>1649</v>
      </c>
      <c r="AU360" s="307" t="s">
        <v>3685</v>
      </c>
    </row>
    <row r="361" spans="1:47" ht="13.5" thickBot="1" x14ac:dyDescent="0.25">
      <c r="A361" s="48" t="s">
        <v>322</v>
      </c>
      <c r="B361" s="291" t="s">
        <v>321</v>
      </c>
      <c r="C361" s="298" t="s">
        <v>54</v>
      </c>
      <c r="D361" s="302">
        <v>40</v>
      </c>
      <c r="E361" s="303">
        <v>84026</v>
      </c>
      <c r="F361" s="303">
        <v>107456</v>
      </c>
      <c r="G361" s="302">
        <v>40</v>
      </c>
      <c r="H361" s="303">
        <v>59322</v>
      </c>
      <c r="I361" s="303">
        <v>80915</v>
      </c>
      <c r="J361" s="302">
        <v>40</v>
      </c>
      <c r="K361" s="303">
        <v>70809</v>
      </c>
      <c r="L361" s="303">
        <v>89202</v>
      </c>
      <c r="M361" s="302">
        <v>40</v>
      </c>
      <c r="N361" s="303">
        <v>57402</v>
      </c>
      <c r="O361" s="303">
        <v>71988</v>
      </c>
      <c r="P361" s="302">
        <v>40</v>
      </c>
      <c r="Q361" s="303">
        <v>57402</v>
      </c>
      <c r="R361" s="303">
        <v>92296</v>
      </c>
      <c r="S361" s="302">
        <v>20</v>
      </c>
      <c r="T361" s="303">
        <v>15154</v>
      </c>
      <c r="U361" s="303">
        <v>16388</v>
      </c>
      <c r="V361" s="321" t="s">
        <v>1648</v>
      </c>
      <c r="W361" s="321" t="s">
        <v>1648</v>
      </c>
      <c r="X361" s="321" t="s">
        <v>1648</v>
      </c>
      <c r="Y361" s="321" t="s">
        <v>1649</v>
      </c>
      <c r="Z361" s="321" t="s">
        <v>1648</v>
      </c>
      <c r="AA361" s="321" t="s">
        <v>1648</v>
      </c>
      <c r="AB361" s="321" t="s">
        <v>1648</v>
      </c>
      <c r="AC361" s="321" t="s">
        <v>1648</v>
      </c>
      <c r="AD361" s="321" t="s">
        <v>1648</v>
      </c>
      <c r="AE361" s="321" t="s">
        <v>1648</v>
      </c>
      <c r="AF361" s="321" t="s">
        <v>1648</v>
      </c>
      <c r="AG361" s="321" t="s">
        <v>1649</v>
      </c>
      <c r="AH361" s="300" t="s">
        <v>1613</v>
      </c>
      <c r="AI361" s="321" t="s">
        <v>1649</v>
      </c>
      <c r="AJ361" s="321" t="s">
        <v>1649</v>
      </c>
      <c r="AK361" s="321" t="s">
        <v>1649</v>
      </c>
      <c r="AL361" s="321" t="s">
        <v>1649</v>
      </c>
      <c r="AM361" s="321" t="s">
        <v>1649</v>
      </c>
      <c r="AN361" s="321" t="s">
        <v>1648</v>
      </c>
      <c r="AO361" s="321" t="s">
        <v>1648</v>
      </c>
      <c r="AP361" s="321" t="s">
        <v>1648</v>
      </c>
      <c r="AQ361" s="321" t="s">
        <v>1649</v>
      </c>
      <c r="AR361" s="321" t="s">
        <v>1649</v>
      </c>
      <c r="AS361" s="321" t="s">
        <v>1648</v>
      </c>
      <c r="AT361" s="321" t="s">
        <v>1649</v>
      </c>
      <c r="AU361" s="301" t="s">
        <v>1613</v>
      </c>
    </row>
    <row r="362" spans="1:47" ht="13.5" thickBot="1" x14ac:dyDescent="0.25">
      <c r="A362" s="48" t="s">
        <v>326</v>
      </c>
      <c r="B362" s="291" t="s">
        <v>325</v>
      </c>
      <c r="C362" s="298" t="s">
        <v>54</v>
      </c>
      <c r="D362" s="302">
        <v>40</v>
      </c>
      <c r="E362" s="303">
        <v>65000</v>
      </c>
      <c r="F362" s="303">
        <v>85000</v>
      </c>
      <c r="G362" s="302">
        <v>40</v>
      </c>
      <c r="H362" s="303">
        <v>66000</v>
      </c>
      <c r="I362" s="303">
        <v>76086</v>
      </c>
      <c r="J362" s="302">
        <v>40</v>
      </c>
      <c r="K362" s="303">
        <v>51717</v>
      </c>
      <c r="L362" s="303">
        <v>67234</v>
      </c>
      <c r="M362" s="302">
        <v>40</v>
      </c>
      <c r="N362" s="303">
        <v>51717</v>
      </c>
      <c r="O362" s="303">
        <v>51717</v>
      </c>
      <c r="P362" s="302">
        <v>40</v>
      </c>
      <c r="Q362" s="303">
        <v>46125</v>
      </c>
      <c r="R362" s="303">
        <v>65139</v>
      </c>
      <c r="S362" s="302">
        <v>40</v>
      </c>
      <c r="T362" s="303">
        <v>32323</v>
      </c>
      <c r="U362" s="303">
        <v>41645</v>
      </c>
      <c r="V362" s="321" t="s">
        <v>1648</v>
      </c>
      <c r="W362" s="321" t="s">
        <v>1648</v>
      </c>
      <c r="X362" s="321" t="s">
        <v>1648</v>
      </c>
      <c r="Y362" s="321" t="s">
        <v>1649</v>
      </c>
      <c r="Z362" s="321" t="s">
        <v>1648</v>
      </c>
      <c r="AA362" s="321" t="s">
        <v>1648</v>
      </c>
      <c r="AB362" s="321" t="s">
        <v>1648</v>
      </c>
      <c r="AC362" s="321" t="s">
        <v>1648</v>
      </c>
      <c r="AD362" s="321" t="s">
        <v>1649</v>
      </c>
      <c r="AE362" s="321" t="s">
        <v>1648</v>
      </c>
      <c r="AF362" s="321" t="s">
        <v>1648</v>
      </c>
      <c r="AG362" s="321" t="s">
        <v>1649</v>
      </c>
      <c r="AH362" s="165" t="s">
        <v>3686</v>
      </c>
      <c r="AI362" s="321" t="s">
        <v>1648</v>
      </c>
      <c r="AJ362" s="321" t="s">
        <v>1648</v>
      </c>
      <c r="AK362" s="321" t="s">
        <v>1648</v>
      </c>
      <c r="AL362" s="321" t="s">
        <v>1649</v>
      </c>
      <c r="AM362" s="321" t="s">
        <v>1648</v>
      </c>
      <c r="AN362" s="321" t="s">
        <v>1648</v>
      </c>
      <c r="AO362" s="321" t="s">
        <v>1648</v>
      </c>
      <c r="AP362" s="321" t="s">
        <v>1648</v>
      </c>
      <c r="AQ362" s="321" t="s">
        <v>1649</v>
      </c>
      <c r="AR362" s="321" t="s">
        <v>1648</v>
      </c>
      <c r="AS362" s="321" t="s">
        <v>1648</v>
      </c>
      <c r="AT362" s="321" t="s">
        <v>1649</v>
      </c>
      <c r="AU362" s="307" t="s">
        <v>3686</v>
      </c>
    </row>
    <row r="363" spans="1:47" ht="13.5" thickBot="1" x14ac:dyDescent="0.25">
      <c r="A363" s="48" t="s">
        <v>352</v>
      </c>
      <c r="B363" s="291" t="s">
        <v>351</v>
      </c>
      <c r="C363" s="298" t="s">
        <v>54</v>
      </c>
      <c r="D363" s="302">
        <v>40</v>
      </c>
      <c r="E363" s="303">
        <v>67496</v>
      </c>
      <c r="F363" s="303">
        <v>82035</v>
      </c>
      <c r="G363" s="302">
        <v>40</v>
      </c>
      <c r="H363" s="303">
        <v>67496</v>
      </c>
      <c r="I363" s="303">
        <v>82035</v>
      </c>
      <c r="J363" s="302">
        <v>40</v>
      </c>
      <c r="K363" s="303">
        <v>54662</v>
      </c>
      <c r="L363" s="303">
        <v>67496</v>
      </c>
      <c r="M363" s="302">
        <v>40</v>
      </c>
      <c r="N363" s="303">
        <v>50170</v>
      </c>
      <c r="O363" s="303">
        <v>61360</v>
      </c>
      <c r="P363" s="302">
        <v>40</v>
      </c>
      <c r="Q363" s="303">
        <v>38813</v>
      </c>
      <c r="R363" s="303">
        <v>50482</v>
      </c>
      <c r="S363" s="302">
        <v>40</v>
      </c>
      <c r="T363" s="303">
        <v>34694</v>
      </c>
      <c r="U363" s="303">
        <v>44325</v>
      </c>
      <c r="V363" s="321" t="s">
        <v>1648</v>
      </c>
      <c r="W363" s="321" t="s">
        <v>1648</v>
      </c>
      <c r="X363" s="321" t="s">
        <v>1648</v>
      </c>
      <c r="Y363" s="321" t="s">
        <v>1648</v>
      </c>
      <c r="Z363" s="321" t="s">
        <v>1649</v>
      </c>
      <c r="AA363" s="321" t="s">
        <v>1648</v>
      </c>
      <c r="AB363" s="321" t="s">
        <v>1648</v>
      </c>
      <c r="AC363" s="321" t="s">
        <v>1648</v>
      </c>
      <c r="AD363" s="321" t="s">
        <v>1648</v>
      </c>
      <c r="AE363" s="321" t="s">
        <v>1648</v>
      </c>
      <c r="AF363" s="321" t="s">
        <v>1648</v>
      </c>
      <c r="AG363" s="321" t="s">
        <v>1649</v>
      </c>
      <c r="AH363" s="300" t="s">
        <v>1613</v>
      </c>
      <c r="AI363" s="321" t="s">
        <v>1649</v>
      </c>
      <c r="AJ363" s="321" t="s">
        <v>1649</v>
      </c>
      <c r="AK363" s="321" t="s">
        <v>1649</v>
      </c>
      <c r="AL363" s="321" t="s">
        <v>1649</v>
      </c>
      <c r="AM363" s="321" t="s">
        <v>1649</v>
      </c>
      <c r="AN363" s="321" t="s">
        <v>1649</v>
      </c>
      <c r="AO363" s="321" t="s">
        <v>1649</v>
      </c>
      <c r="AP363" s="321" t="s">
        <v>1649</v>
      </c>
      <c r="AQ363" s="321" t="s">
        <v>1648</v>
      </c>
      <c r="AR363" s="321" t="s">
        <v>1649</v>
      </c>
      <c r="AS363" s="321" t="s">
        <v>1649</v>
      </c>
      <c r="AT363" s="321" t="s">
        <v>1649</v>
      </c>
      <c r="AU363" s="301" t="s">
        <v>1613</v>
      </c>
    </row>
    <row r="364" spans="1:47" ht="13.5" thickBot="1" x14ac:dyDescent="0.25">
      <c r="A364" s="48" t="s">
        <v>374</v>
      </c>
      <c r="B364" s="291" t="s">
        <v>373</v>
      </c>
      <c r="C364" s="298" t="s">
        <v>54</v>
      </c>
      <c r="D364" s="299" t="s">
        <v>1613</v>
      </c>
      <c r="E364" s="299" t="s">
        <v>1613</v>
      </c>
      <c r="F364" s="299" t="s">
        <v>1613</v>
      </c>
      <c r="G364" s="302">
        <v>41</v>
      </c>
      <c r="H364" s="303">
        <v>48526</v>
      </c>
      <c r="I364" s="303">
        <v>77646</v>
      </c>
      <c r="J364" s="299" t="s">
        <v>1613</v>
      </c>
      <c r="K364" s="299" t="s">
        <v>1613</v>
      </c>
      <c r="L364" s="299" t="s">
        <v>1613</v>
      </c>
      <c r="M364" s="302">
        <v>40</v>
      </c>
      <c r="N364" s="303">
        <v>37190</v>
      </c>
      <c r="O364" s="303">
        <v>59488</v>
      </c>
      <c r="P364" s="302">
        <v>40</v>
      </c>
      <c r="Q364" s="303">
        <v>42203</v>
      </c>
      <c r="R364" s="303">
        <v>67475</v>
      </c>
      <c r="S364" s="302">
        <v>22</v>
      </c>
      <c r="T364" s="303">
        <v>15879</v>
      </c>
      <c r="U364" s="303">
        <v>52416</v>
      </c>
      <c r="V364" s="321" t="s">
        <v>1648</v>
      </c>
      <c r="W364" s="321" t="s">
        <v>1649</v>
      </c>
      <c r="X364" s="321" t="s">
        <v>1648</v>
      </c>
      <c r="Y364" s="321" t="s">
        <v>1648</v>
      </c>
      <c r="Z364" s="321" t="s">
        <v>1649</v>
      </c>
      <c r="AA364" s="321" t="s">
        <v>1648</v>
      </c>
      <c r="AB364" s="321" t="s">
        <v>1648</v>
      </c>
      <c r="AC364" s="321" t="s">
        <v>1648</v>
      </c>
      <c r="AD364" s="321" t="s">
        <v>1648</v>
      </c>
      <c r="AE364" s="321" t="s">
        <v>1649</v>
      </c>
      <c r="AF364" s="321" t="s">
        <v>1649</v>
      </c>
      <c r="AG364" s="321" t="s">
        <v>1649</v>
      </c>
      <c r="AH364" s="300" t="s">
        <v>1613</v>
      </c>
      <c r="AI364" s="321" t="s">
        <v>1649</v>
      </c>
      <c r="AJ364" s="321" t="s">
        <v>1649</v>
      </c>
      <c r="AK364" s="321" t="s">
        <v>1649</v>
      </c>
      <c r="AL364" s="321" t="s">
        <v>1649</v>
      </c>
      <c r="AM364" s="321" t="s">
        <v>1649</v>
      </c>
      <c r="AN364" s="321" t="s">
        <v>1648</v>
      </c>
      <c r="AO364" s="321" t="s">
        <v>1648</v>
      </c>
      <c r="AP364" s="321" t="s">
        <v>1648</v>
      </c>
      <c r="AQ364" s="321" t="s">
        <v>1648</v>
      </c>
      <c r="AR364" s="321" t="s">
        <v>1649</v>
      </c>
      <c r="AS364" s="321" t="s">
        <v>1649</v>
      </c>
      <c r="AT364" s="321" t="s">
        <v>1649</v>
      </c>
      <c r="AU364" s="301" t="s">
        <v>1613</v>
      </c>
    </row>
    <row r="365" spans="1:47" ht="13.5" thickBot="1" x14ac:dyDescent="0.25">
      <c r="A365" s="48" t="s">
        <v>394</v>
      </c>
      <c r="B365" s="291" t="s">
        <v>393</v>
      </c>
      <c r="C365" s="298" t="s">
        <v>54</v>
      </c>
      <c r="D365" s="302">
        <v>40</v>
      </c>
      <c r="E365" s="303">
        <v>74260</v>
      </c>
      <c r="F365" s="303">
        <v>87300</v>
      </c>
      <c r="G365" s="302">
        <v>40</v>
      </c>
      <c r="H365" s="303">
        <v>39900</v>
      </c>
      <c r="I365" s="303">
        <v>66414</v>
      </c>
      <c r="J365" s="302">
        <v>40</v>
      </c>
      <c r="K365" s="303">
        <v>48859</v>
      </c>
      <c r="L365" s="303">
        <v>57179</v>
      </c>
      <c r="M365" s="302">
        <v>40</v>
      </c>
      <c r="N365" s="303">
        <v>41662</v>
      </c>
      <c r="O365" s="303">
        <v>50544</v>
      </c>
      <c r="P365" s="302">
        <v>40</v>
      </c>
      <c r="Q365" s="303">
        <v>60099</v>
      </c>
      <c r="R365" s="303">
        <v>71026</v>
      </c>
      <c r="S365" s="302">
        <v>26</v>
      </c>
      <c r="T365" s="303">
        <v>26000</v>
      </c>
      <c r="U365" s="303">
        <v>40955</v>
      </c>
      <c r="V365" s="321" t="s">
        <v>1648</v>
      </c>
      <c r="W365" s="321" t="s">
        <v>1648</v>
      </c>
      <c r="X365" s="321" t="s">
        <v>1648</v>
      </c>
      <c r="Y365" s="321" t="s">
        <v>1648</v>
      </c>
      <c r="Z365" s="321" t="s">
        <v>1648</v>
      </c>
      <c r="AA365" s="321" t="s">
        <v>1648</v>
      </c>
      <c r="AB365" s="321" t="s">
        <v>1648</v>
      </c>
      <c r="AC365" s="321" t="s">
        <v>1648</v>
      </c>
      <c r="AD365" s="321" t="s">
        <v>1649</v>
      </c>
      <c r="AE365" s="321" t="s">
        <v>1648</v>
      </c>
      <c r="AF365" s="321" t="s">
        <v>1648</v>
      </c>
      <c r="AG365" s="321" t="s">
        <v>1649</v>
      </c>
      <c r="AH365" s="300" t="s">
        <v>1613</v>
      </c>
      <c r="AI365" s="321" t="s">
        <v>1649</v>
      </c>
      <c r="AJ365" s="321" t="s">
        <v>1649</v>
      </c>
      <c r="AK365" s="321" t="s">
        <v>1649</v>
      </c>
      <c r="AL365" s="321" t="s">
        <v>1649</v>
      </c>
      <c r="AM365" s="321" t="s">
        <v>1649</v>
      </c>
      <c r="AN365" s="321" t="s">
        <v>1648</v>
      </c>
      <c r="AO365" s="321" t="s">
        <v>1648</v>
      </c>
      <c r="AP365" s="321" t="s">
        <v>1648</v>
      </c>
      <c r="AQ365" s="321" t="s">
        <v>1649</v>
      </c>
      <c r="AR365" s="321" t="s">
        <v>1648</v>
      </c>
      <c r="AS365" s="321" t="s">
        <v>1648</v>
      </c>
      <c r="AT365" s="321" t="s">
        <v>1649</v>
      </c>
      <c r="AU365" s="301" t="s">
        <v>1613</v>
      </c>
    </row>
    <row r="366" spans="1:47" ht="13.5" thickBot="1" x14ac:dyDescent="0.25">
      <c r="A366" s="48" t="s">
        <v>402</v>
      </c>
      <c r="B366" s="291" t="s">
        <v>401</v>
      </c>
      <c r="C366" s="298" t="s">
        <v>54</v>
      </c>
      <c r="D366" s="302">
        <v>40</v>
      </c>
      <c r="E366" s="303">
        <v>74965</v>
      </c>
      <c r="F366" s="303">
        <v>98965</v>
      </c>
      <c r="G366" s="302">
        <v>40</v>
      </c>
      <c r="H366" s="303">
        <v>74540</v>
      </c>
      <c r="I366" s="303">
        <v>92540</v>
      </c>
      <c r="J366" s="302">
        <v>40</v>
      </c>
      <c r="K366" s="303">
        <v>63463</v>
      </c>
      <c r="L366" s="303">
        <v>78053</v>
      </c>
      <c r="M366" s="302">
        <v>40</v>
      </c>
      <c r="N366" s="303">
        <v>52273</v>
      </c>
      <c r="O366" s="303">
        <v>72345</v>
      </c>
      <c r="P366" s="302">
        <v>40</v>
      </c>
      <c r="Q366" s="303">
        <v>54180</v>
      </c>
      <c r="R366" s="303">
        <v>70180</v>
      </c>
      <c r="S366" s="302">
        <v>40</v>
      </c>
      <c r="T366" s="303">
        <v>35656</v>
      </c>
      <c r="U366" s="303">
        <v>46567</v>
      </c>
      <c r="V366" s="321" t="s">
        <v>1648</v>
      </c>
      <c r="W366" s="321" t="s">
        <v>1648</v>
      </c>
      <c r="X366" s="321" t="s">
        <v>1648</v>
      </c>
      <c r="Y366" s="321" t="s">
        <v>1648</v>
      </c>
      <c r="Z366" s="321" t="s">
        <v>1648</v>
      </c>
      <c r="AA366" s="321" t="s">
        <v>1648</v>
      </c>
      <c r="AB366" s="321" t="s">
        <v>1648</v>
      </c>
      <c r="AC366" s="321" t="s">
        <v>1648</v>
      </c>
      <c r="AD366" s="321" t="s">
        <v>1649</v>
      </c>
      <c r="AE366" s="321" t="s">
        <v>1648</v>
      </c>
      <c r="AF366" s="321" t="s">
        <v>1648</v>
      </c>
      <c r="AG366" s="321" t="s">
        <v>1648</v>
      </c>
      <c r="AH366" s="165" t="s">
        <v>3687</v>
      </c>
      <c r="AI366" s="321" t="s">
        <v>1648</v>
      </c>
      <c r="AJ366" s="321" t="s">
        <v>1648</v>
      </c>
      <c r="AK366" s="321" t="s">
        <v>1648</v>
      </c>
      <c r="AL366" s="321" t="s">
        <v>1648</v>
      </c>
      <c r="AM366" s="321" t="s">
        <v>1648</v>
      </c>
      <c r="AN366" s="321" t="s">
        <v>1648</v>
      </c>
      <c r="AO366" s="321" t="s">
        <v>1648</v>
      </c>
      <c r="AP366" s="321" t="s">
        <v>1648</v>
      </c>
      <c r="AQ366" s="321" t="s">
        <v>1649</v>
      </c>
      <c r="AR366" s="321" t="s">
        <v>1648</v>
      </c>
      <c r="AS366" s="321" t="s">
        <v>1648</v>
      </c>
      <c r="AT366" s="321" t="s">
        <v>1648</v>
      </c>
      <c r="AU366" s="301" t="s">
        <v>1613</v>
      </c>
    </row>
    <row r="367" spans="1:47" ht="13.5" thickBot="1" x14ac:dyDescent="0.25">
      <c r="A367" s="48" t="s">
        <v>406</v>
      </c>
      <c r="B367" s="291" t="s">
        <v>405</v>
      </c>
      <c r="C367" s="298" t="s">
        <v>54</v>
      </c>
      <c r="D367" s="299" t="s">
        <v>1613</v>
      </c>
      <c r="E367" s="299" t="s">
        <v>1613</v>
      </c>
      <c r="F367" s="299" t="s">
        <v>1613</v>
      </c>
      <c r="G367" s="302">
        <v>40</v>
      </c>
      <c r="H367" s="303">
        <v>52240</v>
      </c>
      <c r="I367" s="303">
        <v>88500</v>
      </c>
      <c r="J367" s="302">
        <v>40</v>
      </c>
      <c r="K367" s="303">
        <v>52104</v>
      </c>
      <c r="L367" s="303">
        <v>64917</v>
      </c>
      <c r="M367" s="302">
        <v>34</v>
      </c>
      <c r="N367" s="303">
        <v>46384</v>
      </c>
      <c r="O367" s="303">
        <v>63024</v>
      </c>
      <c r="P367" s="302">
        <v>40</v>
      </c>
      <c r="Q367" s="303">
        <v>49150</v>
      </c>
      <c r="R367" s="303">
        <v>61838</v>
      </c>
      <c r="S367" s="302">
        <v>23</v>
      </c>
      <c r="T367" s="303">
        <v>24440</v>
      </c>
      <c r="U367" s="303">
        <v>38522</v>
      </c>
      <c r="V367" s="321" t="s">
        <v>1648</v>
      </c>
      <c r="W367" s="321" t="s">
        <v>1648</v>
      </c>
      <c r="X367" s="321" t="s">
        <v>1648</v>
      </c>
      <c r="Y367" s="321" t="s">
        <v>1648</v>
      </c>
      <c r="Z367" s="321" t="s">
        <v>1648</v>
      </c>
      <c r="AA367" s="321" t="s">
        <v>1648</v>
      </c>
      <c r="AB367" s="321" t="s">
        <v>1648</v>
      </c>
      <c r="AC367" s="321" t="s">
        <v>1648</v>
      </c>
      <c r="AD367" s="321" t="s">
        <v>1648</v>
      </c>
      <c r="AE367" s="321" t="s">
        <v>1648</v>
      </c>
      <c r="AF367" s="321" t="s">
        <v>1649</v>
      </c>
      <c r="AG367" s="321" t="s">
        <v>1649</v>
      </c>
      <c r="AH367" s="300" t="s">
        <v>1613</v>
      </c>
      <c r="AI367" s="321" t="s">
        <v>1649</v>
      </c>
      <c r="AJ367" s="321" t="s">
        <v>1649</v>
      </c>
      <c r="AK367" s="321" t="s">
        <v>1649</v>
      </c>
      <c r="AL367" s="321" t="s">
        <v>1648</v>
      </c>
      <c r="AM367" s="321" t="s">
        <v>1649</v>
      </c>
      <c r="AN367" s="321" t="s">
        <v>1648</v>
      </c>
      <c r="AO367" s="321" t="s">
        <v>1648</v>
      </c>
      <c r="AP367" s="321" t="s">
        <v>1648</v>
      </c>
      <c r="AQ367" s="321" t="s">
        <v>1648</v>
      </c>
      <c r="AR367" s="321" t="s">
        <v>1649</v>
      </c>
      <c r="AS367" s="321" t="s">
        <v>1649</v>
      </c>
      <c r="AT367" s="321" t="s">
        <v>1649</v>
      </c>
      <c r="AU367" s="301" t="s">
        <v>1613</v>
      </c>
    </row>
    <row r="368" spans="1:47" ht="13.5" thickBot="1" x14ac:dyDescent="0.25">
      <c r="A368" s="48" t="s">
        <v>417</v>
      </c>
      <c r="B368" s="291" t="s">
        <v>416</v>
      </c>
      <c r="C368" s="298" t="s">
        <v>54</v>
      </c>
      <c r="D368" s="302">
        <v>40</v>
      </c>
      <c r="E368" s="303">
        <v>52000</v>
      </c>
      <c r="F368" s="303">
        <v>69000</v>
      </c>
      <c r="G368" s="302">
        <v>40</v>
      </c>
      <c r="H368" s="303">
        <v>45000</v>
      </c>
      <c r="I368" s="303">
        <v>61000</v>
      </c>
      <c r="J368" s="299" t="s">
        <v>1613</v>
      </c>
      <c r="K368" s="299" t="s">
        <v>1613</v>
      </c>
      <c r="L368" s="299" t="s">
        <v>1613</v>
      </c>
      <c r="M368" s="299" t="s">
        <v>1613</v>
      </c>
      <c r="N368" s="299" t="s">
        <v>1613</v>
      </c>
      <c r="O368" s="299" t="s">
        <v>1613</v>
      </c>
      <c r="P368" s="304"/>
      <c r="Q368" s="305"/>
      <c r="R368" s="305"/>
      <c r="S368" s="302">
        <v>40</v>
      </c>
      <c r="T368" s="303">
        <v>27435</v>
      </c>
      <c r="U368" s="303">
        <v>34237</v>
      </c>
      <c r="V368" s="321" t="s">
        <v>1648</v>
      </c>
      <c r="W368" s="321" t="s">
        <v>1648</v>
      </c>
      <c r="X368" s="321" t="s">
        <v>1648</v>
      </c>
      <c r="Y368" s="321" t="s">
        <v>1648</v>
      </c>
      <c r="Z368" s="321" t="s">
        <v>1648</v>
      </c>
      <c r="AA368" s="321" t="s">
        <v>1648</v>
      </c>
      <c r="AB368" s="321" t="s">
        <v>1648</v>
      </c>
      <c r="AC368" s="321" t="s">
        <v>1648</v>
      </c>
      <c r="AD368" s="321" t="s">
        <v>1648</v>
      </c>
      <c r="AE368" s="321" t="s">
        <v>1648</v>
      </c>
      <c r="AF368" s="321" t="s">
        <v>1648</v>
      </c>
      <c r="AG368" s="321" t="s">
        <v>1649</v>
      </c>
      <c r="AH368" s="300" t="s">
        <v>1613</v>
      </c>
      <c r="AI368" s="321" t="s">
        <v>1649</v>
      </c>
      <c r="AJ368" s="321" t="s">
        <v>1649</v>
      </c>
      <c r="AK368" s="321" t="s">
        <v>1648</v>
      </c>
      <c r="AL368" s="321" t="s">
        <v>1648</v>
      </c>
      <c r="AM368" s="321" t="s">
        <v>1649</v>
      </c>
      <c r="AN368" s="321" t="s">
        <v>1648</v>
      </c>
      <c r="AO368" s="321" t="s">
        <v>1648</v>
      </c>
      <c r="AP368" s="321" t="s">
        <v>1648</v>
      </c>
      <c r="AQ368" s="321" t="s">
        <v>1648</v>
      </c>
      <c r="AR368" s="321" t="s">
        <v>1648</v>
      </c>
      <c r="AS368" s="321" t="s">
        <v>1648</v>
      </c>
      <c r="AT368" s="321" t="s">
        <v>1649</v>
      </c>
      <c r="AU368" s="301" t="s">
        <v>1613</v>
      </c>
    </row>
    <row r="369" spans="1:47" ht="13.5" thickBot="1" x14ac:dyDescent="0.25">
      <c r="A369" s="48" t="s">
        <v>443</v>
      </c>
      <c r="B369" s="291" t="s">
        <v>442</v>
      </c>
      <c r="C369" s="298" t="s">
        <v>54</v>
      </c>
      <c r="D369" s="299" t="s">
        <v>1613</v>
      </c>
      <c r="E369" s="299" t="s">
        <v>1613</v>
      </c>
      <c r="F369" s="299" t="s">
        <v>1613</v>
      </c>
      <c r="G369" s="302">
        <v>40</v>
      </c>
      <c r="H369" s="303">
        <v>66622</v>
      </c>
      <c r="I369" s="303">
        <v>77688</v>
      </c>
      <c r="J369" s="302">
        <v>40</v>
      </c>
      <c r="K369" s="303">
        <v>62192</v>
      </c>
      <c r="L369" s="303">
        <v>72758</v>
      </c>
      <c r="M369" s="302">
        <v>40</v>
      </c>
      <c r="N369" s="303">
        <v>49837</v>
      </c>
      <c r="O369" s="303">
        <v>58282</v>
      </c>
      <c r="P369" s="302">
        <v>40</v>
      </c>
      <c r="Q369" s="303">
        <v>66622</v>
      </c>
      <c r="R369" s="303">
        <v>77688</v>
      </c>
      <c r="S369" s="302">
        <v>40</v>
      </c>
      <c r="T369" s="303">
        <v>35027</v>
      </c>
      <c r="U369" s="303">
        <v>38688</v>
      </c>
      <c r="V369" s="321" t="s">
        <v>1648</v>
      </c>
      <c r="W369" s="321" t="s">
        <v>1648</v>
      </c>
      <c r="X369" s="321" t="s">
        <v>1648</v>
      </c>
      <c r="Y369" s="321" t="s">
        <v>1649</v>
      </c>
      <c r="Z369" s="321" t="s">
        <v>1648</v>
      </c>
      <c r="AA369" s="321" t="s">
        <v>1648</v>
      </c>
      <c r="AB369" s="321" t="s">
        <v>1648</v>
      </c>
      <c r="AC369" s="321" t="s">
        <v>1648</v>
      </c>
      <c r="AD369" s="321" t="s">
        <v>1648</v>
      </c>
      <c r="AE369" s="321" t="s">
        <v>1648</v>
      </c>
      <c r="AF369" s="321" t="s">
        <v>1648</v>
      </c>
      <c r="AG369" s="321" t="s">
        <v>1648</v>
      </c>
      <c r="AH369" s="300" t="s">
        <v>1613</v>
      </c>
      <c r="AI369" s="321" t="s">
        <v>1648</v>
      </c>
      <c r="AJ369" s="321" t="s">
        <v>1648</v>
      </c>
      <c r="AK369" s="321" t="s">
        <v>1648</v>
      </c>
      <c r="AL369" s="321" t="s">
        <v>1649</v>
      </c>
      <c r="AM369" s="321" t="s">
        <v>1648</v>
      </c>
      <c r="AN369" s="321" t="s">
        <v>1648</v>
      </c>
      <c r="AO369" s="321" t="s">
        <v>1648</v>
      </c>
      <c r="AP369" s="321" t="s">
        <v>1648</v>
      </c>
      <c r="AQ369" s="321" t="s">
        <v>1648</v>
      </c>
      <c r="AR369" s="321" t="s">
        <v>1648</v>
      </c>
      <c r="AS369" s="321" t="s">
        <v>1648</v>
      </c>
      <c r="AT369" s="321" t="s">
        <v>1649</v>
      </c>
      <c r="AU369" s="301" t="s">
        <v>1613</v>
      </c>
    </row>
    <row r="370" spans="1:47" ht="13.5" thickBot="1" x14ac:dyDescent="0.25">
      <c r="A370" s="48" t="s">
        <v>508</v>
      </c>
      <c r="B370" s="291" t="s">
        <v>507</v>
      </c>
      <c r="C370" s="298" t="s">
        <v>54</v>
      </c>
      <c r="D370" s="304"/>
      <c r="E370" s="305"/>
      <c r="F370" s="305"/>
      <c r="G370" s="302">
        <v>40</v>
      </c>
      <c r="H370" s="303">
        <v>48672</v>
      </c>
      <c r="I370" s="303">
        <v>65562</v>
      </c>
      <c r="J370" s="302">
        <v>40</v>
      </c>
      <c r="K370" s="303">
        <v>44886</v>
      </c>
      <c r="L370" s="303">
        <v>60486</v>
      </c>
      <c r="M370" s="302">
        <v>32</v>
      </c>
      <c r="N370" s="303">
        <v>12673</v>
      </c>
      <c r="O370" s="303">
        <v>56909</v>
      </c>
      <c r="P370" s="302">
        <v>40</v>
      </c>
      <c r="Q370" s="303">
        <v>43534</v>
      </c>
      <c r="R370" s="303">
        <v>63398</v>
      </c>
      <c r="S370" s="302">
        <v>20</v>
      </c>
      <c r="T370" s="303">
        <v>3354</v>
      </c>
      <c r="U370" s="303">
        <v>38938</v>
      </c>
      <c r="V370" s="321" t="s">
        <v>1648</v>
      </c>
      <c r="W370" s="321" t="s">
        <v>1648</v>
      </c>
      <c r="X370" s="321" t="s">
        <v>1648</v>
      </c>
      <c r="Y370" s="321" t="s">
        <v>1648</v>
      </c>
      <c r="Z370" s="321" t="s">
        <v>1648</v>
      </c>
      <c r="AA370" s="321" t="s">
        <v>1648</v>
      </c>
      <c r="AB370" s="321" t="s">
        <v>1648</v>
      </c>
      <c r="AC370" s="321" t="s">
        <v>1648</v>
      </c>
      <c r="AD370" s="321" t="s">
        <v>1648</v>
      </c>
      <c r="AE370" s="321" t="s">
        <v>1648</v>
      </c>
      <c r="AF370" s="321" t="s">
        <v>1648</v>
      </c>
      <c r="AG370" s="321" t="s">
        <v>1648</v>
      </c>
      <c r="AH370" s="300" t="s">
        <v>1613</v>
      </c>
      <c r="AI370" s="321" t="s">
        <v>1649</v>
      </c>
      <c r="AJ370" s="321" t="s">
        <v>1649</v>
      </c>
      <c r="AK370" s="321" t="s">
        <v>1648</v>
      </c>
      <c r="AL370" s="321" t="s">
        <v>1648</v>
      </c>
      <c r="AM370" s="321" t="s">
        <v>1649</v>
      </c>
      <c r="AN370" s="321" t="s">
        <v>1648</v>
      </c>
      <c r="AO370" s="321" t="s">
        <v>1649</v>
      </c>
      <c r="AP370" s="321" t="s">
        <v>1649</v>
      </c>
      <c r="AQ370" s="321" t="s">
        <v>1648</v>
      </c>
      <c r="AR370" s="321" t="s">
        <v>1649</v>
      </c>
      <c r="AS370" s="321" t="s">
        <v>1649</v>
      </c>
      <c r="AT370" s="321" t="s">
        <v>1648</v>
      </c>
      <c r="AU370" s="307" t="s">
        <v>3688</v>
      </c>
    </row>
    <row r="371" spans="1:47" ht="13.5" thickBot="1" x14ac:dyDescent="0.25">
      <c r="A371" s="48" t="s">
        <v>522</v>
      </c>
      <c r="B371" s="291" t="s">
        <v>521</v>
      </c>
      <c r="C371" s="298" t="s">
        <v>54</v>
      </c>
      <c r="D371" s="302">
        <v>40</v>
      </c>
      <c r="E371" s="303">
        <v>64000</v>
      </c>
      <c r="F371" s="303">
        <v>69097</v>
      </c>
      <c r="G371" s="302">
        <v>40</v>
      </c>
      <c r="H371" s="303">
        <v>52000</v>
      </c>
      <c r="I371" s="303">
        <v>61360</v>
      </c>
      <c r="J371" s="302">
        <v>40</v>
      </c>
      <c r="K371" s="303">
        <v>46862</v>
      </c>
      <c r="L371" s="303">
        <v>55681</v>
      </c>
      <c r="M371" s="302">
        <v>40</v>
      </c>
      <c r="N371" s="305"/>
      <c r="O371" s="303">
        <v>48880</v>
      </c>
      <c r="P371" s="302">
        <v>40</v>
      </c>
      <c r="Q371" s="303">
        <v>37169</v>
      </c>
      <c r="R371" s="303">
        <v>44262</v>
      </c>
      <c r="S371" s="302">
        <v>24</v>
      </c>
      <c r="T371" s="303">
        <v>0</v>
      </c>
      <c r="U371" s="303">
        <v>33987</v>
      </c>
      <c r="V371" s="321" t="s">
        <v>1648</v>
      </c>
      <c r="W371" s="321" t="s">
        <v>1648</v>
      </c>
      <c r="X371" s="321" t="s">
        <v>1648</v>
      </c>
      <c r="Y371" s="321" t="s">
        <v>1648</v>
      </c>
      <c r="Z371" s="321" t="s">
        <v>1648</v>
      </c>
      <c r="AA371" s="321" t="s">
        <v>1648</v>
      </c>
      <c r="AB371" s="321" t="s">
        <v>1648</v>
      </c>
      <c r="AC371" s="321" t="s">
        <v>1648</v>
      </c>
      <c r="AD371" s="321" t="s">
        <v>1648</v>
      </c>
      <c r="AE371" s="321" t="s">
        <v>1648</v>
      </c>
      <c r="AF371" s="321" t="s">
        <v>1648</v>
      </c>
      <c r="AG371" s="321" t="s">
        <v>1648</v>
      </c>
      <c r="AH371" s="165" t="s">
        <v>3689</v>
      </c>
      <c r="AI371" s="321" t="s">
        <v>1649</v>
      </c>
      <c r="AJ371" s="321" t="s">
        <v>1649</v>
      </c>
      <c r="AK371" s="321" t="s">
        <v>1649</v>
      </c>
      <c r="AL371" s="321" t="s">
        <v>1649</v>
      </c>
      <c r="AM371" s="321" t="s">
        <v>1649</v>
      </c>
      <c r="AN371" s="321" t="s">
        <v>1649</v>
      </c>
      <c r="AO371" s="321" t="s">
        <v>1649</v>
      </c>
      <c r="AP371" s="321" t="s">
        <v>1649</v>
      </c>
      <c r="AQ371" s="321" t="s">
        <v>1649</v>
      </c>
      <c r="AR371" s="321" t="s">
        <v>1649</v>
      </c>
      <c r="AS371" s="321" t="s">
        <v>1649</v>
      </c>
      <c r="AT371" s="321" t="s">
        <v>1649</v>
      </c>
      <c r="AU371" s="307" t="s">
        <v>3690</v>
      </c>
    </row>
    <row r="372" spans="1:47" ht="13.5" thickBot="1" x14ac:dyDescent="0.25">
      <c r="A372" s="48" t="s">
        <v>542</v>
      </c>
      <c r="B372" s="291" t="s">
        <v>541</v>
      </c>
      <c r="C372" s="298" t="s">
        <v>54</v>
      </c>
      <c r="D372" s="302">
        <v>40</v>
      </c>
      <c r="E372" s="303">
        <v>66146</v>
      </c>
      <c r="F372" s="303">
        <v>92604</v>
      </c>
      <c r="G372" s="302">
        <v>40</v>
      </c>
      <c r="H372" s="303">
        <v>50111</v>
      </c>
      <c r="I372" s="303">
        <v>77170</v>
      </c>
      <c r="J372" s="302">
        <v>40</v>
      </c>
      <c r="K372" s="303">
        <v>50111</v>
      </c>
      <c r="L372" s="303">
        <v>67649</v>
      </c>
      <c r="M372" s="302">
        <v>18</v>
      </c>
      <c r="N372" s="303">
        <v>45555</v>
      </c>
      <c r="O372" s="303">
        <v>59222</v>
      </c>
      <c r="P372" s="302">
        <v>40</v>
      </c>
      <c r="Q372" s="303">
        <v>55122</v>
      </c>
      <c r="R372" s="303">
        <v>77171</v>
      </c>
      <c r="S372" s="302">
        <v>24</v>
      </c>
      <c r="T372" s="303">
        <v>24050</v>
      </c>
      <c r="U372" s="303">
        <v>30063</v>
      </c>
      <c r="V372" s="321" t="s">
        <v>1648</v>
      </c>
      <c r="W372" s="321" t="s">
        <v>1648</v>
      </c>
      <c r="X372" s="321" t="s">
        <v>1648</v>
      </c>
      <c r="Y372" s="321" t="s">
        <v>1648</v>
      </c>
      <c r="Z372" s="321" t="s">
        <v>1648</v>
      </c>
      <c r="AA372" s="321" t="s">
        <v>1648</v>
      </c>
      <c r="AB372" s="321" t="s">
        <v>1648</v>
      </c>
      <c r="AC372" s="321" t="s">
        <v>1648</v>
      </c>
      <c r="AD372" s="321" t="s">
        <v>1648</v>
      </c>
      <c r="AE372" s="321" t="s">
        <v>1649</v>
      </c>
      <c r="AF372" s="321" t="s">
        <v>1648</v>
      </c>
      <c r="AG372" s="321" t="s">
        <v>1649</v>
      </c>
      <c r="AH372" s="165" t="s">
        <v>3691</v>
      </c>
      <c r="AI372" s="321" t="s">
        <v>1649</v>
      </c>
      <c r="AJ372" s="321" t="s">
        <v>1649</v>
      </c>
      <c r="AK372" s="321" t="s">
        <v>1649</v>
      </c>
      <c r="AL372" s="321" t="s">
        <v>1649</v>
      </c>
      <c r="AM372" s="321" t="s">
        <v>1649</v>
      </c>
      <c r="AN372" s="321" t="s">
        <v>1648</v>
      </c>
      <c r="AO372" s="321" t="s">
        <v>1648</v>
      </c>
      <c r="AP372" s="321" t="s">
        <v>1648</v>
      </c>
      <c r="AQ372" s="321" t="s">
        <v>1649</v>
      </c>
      <c r="AR372" s="321" t="s">
        <v>1649</v>
      </c>
      <c r="AS372" s="321" t="s">
        <v>1648</v>
      </c>
      <c r="AT372" s="321" t="s">
        <v>1649</v>
      </c>
      <c r="AU372" s="307" t="s">
        <v>3692</v>
      </c>
    </row>
    <row r="373" spans="1:47" ht="13.5" thickBot="1" x14ac:dyDescent="0.25">
      <c r="A373" s="48" t="s">
        <v>590</v>
      </c>
      <c r="B373" s="291" t="s">
        <v>589</v>
      </c>
      <c r="C373" s="298" t="s">
        <v>54</v>
      </c>
      <c r="D373" s="299" t="s">
        <v>1613</v>
      </c>
      <c r="E373" s="299" t="s">
        <v>1613</v>
      </c>
      <c r="F373" s="299" t="s">
        <v>1613</v>
      </c>
      <c r="G373" s="299" t="s">
        <v>1613</v>
      </c>
      <c r="H373" s="299" t="s">
        <v>1613</v>
      </c>
      <c r="I373" s="299" t="s">
        <v>1613</v>
      </c>
      <c r="J373" s="299" t="s">
        <v>1613</v>
      </c>
      <c r="K373" s="299" t="s">
        <v>1613</v>
      </c>
      <c r="L373" s="299" t="s">
        <v>1613</v>
      </c>
      <c r="M373" s="302">
        <v>40</v>
      </c>
      <c r="N373" s="303">
        <v>37400</v>
      </c>
      <c r="O373" s="303">
        <v>40000</v>
      </c>
      <c r="P373" s="302">
        <v>30</v>
      </c>
      <c r="Q373" s="303">
        <v>27000</v>
      </c>
      <c r="R373" s="303">
        <v>27000</v>
      </c>
      <c r="S373" s="302">
        <v>30</v>
      </c>
      <c r="T373" s="303">
        <v>12000</v>
      </c>
      <c r="U373" s="303">
        <v>25000</v>
      </c>
      <c r="V373" s="321" t="s">
        <v>1648</v>
      </c>
      <c r="W373" s="321" t="s">
        <v>1648</v>
      </c>
      <c r="X373" s="321" t="s">
        <v>1648</v>
      </c>
      <c r="Y373" s="321" t="s">
        <v>1649</v>
      </c>
      <c r="Z373" s="321" t="s">
        <v>1649</v>
      </c>
      <c r="AA373" s="321" t="s">
        <v>1648</v>
      </c>
      <c r="AB373" s="321" t="s">
        <v>1648</v>
      </c>
      <c r="AC373" s="321" t="s">
        <v>1648</v>
      </c>
      <c r="AD373" s="321" t="s">
        <v>1649</v>
      </c>
      <c r="AE373" s="321" t="s">
        <v>1649</v>
      </c>
      <c r="AF373" s="321" t="s">
        <v>1648</v>
      </c>
      <c r="AG373" s="321" t="s">
        <v>1649</v>
      </c>
      <c r="AH373" s="300" t="s">
        <v>1613</v>
      </c>
      <c r="AI373" s="321" t="s">
        <v>1649</v>
      </c>
      <c r="AJ373" s="321" t="s">
        <v>1649</v>
      </c>
      <c r="AK373" s="321" t="s">
        <v>1648</v>
      </c>
      <c r="AL373" s="321" t="s">
        <v>1649</v>
      </c>
      <c r="AM373" s="321" t="s">
        <v>1649</v>
      </c>
      <c r="AN373" s="321" t="s">
        <v>1648</v>
      </c>
      <c r="AO373" s="321" t="s">
        <v>1649</v>
      </c>
      <c r="AP373" s="321" t="s">
        <v>1649</v>
      </c>
      <c r="AQ373" s="321" t="s">
        <v>1649</v>
      </c>
      <c r="AR373" s="321" t="s">
        <v>1649</v>
      </c>
      <c r="AS373" s="321" t="s">
        <v>1648</v>
      </c>
      <c r="AT373" s="321" t="s">
        <v>1649</v>
      </c>
      <c r="AU373" s="301"/>
    </row>
    <row r="374" spans="1:47" ht="13.5" thickBot="1" x14ac:dyDescent="0.25">
      <c r="A374" s="48" t="s">
        <v>594</v>
      </c>
      <c r="B374" s="291" t="s">
        <v>593</v>
      </c>
      <c r="C374" s="298" t="s">
        <v>54</v>
      </c>
      <c r="D374" s="304"/>
      <c r="E374" s="305"/>
      <c r="F374" s="305"/>
      <c r="G374" s="302">
        <v>45</v>
      </c>
      <c r="H374" s="303">
        <v>47000</v>
      </c>
      <c r="I374" s="303">
        <v>78720</v>
      </c>
      <c r="J374" s="302">
        <v>40</v>
      </c>
      <c r="K374" s="303">
        <v>44410</v>
      </c>
      <c r="L374" s="303">
        <v>61474</v>
      </c>
      <c r="M374" s="302">
        <v>40</v>
      </c>
      <c r="N374" s="303">
        <v>44410</v>
      </c>
      <c r="O374" s="303">
        <v>61474</v>
      </c>
      <c r="P374" s="302">
        <v>45</v>
      </c>
      <c r="Q374" s="303">
        <v>47000</v>
      </c>
      <c r="R374" s="303">
        <v>78720</v>
      </c>
      <c r="S374" s="302">
        <v>20</v>
      </c>
      <c r="T374" s="303">
        <v>29640</v>
      </c>
      <c r="U374" s="303">
        <v>38667</v>
      </c>
      <c r="V374" s="321" t="s">
        <v>1648</v>
      </c>
      <c r="W374" s="321" t="s">
        <v>1648</v>
      </c>
      <c r="X374" s="321" t="s">
        <v>1648</v>
      </c>
      <c r="Y374" s="321" t="s">
        <v>1649</v>
      </c>
      <c r="Z374" s="321" t="s">
        <v>1648</v>
      </c>
      <c r="AA374" s="321" t="s">
        <v>1648</v>
      </c>
      <c r="AB374" s="321" t="s">
        <v>1648</v>
      </c>
      <c r="AC374" s="321" t="s">
        <v>1648</v>
      </c>
      <c r="AD374" s="321" t="s">
        <v>1648</v>
      </c>
      <c r="AE374" s="321" t="s">
        <v>1648</v>
      </c>
      <c r="AF374" s="321" t="s">
        <v>1649</v>
      </c>
      <c r="AG374" s="321" t="s">
        <v>1649</v>
      </c>
      <c r="AH374" s="165" t="s">
        <v>3591</v>
      </c>
      <c r="AI374" s="321" t="s">
        <v>1649</v>
      </c>
      <c r="AJ374" s="321" t="s">
        <v>1649</v>
      </c>
      <c r="AK374" s="321" t="s">
        <v>1649</v>
      </c>
      <c r="AL374" s="321" t="s">
        <v>1649</v>
      </c>
      <c r="AM374" s="321" t="s">
        <v>1649</v>
      </c>
      <c r="AN374" s="321" t="s">
        <v>1649</v>
      </c>
      <c r="AO374" s="321" t="s">
        <v>1649</v>
      </c>
      <c r="AP374" s="321" t="s">
        <v>1649</v>
      </c>
      <c r="AQ374" s="321" t="s">
        <v>1649</v>
      </c>
      <c r="AR374" s="321" t="s">
        <v>1649</v>
      </c>
      <c r="AS374" s="321" t="s">
        <v>1648</v>
      </c>
      <c r="AT374" s="321" t="s">
        <v>1649</v>
      </c>
      <c r="AU374" s="307" t="s">
        <v>3693</v>
      </c>
    </row>
    <row r="375" spans="1:47" ht="13.5" thickBot="1" x14ac:dyDescent="0.25">
      <c r="A375" s="48" t="s">
        <v>604</v>
      </c>
      <c r="B375" s="291" t="s">
        <v>603</v>
      </c>
      <c r="C375" s="298" t="s">
        <v>54</v>
      </c>
      <c r="D375" s="304"/>
      <c r="E375" s="305"/>
      <c r="F375" s="305"/>
      <c r="G375" s="304"/>
      <c r="H375" s="303">
        <v>55373</v>
      </c>
      <c r="I375" s="303">
        <v>69775</v>
      </c>
      <c r="J375" s="304"/>
      <c r="K375" s="305"/>
      <c r="L375" s="305"/>
      <c r="M375" s="304"/>
      <c r="N375" s="303">
        <v>44295</v>
      </c>
      <c r="O375" s="303">
        <v>55833</v>
      </c>
      <c r="P375" s="302">
        <v>40</v>
      </c>
      <c r="Q375" s="303">
        <v>42328</v>
      </c>
      <c r="R375" s="303">
        <v>53363</v>
      </c>
      <c r="S375" s="302">
        <v>25</v>
      </c>
      <c r="T375" s="303">
        <v>15119</v>
      </c>
      <c r="U375" s="303">
        <v>25844</v>
      </c>
      <c r="V375" s="321" t="s">
        <v>1648</v>
      </c>
      <c r="W375" s="321" t="s">
        <v>1648</v>
      </c>
      <c r="X375" s="321" t="s">
        <v>1648</v>
      </c>
      <c r="Y375" s="321" t="s">
        <v>1648</v>
      </c>
      <c r="Z375" s="321" t="s">
        <v>1648</v>
      </c>
      <c r="AA375" s="321" t="s">
        <v>1648</v>
      </c>
      <c r="AB375" s="321" t="s">
        <v>1648</v>
      </c>
      <c r="AC375" s="321" t="s">
        <v>1648</v>
      </c>
      <c r="AD375" s="321" t="s">
        <v>1648</v>
      </c>
      <c r="AE375" s="321" t="s">
        <v>1649</v>
      </c>
      <c r="AF375" s="321" t="s">
        <v>1648</v>
      </c>
      <c r="AG375" s="321" t="s">
        <v>1649</v>
      </c>
      <c r="AH375" s="300"/>
      <c r="AI375" s="321" t="s">
        <v>1649</v>
      </c>
      <c r="AJ375" s="321" t="s">
        <v>1649</v>
      </c>
      <c r="AK375" s="321" t="s">
        <v>1648</v>
      </c>
      <c r="AL375" s="321" t="s">
        <v>1649</v>
      </c>
      <c r="AM375" s="321" t="s">
        <v>1649</v>
      </c>
      <c r="AN375" s="321" t="s">
        <v>1648</v>
      </c>
      <c r="AO375" s="321" t="s">
        <v>1648</v>
      </c>
      <c r="AP375" s="321" t="s">
        <v>1648</v>
      </c>
      <c r="AQ375" s="321" t="s">
        <v>1648</v>
      </c>
      <c r="AR375" s="321" t="s">
        <v>1649</v>
      </c>
      <c r="AS375" s="321" t="s">
        <v>1648</v>
      </c>
      <c r="AT375" s="321" t="s">
        <v>1649</v>
      </c>
      <c r="AU375" s="301"/>
    </row>
    <row r="376" spans="1:47" ht="13.5" thickBot="1" x14ac:dyDescent="0.25">
      <c r="A376" s="48" t="s">
        <v>638</v>
      </c>
      <c r="B376" s="291" t="s">
        <v>637</v>
      </c>
      <c r="C376" s="298" t="s">
        <v>54</v>
      </c>
      <c r="D376" s="302">
        <v>38</v>
      </c>
      <c r="E376" s="303">
        <v>64730</v>
      </c>
      <c r="F376" s="303">
        <v>92130</v>
      </c>
      <c r="G376" s="302">
        <v>38</v>
      </c>
      <c r="H376" s="303">
        <v>52164</v>
      </c>
      <c r="I376" s="303">
        <v>74245</v>
      </c>
      <c r="J376" s="302">
        <v>38</v>
      </c>
      <c r="K376" s="303">
        <v>45477</v>
      </c>
      <c r="L376" s="303">
        <v>62239</v>
      </c>
      <c r="M376" s="302">
        <v>38</v>
      </c>
      <c r="N376" s="303">
        <v>42048</v>
      </c>
      <c r="O376" s="303">
        <v>57545</v>
      </c>
      <c r="P376" s="302">
        <v>38</v>
      </c>
      <c r="Q376" s="303">
        <v>34967</v>
      </c>
      <c r="R376" s="303">
        <v>47854</v>
      </c>
      <c r="S376" s="302">
        <v>38</v>
      </c>
      <c r="T376" s="303">
        <v>25549</v>
      </c>
      <c r="U376" s="303">
        <v>37959</v>
      </c>
      <c r="V376" s="321" t="s">
        <v>1648</v>
      </c>
      <c r="W376" s="321" t="s">
        <v>1648</v>
      </c>
      <c r="X376" s="321" t="s">
        <v>1649</v>
      </c>
      <c r="Y376" s="321" t="s">
        <v>1648</v>
      </c>
      <c r="Z376" s="321" t="s">
        <v>1648</v>
      </c>
      <c r="AA376" s="321" t="s">
        <v>1648</v>
      </c>
      <c r="AB376" s="321" t="s">
        <v>1648</v>
      </c>
      <c r="AC376" s="321" t="s">
        <v>1648</v>
      </c>
      <c r="AD376" s="321" t="s">
        <v>1648</v>
      </c>
      <c r="AE376" s="321" t="s">
        <v>1648</v>
      </c>
      <c r="AF376" s="321" t="s">
        <v>1649</v>
      </c>
      <c r="AG376" s="321" t="s">
        <v>1649</v>
      </c>
      <c r="AH376" s="300" t="s">
        <v>1613</v>
      </c>
      <c r="AI376" s="321" t="s">
        <v>1649</v>
      </c>
      <c r="AJ376" s="321" t="s">
        <v>1649</v>
      </c>
      <c r="AK376" s="321" t="s">
        <v>1649</v>
      </c>
      <c r="AL376" s="321" t="s">
        <v>1648</v>
      </c>
      <c r="AM376" s="321" t="s">
        <v>1649</v>
      </c>
      <c r="AN376" s="321" t="s">
        <v>1648</v>
      </c>
      <c r="AO376" s="321" t="s">
        <v>1648</v>
      </c>
      <c r="AP376" s="321" t="s">
        <v>1648</v>
      </c>
      <c r="AQ376" s="321" t="s">
        <v>1648</v>
      </c>
      <c r="AR376" s="321" t="s">
        <v>1648</v>
      </c>
      <c r="AS376" s="321" t="s">
        <v>1649</v>
      </c>
      <c r="AT376" s="321" t="s">
        <v>1649</v>
      </c>
      <c r="AU376" s="301" t="s">
        <v>1613</v>
      </c>
    </row>
    <row r="377" spans="1:47" ht="13.5" thickBot="1" x14ac:dyDescent="0.25">
      <c r="A377" s="48" t="s">
        <v>648</v>
      </c>
      <c r="B377" s="291" t="s">
        <v>647</v>
      </c>
      <c r="C377" s="298" t="s">
        <v>54</v>
      </c>
      <c r="D377" s="299" t="s">
        <v>1613</v>
      </c>
      <c r="E377" s="299" t="s">
        <v>1613</v>
      </c>
      <c r="F377" s="299" t="s">
        <v>1613</v>
      </c>
      <c r="G377" s="302">
        <v>40</v>
      </c>
      <c r="H377" s="303">
        <v>58848</v>
      </c>
      <c r="I377" s="303">
        <v>64943</v>
      </c>
      <c r="J377" s="302">
        <v>40</v>
      </c>
      <c r="K377" s="303">
        <v>53479</v>
      </c>
      <c r="L377" s="303">
        <v>58847</v>
      </c>
      <c r="M377" s="302">
        <v>40</v>
      </c>
      <c r="N377" s="303">
        <v>44099</v>
      </c>
      <c r="O377" s="303">
        <v>53499</v>
      </c>
      <c r="P377" s="302">
        <v>40</v>
      </c>
      <c r="Q377" s="303">
        <v>47414</v>
      </c>
      <c r="R377" s="303">
        <v>54350</v>
      </c>
      <c r="S377" s="302">
        <v>40</v>
      </c>
      <c r="T377" s="303">
        <v>39254</v>
      </c>
      <c r="U377" s="303">
        <v>41329</v>
      </c>
      <c r="V377" s="321" t="s">
        <v>1648</v>
      </c>
      <c r="W377" s="321" t="s">
        <v>1648</v>
      </c>
      <c r="X377" s="321" t="s">
        <v>1648</v>
      </c>
      <c r="Y377" s="321" t="s">
        <v>1649</v>
      </c>
      <c r="Z377" s="321" t="s">
        <v>1648</v>
      </c>
      <c r="AA377" s="321" t="s">
        <v>1648</v>
      </c>
      <c r="AB377" s="321" t="s">
        <v>1648</v>
      </c>
      <c r="AC377" s="321" t="s">
        <v>1648</v>
      </c>
      <c r="AD377" s="321" t="s">
        <v>1648</v>
      </c>
      <c r="AE377" s="321" t="s">
        <v>1648</v>
      </c>
      <c r="AF377" s="321" t="s">
        <v>1648</v>
      </c>
      <c r="AG377" s="321" t="s">
        <v>1648</v>
      </c>
      <c r="AH377" s="165" t="s">
        <v>3598</v>
      </c>
      <c r="AI377" s="321" t="s">
        <v>1649</v>
      </c>
      <c r="AJ377" s="321" t="s">
        <v>1649</v>
      </c>
      <c r="AK377" s="321" t="s">
        <v>1649</v>
      </c>
      <c r="AL377" s="321" t="s">
        <v>1649</v>
      </c>
      <c r="AM377" s="321" t="s">
        <v>1649</v>
      </c>
      <c r="AN377" s="321" t="s">
        <v>1649</v>
      </c>
      <c r="AO377" s="321" t="s">
        <v>1649</v>
      </c>
      <c r="AP377" s="321" t="s">
        <v>1649</v>
      </c>
      <c r="AQ377" s="321" t="s">
        <v>1649</v>
      </c>
      <c r="AR377" s="321" t="s">
        <v>1649</v>
      </c>
      <c r="AS377" s="321" t="s">
        <v>1649</v>
      </c>
      <c r="AT377" s="321" t="s">
        <v>1649</v>
      </c>
      <c r="AU377" s="301" t="s">
        <v>1613</v>
      </c>
    </row>
    <row r="378" spans="1:47" ht="13.5" thickBot="1" x14ac:dyDescent="0.25">
      <c r="A378" s="48" t="s">
        <v>654</v>
      </c>
      <c r="B378" s="291" t="s">
        <v>653</v>
      </c>
      <c r="C378" s="298" t="s">
        <v>54</v>
      </c>
      <c r="D378" s="302">
        <v>40</v>
      </c>
      <c r="E378" s="303">
        <v>42598</v>
      </c>
      <c r="F378" s="303">
        <v>44302</v>
      </c>
      <c r="G378" s="302">
        <v>40</v>
      </c>
      <c r="H378" s="303">
        <v>29928</v>
      </c>
      <c r="I378" s="303">
        <v>32371</v>
      </c>
      <c r="J378" s="302">
        <v>40</v>
      </c>
      <c r="K378" s="303">
        <v>49833</v>
      </c>
      <c r="L378" s="303">
        <v>51826</v>
      </c>
      <c r="M378" s="302">
        <v>40</v>
      </c>
      <c r="N378" s="303">
        <v>40959</v>
      </c>
      <c r="O378" s="303">
        <v>44302</v>
      </c>
      <c r="P378" s="304"/>
      <c r="Q378" s="305"/>
      <c r="R378" s="305"/>
      <c r="S378" s="302">
        <v>40</v>
      </c>
      <c r="T378" s="303">
        <v>27672</v>
      </c>
      <c r="U378" s="303">
        <v>29928</v>
      </c>
      <c r="V378" s="321" t="s">
        <v>1648</v>
      </c>
      <c r="W378" s="321" t="s">
        <v>1648</v>
      </c>
      <c r="X378" s="321" t="s">
        <v>1648</v>
      </c>
      <c r="Y378" s="321" t="s">
        <v>1648</v>
      </c>
      <c r="Z378" s="321" t="s">
        <v>1648</v>
      </c>
      <c r="AA378" s="321" t="s">
        <v>1648</v>
      </c>
      <c r="AB378" s="321" t="s">
        <v>1648</v>
      </c>
      <c r="AC378" s="321" t="s">
        <v>1648</v>
      </c>
      <c r="AD378" s="321" t="s">
        <v>1648</v>
      </c>
      <c r="AE378" s="321" t="s">
        <v>1648</v>
      </c>
      <c r="AF378" s="321" t="s">
        <v>1649</v>
      </c>
      <c r="AG378" s="321" t="s">
        <v>1649</v>
      </c>
      <c r="AH378" s="300" t="s">
        <v>1613</v>
      </c>
      <c r="AI378" s="321" t="s">
        <v>1648</v>
      </c>
      <c r="AJ378" s="321" t="s">
        <v>1649</v>
      </c>
      <c r="AK378" s="321" t="s">
        <v>1649</v>
      </c>
      <c r="AL378" s="321" t="s">
        <v>1649</v>
      </c>
      <c r="AM378" s="321" t="s">
        <v>1648</v>
      </c>
      <c r="AN378" s="321" t="s">
        <v>1648</v>
      </c>
      <c r="AO378" s="321" t="s">
        <v>1649</v>
      </c>
      <c r="AP378" s="321" t="s">
        <v>1648</v>
      </c>
      <c r="AQ378" s="321" t="s">
        <v>1648</v>
      </c>
      <c r="AR378" s="321" t="s">
        <v>1649</v>
      </c>
      <c r="AS378" s="321" t="s">
        <v>1649</v>
      </c>
      <c r="AT378" s="321" t="s">
        <v>1649</v>
      </c>
      <c r="AU378" s="301" t="s">
        <v>1613</v>
      </c>
    </row>
    <row r="379" spans="1:47" ht="13.5" thickBot="1" x14ac:dyDescent="0.25">
      <c r="A379" s="48" t="s">
        <v>656</v>
      </c>
      <c r="B379" s="291" t="s">
        <v>655</v>
      </c>
      <c r="C379" s="298" t="s">
        <v>54</v>
      </c>
      <c r="D379" s="302">
        <v>38</v>
      </c>
      <c r="E379" s="303">
        <v>64173</v>
      </c>
      <c r="F379" s="303">
        <v>75499</v>
      </c>
      <c r="G379" s="304"/>
      <c r="H379" s="305"/>
      <c r="I379" s="305"/>
      <c r="J379" s="302">
        <v>38</v>
      </c>
      <c r="K379" s="303">
        <v>54332</v>
      </c>
      <c r="L379" s="303">
        <v>68922</v>
      </c>
      <c r="M379" s="302">
        <v>38</v>
      </c>
      <c r="N379" s="303">
        <v>44493</v>
      </c>
      <c r="O379" s="303">
        <v>51561</v>
      </c>
      <c r="P379" s="302">
        <v>38</v>
      </c>
      <c r="Q379" s="303">
        <v>37237</v>
      </c>
      <c r="R379" s="303">
        <v>46546</v>
      </c>
      <c r="S379" s="302">
        <v>38</v>
      </c>
      <c r="T379" s="303">
        <v>35242</v>
      </c>
      <c r="U379" s="303">
        <v>46546</v>
      </c>
      <c r="V379" s="321" t="s">
        <v>1648</v>
      </c>
      <c r="W379" s="321" t="s">
        <v>1648</v>
      </c>
      <c r="X379" s="321" t="s">
        <v>1648</v>
      </c>
      <c r="Y379" s="321" t="s">
        <v>1648</v>
      </c>
      <c r="Z379" s="321" t="s">
        <v>1648</v>
      </c>
      <c r="AA379" s="321" t="s">
        <v>1648</v>
      </c>
      <c r="AB379" s="321" t="s">
        <v>1648</v>
      </c>
      <c r="AC379" s="321" t="s">
        <v>1648</v>
      </c>
      <c r="AD379" s="321" t="s">
        <v>1648</v>
      </c>
      <c r="AE379" s="321" t="s">
        <v>1648</v>
      </c>
      <c r="AF379" s="321" t="s">
        <v>1648</v>
      </c>
      <c r="AG379" s="321" t="s">
        <v>1648</v>
      </c>
      <c r="AH379" s="300"/>
      <c r="AI379" s="321" t="s">
        <v>1649</v>
      </c>
      <c r="AJ379" s="321" t="s">
        <v>1649</v>
      </c>
      <c r="AK379" s="321" t="s">
        <v>1649</v>
      </c>
      <c r="AL379" s="321" t="s">
        <v>1649</v>
      </c>
      <c r="AM379" s="321" t="s">
        <v>1649</v>
      </c>
      <c r="AN379" s="321" t="s">
        <v>1649</v>
      </c>
      <c r="AO379" s="321" t="s">
        <v>1649</v>
      </c>
      <c r="AP379" s="321" t="s">
        <v>1649</v>
      </c>
      <c r="AQ379" s="321" t="s">
        <v>1649</v>
      </c>
      <c r="AR379" s="321" t="s">
        <v>1649</v>
      </c>
      <c r="AS379" s="321" t="s">
        <v>1649</v>
      </c>
      <c r="AT379" s="321" t="s">
        <v>1649</v>
      </c>
      <c r="AU379" s="301"/>
    </row>
    <row r="380" spans="1:47" ht="13.5" thickBot="1" x14ac:dyDescent="0.25">
      <c r="A380" s="48" t="s">
        <v>684</v>
      </c>
      <c r="B380" s="291" t="s">
        <v>683</v>
      </c>
      <c r="C380" s="298" t="s">
        <v>54</v>
      </c>
      <c r="D380" s="302">
        <v>38</v>
      </c>
      <c r="E380" s="303">
        <v>78988</v>
      </c>
      <c r="F380" s="303">
        <v>90838</v>
      </c>
      <c r="G380" s="304"/>
      <c r="H380" s="305"/>
      <c r="I380" s="305"/>
      <c r="J380" s="304"/>
      <c r="K380" s="303">
        <v>54804</v>
      </c>
      <c r="L380" s="303">
        <v>63020</v>
      </c>
      <c r="M380" s="302">
        <v>380</v>
      </c>
      <c r="N380" s="303">
        <v>54804</v>
      </c>
      <c r="O380" s="303">
        <v>63020</v>
      </c>
      <c r="P380" s="304"/>
      <c r="Q380" s="305"/>
      <c r="R380" s="305"/>
      <c r="S380" s="302">
        <v>38</v>
      </c>
      <c r="T380" s="303">
        <v>36543</v>
      </c>
      <c r="U380" s="303">
        <v>44970</v>
      </c>
      <c r="V380" s="321" t="s">
        <v>1648</v>
      </c>
      <c r="W380" s="321" t="s">
        <v>1648</v>
      </c>
      <c r="X380" s="321" t="s">
        <v>1648</v>
      </c>
      <c r="Y380" s="321" t="s">
        <v>1648</v>
      </c>
      <c r="Z380" s="321" t="s">
        <v>1648</v>
      </c>
      <c r="AA380" s="321" t="s">
        <v>1648</v>
      </c>
      <c r="AB380" s="321" t="s">
        <v>1648</v>
      </c>
      <c r="AC380" s="321" t="s">
        <v>1648</v>
      </c>
      <c r="AD380" s="321" t="s">
        <v>1648</v>
      </c>
      <c r="AE380" s="321" t="s">
        <v>1648</v>
      </c>
      <c r="AF380" s="321" t="s">
        <v>1648</v>
      </c>
      <c r="AG380" s="321" t="s">
        <v>1649</v>
      </c>
      <c r="AH380" s="165" t="s">
        <v>3694</v>
      </c>
      <c r="AI380" s="321" t="s">
        <v>1649</v>
      </c>
      <c r="AJ380" s="321" t="s">
        <v>1649</v>
      </c>
      <c r="AK380" s="321" t="s">
        <v>1649</v>
      </c>
      <c r="AL380" s="321" t="s">
        <v>1649</v>
      </c>
      <c r="AM380" s="321" t="s">
        <v>1649</v>
      </c>
      <c r="AN380" s="321" t="s">
        <v>1649</v>
      </c>
      <c r="AO380" s="321" t="s">
        <v>1649</v>
      </c>
      <c r="AP380" s="321" t="s">
        <v>1649</v>
      </c>
      <c r="AQ380" s="321" t="s">
        <v>1649</v>
      </c>
      <c r="AR380" s="321" t="s">
        <v>1649</v>
      </c>
      <c r="AS380" s="321" t="s">
        <v>1649</v>
      </c>
      <c r="AT380" s="321" t="s">
        <v>1649</v>
      </c>
      <c r="AU380" s="301" t="s">
        <v>1613</v>
      </c>
    </row>
    <row r="381" spans="1:47" ht="13.5" thickBot="1" x14ac:dyDescent="0.25">
      <c r="A381" s="48" t="s">
        <v>696</v>
      </c>
      <c r="B381" s="291" t="s">
        <v>695</v>
      </c>
      <c r="C381" s="298" t="s">
        <v>54</v>
      </c>
      <c r="D381" s="302">
        <v>40</v>
      </c>
      <c r="E381" s="303">
        <v>62396</v>
      </c>
      <c r="F381" s="303">
        <v>76800</v>
      </c>
      <c r="G381" s="302">
        <v>40</v>
      </c>
      <c r="H381" s="303">
        <v>57264</v>
      </c>
      <c r="I381" s="303">
        <v>70483</v>
      </c>
      <c r="J381" s="302">
        <v>40</v>
      </c>
      <c r="K381" s="303">
        <v>48739</v>
      </c>
      <c r="L381" s="303">
        <v>59900</v>
      </c>
      <c r="M381" s="302">
        <v>40</v>
      </c>
      <c r="N381" s="303">
        <v>42252</v>
      </c>
      <c r="O381" s="303">
        <v>52007</v>
      </c>
      <c r="P381" s="302">
        <v>40</v>
      </c>
      <c r="Q381" s="303">
        <v>39613</v>
      </c>
      <c r="R381" s="303">
        <v>48757</v>
      </c>
      <c r="S381" s="302">
        <v>40</v>
      </c>
      <c r="T381" s="303">
        <v>33502</v>
      </c>
      <c r="U381" s="303">
        <v>43370</v>
      </c>
      <c r="V381" s="321" t="s">
        <v>1648</v>
      </c>
      <c r="W381" s="321" t="s">
        <v>1648</v>
      </c>
      <c r="X381" s="321" t="s">
        <v>1648</v>
      </c>
      <c r="Y381" s="321" t="s">
        <v>1648</v>
      </c>
      <c r="Z381" s="321" t="s">
        <v>1648</v>
      </c>
      <c r="AA381" s="321" t="s">
        <v>1648</v>
      </c>
      <c r="AB381" s="321" t="s">
        <v>1648</v>
      </c>
      <c r="AC381" s="321" t="s">
        <v>1648</v>
      </c>
      <c r="AD381" s="321" t="s">
        <v>1648</v>
      </c>
      <c r="AE381" s="321" t="s">
        <v>1648</v>
      </c>
      <c r="AF381" s="321" t="s">
        <v>1648</v>
      </c>
      <c r="AG381" s="321" t="s">
        <v>1649</v>
      </c>
      <c r="AH381" s="300" t="s">
        <v>1613</v>
      </c>
      <c r="AI381" s="321" t="s">
        <v>1649</v>
      </c>
      <c r="AJ381" s="321" t="s">
        <v>1649</v>
      </c>
      <c r="AK381" s="321" t="s">
        <v>1649</v>
      </c>
      <c r="AL381" s="321" t="s">
        <v>1649</v>
      </c>
      <c r="AM381" s="321" t="s">
        <v>1649</v>
      </c>
      <c r="AN381" s="321" t="s">
        <v>1649</v>
      </c>
      <c r="AO381" s="321" t="s">
        <v>1649</v>
      </c>
      <c r="AP381" s="321" t="s">
        <v>1649</v>
      </c>
      <c r="AQ381" s="321" t="s">
        <v>1649</v>
      </c>
      <c r="AR381" s="321" t="s">
        <v>1649</v>
      </c>
      <c r="AS381" s="321" t="s">
        <v>1649</v>
      </c>
      <c r="AT381" s="321" t="s">
        <v>1649</v>
      </c>
      <c r="AU381" s="301" t="s">
        <v>1613</v>
      </c>
    </row>
    <row r="382" spans="1:47" ht="13.5" thickBot="1" x14ac:dyDescent="0.25">
      <c r="A382" s="48" t="s">
        <v>710</v>
      </c>
      <c r="B382" s="291" t="s">
        <v>709</v>
      </c>
      <c r="C382" s="298" t="s">
        <v>54</v>
      </c>
      <c r="D382" s="299" t="s">
        <v>1613</v>
      </c>
      <c r="E382" s="299" t="s">
        <v>1613</v>
      </c>
      <c r="F382" s="299" t="s">
        <v>1613</v>
      </c>
      <c r="G382" s="302">
        <v>38</v>
      </c>
      <c r="H382" s="303">
        <v>64692</v>
      </c>
      <c r="I382" s="303">
        <v>73388</v>
      </c>
      <c r="J382" s="302">
        <v>38</v>
      </c>
      <c r="K382" s="303">
        <v>54401</v>
      </c>
      <c r="L382" s="303">
        <v>67889</v>
      </c>
      <c r="M382" s="302">
        <v>20</v>
      </c>
      <c r="N382" s="303">
        <v>25790</v>
      </c>
      <c r="O382" s="303">
        <v>28966</v>
      </c>
      <c r="P382" s="299" t="s">
        <v>1613</v>
      </c>
      <c r="Q382" s="299" t="s">
        <v>1613</v>
      </c>
      <c r="R382" s="299" t="s">
        <v>1613</v>
      </c>
      <c r="S382" s="302">
        <v>20</v>
      </c>
      <c r="T382" s="303">
        <v>16958</v>
      </c>
      <c r="U382" s="303">
        <v>20112</v>
      </c>
      <c r="V382" s="321" t="s">
        <v>1648</v>
      </c>
      <c r="W382" s="321" t="s">
        <v>1648</v>
      </c>
      <c r="X382" s="321" t="s">
        <v>1648</v>
      </c>
      <c r="Y382" s="321" t="s">
        <v>1649</v>
      </c>
      <c r="Z382" s="321" t="s">
        <v>1648</v>
      </c>
      <c r="AA382" s="321" t="s">
        <v>1648</v>
      </c>
      <c r="AB382" s="321" t="s">
        <v>1648</v>
      </c>
      <c r="AC382" s="321" t="s">
        <v>1648</v>
      </c>
      <c r="AD382" s="321" t="s">
        <v>1648</v>
      </c>
      <c r="AE382" s="321" t="s">
        <v>1648</v>
      </c>
      <c r="AF382" s="321" t="s">
        <v>1648</v>
      </c>
      <c r="AG382" s="321" t="s">
        <v>1648</v>
      </c>
      <c r="AH382" s="300" t="s">
        <v>1613</v>
      </c>
      <c r="AI382" s="321" t="s">
        <v>1649</v>
      </c>
      <c r="AJ382" s="321" t="s">
        <v>1649</v>
      </c>
      <c r="AK382" s="321" t="s">
        <v>1649</v>
      </c>
      <c r="AL382" s="321" t="s">
        <v>1649</v>
      </c>
      <c r="AM382" s="321" t="s">
        <v>1649</v>
      </c>
      <c r="AN382" s="321" t="s">
        <v>1649</v>
      </c>
      <c r="AO382" s="321" t="s">
        <v>1649</v>
      </c>
      <c r="AP382" s="321" t="s">
        <v>1649</v>
      </c>
      <c r="AQ382" s="321" t="s">
        <v>1649</v>
      </c>
      <c r="AR382" s="321" t="s">
        <v>1648</v>
      </c>
      <c r="AS382" s="321" t="s">
        <v>1648</v>
      </c>
      <c r="AT382" s="321" t="s">
        <v>1649</v>
      </c>
      <c r="AU382" s="301" t="s">
        <v>1613</v>
      </c>
    </row>
    <row r="383" spans="1:47" ht="13.5" thickBot="1" x14ac:dyDescent="0.25">
      <c r="A383" s="48" t="s">
        <v>726</v>
      </c>
      <c r="B383" s="291" t="s">
        <v>725</v>
      </c>
      <c r="C383" s="298" t="s">
        <v>54</v>
      </c>
      <c r="D383" s="302">
        <v>40</v>
      </c>
      <c r="E383" s="303">
        <v>55000</v>
      </c>
      <c r="F383" s="303">
        <v>60000</v>
      </c>
      <c r="G383" s="299" t="s">
        <v>1613</v>
      </c>
      <c r="H383" s="299" t="s">
        <v>1613</v>
      </c>
      <c r="I383" s="299" t="s">
        <v>1613</v>
      </c>
      <c r="J383" s="299" t="s">
        <v>1613</v>
      </c>
      <c r="K383" s="299" t="s">
        <v>1613</v>
      </c>
      <c r="L383" s="299" t="s">
        <v>1613</v>
      </c>
      <c r="M383" s="302">
        <v>40</v>
      </c>
      <c r="N383" s="303">
        <v>40000</v>
      </c>
      <c r="O383" s="303">
        <v>45000</v>
      </c>
      <c r="P383" s="302">
        <v>40</v>
      </c>
      <c r="Q383" s="303">
        <v>31200</v>
      </c>
      <c r="R383" s="303">
        <v>34008</v>
      </c>
      <c r="S383" s="302">
        <v>23</v>
      </c>
      <c r="T383" s="303">
        <v>9875</v>
      </c>
      <c r="U383" s="303">
        <v>17516</v>
      </c>
      <c r="V383" s="321" t="s">
        <v>1648</v>
      </c>
      <c r="W383" s="321" t="s">
        <v>1648</v>
      </c>
      <c r="X383" s="321" t="s">
        <v>1648</v>
      </c>
      <c r="Y383" s="321" t="s">
        <v>1648</v>
      </c>
      <c r="Z383" s="321" t="s">
        <v>1648</v>
      </c>
      <c r="AA383" s="321" t="s">
        <v>1649</v>
      </c>
      <c r="AB383" s="321" t="s">
        <v>1649</v>
      </c>
      <c r="AC383" s="321" t="s">
        <v>1648</v>
      </c>
      <c r="AD383" s="321" t="s">
        <v>1648</v>
      </c>
      <c r="AE383" s="321" t="s">
        <v>1649</v>
      </c>
      <c r="AF383" s="321" t="s">
        <v>1649</v>
      </c>
      <c r="AG383" s="321" t="s">
        <v>1649</v>
      </c>
      <c r="AH383" s="165" t="s">
        <v>3604</v>
      </c>
      <c r="AI383" s="321" t="s">
        <v>1649</v>
      </c>
      <c r="AJ383" s="321" t="s">
        <v>1649</v>
      </c>
      <c r="AK383" s="321" t="s">
        <v>1649</v>
      </c>
      <c r="AL383" s="321" t="s">
        <v>1649</v>
      </c>
      <c r="AM383" s="321" t="s">
        <v>1649</v>
      </c>
      <c r="AN383" s="321" t="s">
        <v>1649</v>
      </c>
      <c r="AO383" s="321" t="s">
        <v>1649</v>
      </c>
      <c r="AP383" s="321" t="s">
        <v>1649</v>
      </c>
      <c r="AQ383" s="321" t="s">
        <v>1649</v>
      </c>
      <c r="AR383" s="321" t="s">
        <v>1649</v>
      </c>
      <c r="AS383" s="321" t="s">
        <v>1649</v>
      </c>
      <c r="AT383" s="321" t="s">
        <v>1649</v>
      </c>
      <c r="AU383" s="301" t="s">
        <v>1613</v>
      </c>
    </row>
    <row r="384" spans="1:47" ht="13.5" thickBot="1" x14ac:dyDescent="0.25">
      <c r="A384" s="48" t="s">
        <v>752</v>
      </c>
      <c r="B384" s="291" t="s">
        <v>751</v>
      </c>
      <c r="C384" s="298" t="s">
        <v>54</v>
      </c>
      <c r="D384" s="302">
        <v>40</v>
      </c>
      <c r="E384" s="303">
        <v>68000</v>
      </c>
      <c r="F384" s="303">
        <v>86000</v>
      </c>
      <c r="G384" s="302">
        <v>40</v>
      </c>
      <c r="H384" s="303">
        <v>42266</v>
      </c>
      <c r="I384" s="303">
        <v>58000</v>
      </c>
      <c r="J384" s="302">
        <v>40</v>
      </c>
      <c r="K384" s="303">
        <v>43555</v>
      </c>
      <c r="L384" s="303">
        <v>57387</v>
      </c>
      <c r="M384" s="302">
        <v>40</v>
      </c>
      <c r="N384" s="303">
        <v>35360</v>
      </c>
      <c r="O384" s="303">
        <v>57309</v>
      </c>
      <c r="P384" s="302">
        <v>40</v>
      </c>
      <c r="Q384" s="303">
        <v>43555</v>
      </c>
      <c r="R384" s="303">
        <v>57387</v>
      </c>
      <c r="S384" s="302">
        <v>40</v>
      </c>
      <c r="T384" s="303">
        <v>31346</v>
      </c>
      <c r="U384" s="303">
        <v>42702</v>
      </c>
      <c r="V384" s="321" t="s">
        <v>1648</v>
      </c>
      <c r="W384" s="321" t="s">
        <v>1648</v>
      </c>
      <c r="X384" s="321" t="s">
        <v>1648</v>
      </c>
      <c r="Y384" s="321" t="s">
        <v>1649</v>
      </c>
      <c r="Z384" s="321" t="s">
        <v>1648</v>
      </c>
      <c r="AA384" s="321" t="s">
        <v>1648</v>
      </c>
      <c r="AB384" s="321" t="s">
        <v>1648</v>
      </c>
      <c r="AC384" s="321" t="s">
        <v>1648</v>
      </c>
      <c r="AD384" s="321" t="s">
        <v>1648</v>
      </c>
      <c r="AE384" s="321" t="s">
        <v>1648</v>
      </c>
      <c r="AF384" s="321" t="s">
        <v>1648</v>
      </c>
      <c r="AG384" s="321" t="s">
        <v>1648</v>
      </c>
      <c r="AH384" s="165" t="s">
        <v>3695</v>
      </c>
      <c r="AI384" s="321" t="s">
        <v>1648</v>
      </c>
      <c r="AJ384" s="321" t="s">
        <v>1648</v>
      </c>
      <c r="AK384" s="321" t="s">
        <v>1648</v>
      </c>
      <c r="AL384" s="321" t="s">
        <v>1649</v>
      </c>
      <c r="AM384" s="321" t="s">
        <v>1648</v>
      </c>
      <c r="AN384" s="321" t="s">
        <v>1648</v>
      </c>
      <c r="AO384" s="321" t="s">
        <v>1648</v>
      </c>
      <c r="AP384" s="321" t="s">
        <v>1648</v>
      </c>
      <c r="AQ384" s="321" t="s">
        <v>1648</v>
      </c>
      <c r="AR384" s="321" t="s">
        <v>1648</v>
      </c>
      <c r="AS384" s="321" t="s">
        <v>1648</v>
      </c>
      <c r="AT384" s="321" t="s">
        <v>1648</v>
      </c>
      <c r="AU384" s="307" t="s">
        <v>3696</v>
      </c>
    </row>
    <row r="385" spans="1:47" ht="13.5" thickBot="1" x14ac:dyDescent="0.25">
      <c r="A385" s="48" t="s">
        <v>754</v>
      </c>
      <c r="B385" s="291" t="s">
        <v>1614</v>
      </c>
      <c r="C385" s="298" t="s">
        <v>54</v>
      </c>
      <c r="D385" s="302">
        <v>40</v>
      </c>
      <c r="E385" s="303">
        <v>48494</v>
      </c>
      <c r="F385" s="303">
        <v>56731</v>
      </c>
      <c r="G385" s="299" t="s">
        <v>1613</v>
      </c>
      <c r="H385" s="299" t="s">
        <v>1613</v>
      </c>
      <c r="I385" s="299" t="s">
        <v>1613</v>
      </c>
      <c r="J385" s="299" t="s">
        <v>1613</v>
      </c>
      <c r="K385" s="303">
        <v>40411</v>
      </c>
      <c r="L385" s="303">
        <v>47276</v>
      </c>
      <c r="M385" s="302">
        <v>40</v>
      </c>
      <c r="N385" s="303">
        <v>36654</v>
      </c>
      <c r="O385" s="303">
        <v>42880</v>
      </c>
      <c r="P385" s="299" t="s">
        <v>1613</v>
      </c>
      <c r="Q385" s="299" t="s">
        <v>1613</v>
      </c>
      <c r="R385" s="299" t="s">
        <v>1613</v>
      </c>
      <c r="S385" s="302">
        <v>29</v>
      </c>
      <c r="T385" s="303">
        <v>18096</v>
      </c>
      <c r="U385" s="303">
        <v>19604</v>
      </c>
      <c r="V385" s="321" t="s">
        <v>1648</v>
      </c>
      <c r="W385" s="321" t="s">
        <v>1648</v>
      </c>
      <c r="X385" s="321" t="s">
        <v>1648</v>
      </c>
      <c r="Y385" s="321" t="s">
        <v>1649</v>
      </c>
      <c r="Z385" s="321" t="s">
        <v>1648</v>
      </c>
      <c r="AA385" s="321" t="s">
        <v>1648</v>
      </c>
      <c r="AB385" s="321" t="s">
        <v>1648</v>
      </c>
      <c r="AC385" s="321" t="s">
        <v>1648</v>
      </c>
      <c r="AD385" s="321" t="s">
        <v>1648</v>
      </c>
      <c r="AE385" s="321" t="s">
        <v>1648</v>
      </c>
      <c r="AF385" s="321" t="s">
        <v>1648</v>
      </c>
      <c r="AG385" s="321" t="s">
        <v>1649</v>
      </c>
      <c r="AH385" s="300" t="s">
        <v>1613</v>
      </c>
      <c r="AI385" s="321" t="s">
        <v>1649</v>
      </c>
      <c r="AJ385" s="321" t="s">
        <v>1649</v>
      </c>
      <c r="AK385" s="321" t="s">
        <v>1649</v>
      </c>
      <c r="AL385" s="321" t="s">
        <v>1649</v>
      </c>
      <c r="AM385" s="321" t="s">
        <v>1649</v>
      </c>
      <c r="AN385" s="321" t="s">
        <v>1649</v>
      </c>
      <c r="AO385" s="321" t="s">
        <v>1649</v>
      </c>
      <c r="AP385" s="321" t="s">
        <v>1649</v>
      </c>
      <c r="AQ385" s="321" t="s">
        <v>1649</v>
      </c>
      <c r="AR385" s="321" t="s">
        <v>1649</v>
      </c>
      <c r="AS385" s="321" t="s">
        <v>1649</v>
      </c>
      <c r="AT385" s="321" t="s">
        <v>1649</v>
      </c>
      <c r="AU385" s="301" t="s">
        <v>1613</v>
      </c>
    </row>
    <row r="386" spans="1:47" ht="13.5" thickBot="1" x14ac:dyDescent="0.25">
      <c r="A386" s="48" t="s">
        <v>756</v>
      </c>
      <c r="B386" s="291" t="s">
        <v>755</v>
      </c>
      <c r="C386" s="298" t="s">
        <v>54</v>
      </c>
      <c r="D386" s="302">
        <v>40</v>
      </c>
      <c r="E386" s="303">
        <v>57633</v>
      </c>
      <c r="F386" s="303">
        <v>86448</v>
      </c>
      <c r="G386" s="302">
        <v>40</v>
      </c>
      <c r="H386" s="303">
        <v>48439</v>
      </c>
      <c r="I386" s="303">
        <v>72660</v>
      </c>
      <c r="J386" s="302">
        <v>40</v>
      </c>
      <c r="K386" s="303">
        <v>41247</v>
      </c>
      <c r="L386" s="303">
        <v>61868</v>
      </c>
      <c r="M386" s="302">
        <v>20</v>
      </c>
      <c r="N386" s="303">
        <v>19240</v>
      </c>
      <c r="O386" s="303">
        <v>25780</v>
      </c>
      <c r="P386" s="302">
        <v>20</v>
      </c>
      <c r="Q386" s="303">
        <v>11960</v>
      </c>
      <c r="R386" s="303">
        <v>17160</v>
      </c>
      <c r="S386" s="302">
        <v>20</v>
      </c>
      <c r="T386" s="303">
        <v>11960</v>
      </c>
      <c r="U386" s="303">
        <v>17160</v>
      </c>
      <c r="V386" s="321" t="s">
        <v>1648</v>
      </c>
      <c r="W386" s="321" t="s">
        <v>1648</v>
      </c>
      <c r="X386" s="321" t="s">
        <v>1648</v>
      </c>
      <c r="Y386" s="321" t="s">
        <v>1649</v>
      </c>
      <c r="Z386" s="321" t="s">
        <v>1648</v>
      </c>
      <c r="AA386" s="321" t="s">
        <v>1648</v>
      </c>
      <c r="AB386" s="321" t="s">
        <v>1648</v>
      </c>
      <c r="AC386" s="321" t="s">
        <v>1648</v>
      </c>
      <c r="AD386" s="321" t="s">
        <v>1648</v>
      </c>
      <c r="AE386" s="321" t="s">
        <v>1648</v>
      </c>
      <c r="AF386" s="321" t="s">
        <v>1648</v>
      </c>
      <c r="AG386" s="321" t="s">
        <v>1649</v>
      </c>
      <c r="AH386" s="165" t="s">
        <v>3610</v>
      </c>
      <c r="AI386" s="321" t="s">
        <v>1649</v>
      </c>
      <c r="AJ386" s="321" t="s">
        <v>1649</v>
      </c>
      <c r="AK386" s="321" t="s">
        <v>1649</v>
      </c>
      <c r="AL386" s="321" t="s">
        <v>1649</v>
      </c>
      <c r="AM386" s="321" t="s">
        <v>1649</v>
      </c>
      <c r="AN386" s="321" t="s">
        <v>1649</v>
      </c>
      <c r="AO386" s="321" t="s">
        <v>1649</v>
      </c>
      <c r="AP386" s="321" t="s">
        <v>1649</v>
      </c>
      <c r="AQ386" s="321" t="s">
        <v>1649</v>
      </c>
      <c r="AR386" s="321" t="s">
        <v>1649</v>
      </c>
      <c r="AS386" s="321" t="s">
        <v>1649</v>
      </c>
      <c r="AT386" s="321" t="s">
        <v>1649</v>
      </c>
      <c r="AU386" s="300"/>
    </row>
    <row r="387" spans="1:47" ht="13.5" thickBot="1" x14ac:dyDescent="0.25">
      <c r="A387" s="48" t="s">
        <v>778</v>
      </c>
      <c r="B387" s="291" t="s">
        <v>777</v>
      </c>
      <c r="C387" s="298" t="s">
        <v>54</v>
      </c>
      <c r="D387" s="299" t="s">
        <v>1613</v>
      </c>
      <c r="E387" s="299" t="s">
        <v>1613</v>
      </c>
      <c r="F387" s="299" t="s">
        <v>1613</v>
      </c>
      <c r="G387" s="302">
        <v>38</v>
      </c>
      <c r="H387" s="303">
        <v>75678</v>
      </c>
      <c r="I387" s="303">
        <v>82882</v>
      </c>
      <c r="J387" s="302">
        <v>38</v>
      </c>
      <c r="K387" s="303">
        <v>60683</v>
      </c>
      <c r="L387" s="303">
        <v>65655</v>
      </c>
      <c r="M387" s="302">
        <v>38</v>
      </c>
      <c r="N387" s="303">
        <v>51912</v>
      </c>
      <c r="O387" s="303">
        <v>57208</v>
      </c>
      <c r="P387" s="299" t="s">
        <v>1613</v>
      </c>
      <c r="Q387" s="299" t="s">
        <v>1613</v>
      </c>
      <c r="R387" s="299" t="s">
        <v>1613</v>
      </c>
      <c r="S387" s="302">
        <v>38</v>
      </c>
      <c r="T387" s="303">
        <v>32009</v>
      </c>
      <c r="U387" s="303">
        <v>38802</v>
      </c>
      <c r="V387" s="321" t="s">
        <v>1648</v>
      </c>
      <c r="W387" s="321" t="s">
        <v>1648</v>
      </c>
      <c r="X387" s="321" t="s">
        <v>1648</v>
      </c>
      <c r="Y387" s="321" t="s">
        <v>1648</v>
      </c>
      <c r="Z387" s="321" t="s">
        <v>1648</v>
      </c>
      <c r="AA387" s="321" t="s">
        <v>1648</v>
      </c>
      <c r="AB387" s="321" t="s">
        <v>1648</v>
      </c>
      <c r="AC387" s="321" t="s">
        <v>1648</v>
      </c>
      <c r="AD387" s="321" t="s">
        <v>1648</v>
      </c>
      <c r="AE387" s="321" t="s">
        <v>1648</v>
      </c>
      <c r="AF387" s="321" t="s">
        <v>1648</v>
      </c>
      <c r="AG387" s="321" t="s">
        <v>1648</v>
      </c>
      <c r="AH387" s="300" t="s">
        <v>1613</v>
      </c>
      <c r="AI387" s="321" t="s">
        <v>1649</v>
      </c>
      <c r="AJ387" s="321" t="s">
        <v>1649</v>
      </c>
      <c r="AK387" s="321" t="s">
        <v>1649</v>
      </c>
      <c r="AL387" s="321" t="s">
        <v>1649</v>
      </c>
      <c r="AM387" s="321" t="s">
        <v>1649</v>
      </c>
      <c r="AN387" s="321" t="s">
        <v>1649</v>
      </c>
      <c r="AO387" s="321" t="s">
        <v>1649</v>
      </c>
      <c r="AP387" s="321" t="s">
        <v>1649</v>
      </c>
      <c r="AQ387" s="321" t="s">
        <v>1649</v>
      </c>
      <c r="AR387" s="321" t="s">
        <v>1649</v>
      </c>
      <c r="AS387" s="321" t="s">
        <v>1649</v>
      </c>
      <c r="AT387" s="321" t="s">
        <v>1649</v>
      </c>
      <c r="AU387" s="301" t="s">
        <v>1613</v>
      </c>
    </row>
    <row r="388" spans="1:47" ht="13.5" thickBot="1" x14ac:dyDescent="0.25">
      <c r="A388" s="48" t="s">
        <v>780</v>
      </c>
      <c r="B388" s="291" t="s">
        <v>779</v>
      </c>
      <c r="C388" s="298" t="s">
        <v>54</v>
      </c>
      <c r="D388" s="299" t="s">
        <v>1613</v>
      </c>
      <c r="E388" s="299" t="s">
        <v>1613</v>
      </c>
      <c r="F388" s="299" t="s">
        <v>1613</v>
      </c>
      <c r="G388" s="302">
        <v>40</v>
      </c>
      <c r="H388" s="303">
        <v>47528</v>
      </c>
      <c r="I388" s="303">
        <v>55910</v>
      </c>
      <c r="J388" s="299" t="s">
        <v>1613</v>
      </c>
      <c r="K388" s="299" t="s">
        <v>1613</v>
      </c>
      <c r="L388" s="299" t="s">
        <v>1613</v>
      </c>
      <c r="M388" s="302">
        <v>40</v>
      </c>
      <c r="N388" s="303">
        <v>39811</v>
      </c>
      <c r="O388" s="303">
        <v>46821</v>
      </c>
      <c r="P388" s="302">
        <v>40</v>
      </c>
      <c r="Q388" s="303">
        <v>52616</v>
      </c>
      <c r="R388" s="303">
        <v>61901</v>
      </c>
      <c r="S388" s="299" t="s">
        <v>1613</v>
      </c>
      <c r="T388" s="299" t="s">
        <v>1613</v>
      </c>
      <c r="U388" s="299" t="s">
        <v>1613</v>
      </c>
      <c r="V388" s="321" t="s">
        <v>1648</v>
      </c>
      <c r="W388" s="321" t="s">
        <v>1648</v>
      </c>
      <c r="X388" s="321" t="s">
        <v>1648</v>
      </c>
      <c r="Y388" s="321" t="s">
        <v>1648</v>
      </c>
      <c r="Z388" s="321" t="s">
        <v>1648</v>
      </c>
      <c r="AA388" s="321" t="s">
        <v>1648</v>
      </c>
      <c r="AB388" s="321" t="s">
        <v>1648</v>
      </c>
      <c r="AC388" s="321" t="s">
        <v>1648</v>
      </c>
      <c r="AD388" s="321" t="s">
        <v>1648</v>
      </c>
      <c r="AE388" s="321" t="s">
        <v>1648</v>
      </c>
      <c r="AF388" s="321" t="s">
        <v>1648</v>
      </c>
      <c r="AG388" s="321" t="s">
        <v>1649</v>
      </c>
      <c r="AH388" s="300" t="s">
        <v>1613</v>
      </c>
      <c r="AI388" s="321" t="s">
        <v>1649</v>
      </c>
      <c r="AJ388" s="321" t="s">
        <v>1649</v>
      </c>
      <c r="AK388" s="321" t="s">
        <v>1649</v>
      </c>
      <c r="AL388" s="321" t="s">
        <v>1649</v>
      </c>
      <c r="AM388" s="321" t="s">
        <v>1649</v>
      </c>
      <c r="AN388" s="321" t="s">
        <v>1649</v>
      </c>
      <c r="AO388" s="321" t="s">
        <v>1649</v>
      </c>
      <c r="AP388" s="321" t="s">
        <v>1648</v>
      </c>
      <c r="AQ388" s="321" t="s">
        <v>1649</v>
      </c>
      <c r="AR388" s="321" t="s">
        <v>1649</v>
      </c>
      <c r="AS388" s="321" t="s">
        <v>1649</v>
      </c>
      <c r="AT388" s="321" t="s">
        <v>1649</v>
      </c>
      <c r="AU388" s="307" t="s">
        <v>3697</v>
      </c>
    </row>
    <row r="389" spans="1:47" ht="13.5" thickBot="1" x14ac:dyDescent="0.25">
      <c r="A389" s="48" t="s">
        <v>788</v>
      </c>
      <c r="B389" s="291" t="s">
        <v>787</v>
      </c>
      <c r="C389" s="298" t="s">
        <v>54</v>
      </c>
      <c r="D389" s="299" t="s">
        <v>1613</v>
      </c>
      <c r="E389" s="299" t="s">
        <v>1613</v>
      </c>
      <c r="F389" s="299" t="s">
        <v>1613</v>
      </c>
      <c r="G389" s="302">
        <v>35</v>
      </c>
      <c r="H389" s="303">
        <v>54280</v>
      </c>
      <c r="I389" s="303">
        <v>77390</v>
      </c>
      <c r="J389" s="302">
        <v>35</v>
      </c>
      <c r="K389" s="303">
        <v>44136</v>
      </c>
      <c r="L389" s="303">
        <v>62927</v>
      </c>
      <c r="M389" s="302">
        <v>35</v>
      </c>
      <c r="N389" s="303">
        <v>39923</v>
      </c>
      <c r="O389" s="303">
        <v>56921</v>
      </c>
      <c r="P389" s="302">
        <v>35</v>
      </c>
      <c r="Q389" s="303">
        <v>39923</v>
      </c>
      <c r="R389" s="303">
        <v>62927</v>
      </c>
      <c r="S389" s="302">
        <v>20</v>
      </c>
      <c r="T389" s="303">
        <v>13416</v>
      </c>
      <c r="U389" s="303">
        <v>19126</v>
      </c>
      <c r="V389" s="321" t="s">
        <v>1648</v>
      </c>
      <c r="W389" s="321" t="s">
        <v>1648</v>
      </c>
      <c r="X389" s="321" t="s">
        <v>1648</v>
      </c>
      <c r="Y389" s="321" t="s">
        <v>1648</v>
      </c>
      <c r="Z389" s="321" t="s">
        <v>1648</v>
      </c>
      <c r="AA389" s="321" t="s">
        <v>1648</v>
      </c>
      <c r="AB389" s="321" t="s">
        <v>1648</v>
      </c>
      <c r="AC389" s="321" t="s">
        <v>1648</v>
      </c>
      <c r="AD389" s="321" t="s">
        <v>1648</v>
      </c>
      <c r="AE389" s="321" t="s">
        <v>1648</v>
      </c>
      <c r="AF389" s="321" t="s">
        <v>1648</v>
      </c>
      <c r="AG389" s="321" t="s">
        <v>1649</v>
      </c>
      <c r="AH389" s="300"/>
      <c r="AI389" s="321" t="s">
        <v>1649</v>
      </c>
      <c r="AJ389" s="321" t="s">
        <v>1649</v>
      </c>
      <c r="AK389" s="321" t="s">
        <v>1649</v>
      </c>
      <c r="AL389" s="321" t="s">
        <v>1649</v>
      </c>
      <c r="AM389" s="321" t="s">
        <v>1649</v>
      </c>
      <c r="AN389" s="321" t="s">
        <v>1648</v>
      </c>
      <c r="AO389" s="321" t="s">
        <v>1648</v>
      </c>
      <c r="AP389" s="321" t="s">
        <v>1648</v>
      </c>
      <c r="AQ389" s="321" t="s">
        <v>1648</v>
      </c>
      <c r="AR389" s="321" t="s">
        <v>1649</v>
      </c>
      <c r="AS389" s="321" t="s">
        <v>1648</v>
      </c>
      <c r="AT389" s="321" t="s">
        <v>1649</v>
      </c>
      <c r="AU389" s="301"/>
    </row>
    <row r="390" spans="1:47" ht="13.5" thickBot="1" x14ac:dyDescent="0.25">
      <c r="A390" s="48" t="s">
        <v>808</v>
      </c>
      <c r="B390" s="291" t="s">
        <v>807</v>
      </c>
      <c r="C390" s="298" t="s">
        <v>54</v>
      </c>
      <c r="D390" s="302">
        <v>40</v>
      </c>
      <c r="E390" s="303">
        <v>93711</v>
      </c>
      <c r="F390" s="303">
        <v>93711</v>
      </c>
      <c r="G390" s="302">
        <v>40</v>
      </c>
      <c r="H390" s="303">
        <v>40972</v>
      </c>
      <c r="I390" s="303">
        <v>82959</v>
      </c>
      <c r="J390" s="302">
        <v>40</v>
      </c>
      <c r="K390" s="303">
        <v>39972</v>
      </c>
      <c r="L390" s="303">
        <v>81959</v>
      </c>
      <c r="M390" s="302">
        <v>40</v>
      </c>
      <c r="N390" s="303">
        <v>39972</v>
      </c>
      <c r="O390" s="303">
        <v>81959</v>
      </c>
      <c r="P390" s="302">
        <v>40</v>
      </c>
      <c r="Q390" s="303">
        <v>39972</v>
      </c>
      <c r="R390" s="303">
        <v>81959</v>
      </c>
      <c r="S390" s="302">
        <v>34</v>
      </c>
      <c r="T390" s="303">
        <v>27436</v>
      </c>
      <c r="U390" s="303">
        <v>46792</v>
      </c>
      <c r="V390" s="321" t="s">
        <v>1648</v>
      </c>
      <c r="W390" s="321" t="s">
        <v>1648</v>
      </c>
      <c r="X390" s="321" t="s">
        <v>1648</v>
      </c>
      <c r="Y390" s="321" t="s">
        <v>1648</v>
      </c>
      <c r="Z390" s="321" t="s">
        <v>1648</v>
      </c>
      <c r="AA390" s="321" t="s">
        <v>1648</v>
      </c>
      <c r="AB390" s="321" t="s">
        <v>1648</v>
      </c>
      <c r="AC390" s="321" t="s">
        <v>1648</v>
      </c>
      <c r="AD390" s="321" t="s">
        <v>1649</v>
      </c>
      <c r="AE390" s="321" t="s">
        <v>1648</v>
      </c>
      <c r="AF390" s="321" t="s">
        <v>1648</v>
      </c>
      <c r="AG390" s="321" t="s">
        <v>1649</v>
      </c>
      <c r="AH390" s="300" t="s">
        <v>1613</v>
      </c>
      <c r="AI390" s="321" t="s">
        <v>1648</v>
      </c>
      <c r="AJ390" s="321" t="s">
        <v>1648</v>
      </c>
      <c r="AK390" s="321" t="s">
        <v>1648</v>
      </c>
      <c r="AL390" s="321" t="s">
        <v>1648</v>
      </c>
      <c r="AM390" s="321" t="s">
        <v>1648</v>
      </c>
      <c r="AN390" s="321" t="s">
        <v>1648</v>
      </c>
      <c r="AO390" s="321" t="s">
        <v>1648</v>
      </c>
      <c r="AP390" s="321" t="s">
        <v>1648</v>
      </c>
      <c r="AQ390" s="321" t="s">
        <v>1649</v>
      </c>
      <c r="AR390" s="321" t="s">
        <v>1648</v>
      </c>
      <c r="AS390" s="321" t="s">
        <v>1648</v>
      </c>
      <c r="AT390" s="321" t="s">
        <v>1649</v>
      </c>
      <c r="AU390" s="301" t="s">
        <v>1613</v>
      </c>
    </row>
    <row r="391" spans="1:47" ht="13.5" thickBot="1" x14ac:dyDescent="0.25">
      <c r="A391" s="48" t="s">
        <v>810</v>
      </c>
      <c r="B391" s="291" t="s">
        <v>809</v>
      </c>
      <c r="C391" s="298" t="s">
        <v>54</v>
      </c>
      <c r="D391" s="304"/>
      <c r="E391" s="305"/>
      <c r="F391" s="299"/>
      <c r="G391" s="302">
        <v>40</v>
      </c>
      <c r="H391" s="303">
        <v>53895</v>
      </c>
      <c r="I391" s="303">
        <v>58020</v>
      </c>
      <c r="J391" s="302">
        <v>40</v>
      </c>
      <c r="K391" s="303">
        <v>44720</v>
      </c>
      <c r="L391" s="303">
        <v>46800</v>
      </c>
      <c r="M391" s="302">
        <v>40</v>
      </c>
      <c r="N391" s="303">
        <v>41600</v>
      </c>
      <c r="O391" s="303">
        <v>44512</v>
      </c>
      <c r="P391" s="302">
        <v>40</v>
      </c>
      <c r="Q391" s="303">
        <v>37440</v>
      </c>
      <c r="R391" s="303">
        <v>38688</v>
      </c>
      <c r="S391" s="302">
        <v>33</v>
      </c>
      <c r="T391" s="303">
        <v>22880</v>
      </c>
      <c r="U391" s="303">
        <v>29952</v>
      </c>
      <c r="V391" s="321" t="s">
        <v>1648</v>
      </c>
      <c r="W391" s="321" t="s">
        <v>1648</v>
      </c>
      <c r="X391" s="321" t="s">
        <v>1648</v>
      </c>
      <c r="Y391" s="321" t="s">
        <v>1648</v>
      </c>
      <c r="Z391" s="321" t="s">
        <v>1648</v>
      </c>
      <c r="AA391" s="321" t="s">
        <v>1649</v>
      </c>
      <c r="AB391" s="321" t="s">
        <v>1648</v>
      </c>
      <c r="AC391" s="321" t="s">
        <v>1648</v>
      </c>
      <c r="AD391" s="321" t="s">
        <v>1648</v>
      </c>
      <c r="AE391" s="321" t="s">
        <v>1649</v>
      </c>
      <c r="AF391" s="321" t="s">
        <v>1648</v>
      </c>
      <c r="AG391" s="321" t="s">
        <v>1649</v>
      </c>
      <c r="AH391" s="300" t="s">
        <v>1613</v>
      </c>
      <c r="AI391" s="321" t="s">
        <v>1648</v>
      </c>
      <c r="AJ391" s="321" t="s">
        <v>1649</v>
      </c>
      <c r="AK391" s="321" t="s">
        <v>1649</v>
      </c>
      <c r="AL391" s="321" t="s">
        <v>1649</v>
      </c>
      <c r="AM391" s="321" t="s">
        <v>1649</v>
      </c>
      <c r="AN391" s="321" t="s">
        <v>1649</v>
      </c>
      <c r="AO391" s="321" t="s">
        <v>1648</v>
      </c>
      <c r="AP391" s="321" t="s">
        <v>1648</v>
      </c>
      <c r="AQ391" s="321" t="s">
        <v>1649</v>
      </c>
      <c r="AR391" s="321" t="s">
        <v>1649</v>
      </c>
      <c r="AS391" s="321" t="s">
        <v>1648</v>
      </c>
      <c r="AT391" s="321" t="s">
        <v>1649</v>
      </c>
      <c r="AU391" s="300" t="s">
        <v>1613</v>
      </c>
    </row>
    <row r="392" spans="1:47" ht="13.5" thickBot="1" x14ac:dyDescent="0.25">
      <c r="A392" s="48" t="s">
        <v>816</v>
      </c>
      <c r="B392" s="291" t="s">
        <v>815</v>
      </c>
      <c r="C392" s="308" t="s">
        <v>54</v>
      </c>
      <c r="D392" s="309">
        <v>40</v>
      </c>
      <c r="E392" s="310">
        <v>58473</v>
      </c>
      <c r="F392" s="310">
        <v>80108</v>
      </c>
      <c r="G392" s="309">
        <v>40</v>
      </c>
      <c r="H392" s="310">
        <v>52000</v>
      </c>
      <c r="I392" s="310">
        <v>70000</v>
      </c>
      <c r="J392" s="309">
        <v>40</v>
      </c>
      <c r="K392" s="310">
        <v>39726</v>
      </c>
      <c r="L392" s="310">
        <v>51854</v>
      </c>
      <c r="M392" s="309">
        <v>40</v>
      </c>
      <c r="N392" s="310">
        <v>39726</v>
      </c>
      <c r="O392" s="310">
        <v>51854</v>
      </c>
      <c r="P392" s="309">
        <v>40</v>
      </c>
      <c r="Q392" s="310">
        <v>32000</v>
      </c>
      <c r="R392" s="310">
        <v>43000</v>
      </c>
      <c r="S392" s="309">
        <v>40</v>
      </c>
      <c r="T392" s="310">
        <v>26436</v>
      </c>
      <c r="U392" s="310">
        <v>34486</v>
      </c>
      <c r="V392" s="322" t="s">
        <v>1648</v>
      </c>
      <c r="W392" s="322" t="s">
        <v>1648</v>
      </c>
      <c r="X392" s="322" t="s">
        <v>1648</v>
      </c>
      <c r="Y392" s="322" t="s">
        <v>1649</v>
      </c>
      <c r="Z392" s="322" t="s">
        <v>1648</v>
      </c>
      <c r="AA392" s="322" t="s">
        <v>1648</v>
      </c>
      <c r="AB392" s="322" t="s">
        <v>1648</v>
      </c>
      <c r="AC392" s="322" t="s">
        <v>1648</v>
      </c>
      <c r="AD392" s="322" t="s">
        <v>1648</v>
      </c>
      <c r="AE392" s="322" t="s">
        <v>1648</v>
      </c>
      <c r="AF392" s="322" t="s">
        <v>1648</v>
      </c>
      <c r="AG392" s="322" t="s">
        <v>1649</v>
      </c>
      <c r="AH392" s="165" t="s">
        <v>3612</v>
      </c>
      <c r="AI392" s="322" t="s">
        <v>1649</v>
      </c>
      <c r="AJ392" s="322" t="s">
        <v>1649</v>
      </c>
      <c r="AK392" s="322" t="s">
        <v>1649</v>
      </c>
      <c r="AL392" s="322" t="s">
        <v>1649</v>
      </c>
      <c r="AM392" s="322" t="s">
        <v>1649</v>
      </c>
      <c r="AN392" s="322" t="s">
        <v>1648</v>
      </c>
      <c r="AO392" s="322" t="s">
        <v>1648</v>
      </c>
      <c r="AP392" s="322" t="s">
        <v>1648</v>
      </c>
      <c r="AQ392" s="322" t="s">
        <v>1648</v>
      </c>
      <c r="AR392" s="322" t="s">
        <v>1649</v>
      </c>
      <c r="AS392" s="322" t="s">
        <v>1648</v>
      </c>
      <c r="AT392" s="322" t="s">
        <v>1649</v>
      </c>
      <c r="AU392" s="165" t="s">
        <v>3612</v>
      </c>
    </row>
    <row r="393" spans="1:47" x14ac:dyDescent="0.2">
      <c r="A393" s="311"/>
      <c r="V393" s="50"/>
      <c r="W393" s="50"/>
      <c r="X393" s="50"/>
      <c r="Y393" s="50"/>
      <c r="Z393" s="50"/>
      <c r="AA393" s="50"/>
      <c r="AB393" s="50"/>
      <c r="AC393" s="50"/>
      <c r="AD393" s="50"/>
      <c r="AE393" s="50"/>
      <c r="AF393" s="50"/>
      <c r="AG393" s="50"/>
      <c r="AH393" s="50"/>
      <c r="AI393" s="50"/>
      <c r="AJ393" s="50"/>
      <c r="AK393" s="50"/>
      <c r="AL393" s="50"/>
      <c r="AM393" s="50"/>
      <c r="AN393" s="50"/>
      <c r="AO393" s="50"/>
      <c r="AP393" s="50"/>
      <c r="AQ393" s="50"/>
      <c r="AR393" s="50"/>
      <c r="AS393" s="50"/>
      <c r="AT393" s="50"/>
      <c r="AU393" s="50"/>
    </row>
    <row r="394" spans="1:47" ht="13.5" thickBot="1" x14ac:dyDescent="0.25"/>
    <row r="395" spans="1:47" ht="18.75" thickBot="1" x14ac:dyDescent="0.3">
      <c r="B395" s="59" t="s">
        <v>1599</v>
      </c>
      <c r="C395" s="312">
        <f>SUBTOTAL(103,Table19[Library Class])</f>
        <v>389</v>
      </c>
    </row>
    <row r="396" spans="1:47" ht="18.75" thickBot="1" x14ac:dyDescent="0.3">
      <c r="C396" s="268" t="s">
        <v>1621</v>
      </c>
      <c r="D396" s="313">
        <f>SUBTOTAL(101,Table19[Assistant Director Average Hrs/Wk])</f>
        <v>33.606451612903228</v>
      </c>
      <c r="E396" s="345">
        <f>SUBTOTAL(101,Table19[Assistant Director Minimum Salary])</f>
        <v>36883.629870129873</v>
      </c>
      <c r="F396" s="345">
        <f>SUBTOTAL(101,Table19[Assistant Director Maximum Salary])</f>
        <v>45937.110389610389</v>
      </c>
      <c r="G396" s="314">
        <f>SUBTOTAL(101,Table19[Department/Branch Head Average Hrs/Wk])</f>
        <v>36.587096774193547</v>
      </c>
      <c r="H396" s="345">
        <f>SUBTOTAL(101,Table19[Department/Branch Head Minimum Salary])</f>
        <v>38950.596153846156</v>
      </c>
      <c r="I396" s="345">
        <f>SUBTOTAL(101,Table19[Department/Branch Head Maximum Salary])</f>
        <v>56564.585859872612</v>
      </c>
      <c r="J396" s="314">
        <f>SUBTOTAL(101,Table19[Senior Level Librarian Average Hrs/Wk])</f>
        <v>32.773480662983424</v>
      </c>
      <c r="K396" s="345">
        <f>SUBTOTAL(101,Table19[Senior Level Librarian Minimum Salary])</f>
        <v>32343.12464088398</v>
      </c>
      <c r="L396" s="345">
        <f>SUBTOTAL(101,Table19[Senior Level Librarian Maximum Salary])</f>
        <v>40648.645027322404</v>
      </c>
      <c r="M396" s="314">
        <f>SUBTOTAL(101,Table19[Entry Level Librarian Average Hrs/Wk])</f>
        <v>29.64903846153846</v>
      </c>
      <c r="N396" s="345">
        <f>SUBTOTAL(101,Table19[Entry Level Librarian Minimum Salary])</f>
        <v>25165.831047619045</v>
      </c>
      <c r="O396" s="345">
        <f>SUBTOTAL(101,Table19[Entry Level Librarian Maximum Salary])</f>
        <v>34097.812394366199</v>
      </c>
      <c r="P396" s="314">
        <f>SUBTOTAL(101,Table19[Computer/Technology Specialist Average Hrs/Wk])</f>
        <v>31.859504132231404</v>
      </c>
      <c r="Q396" s="345">
        <f>SUBTOTAL(101,Table19[Computer/Technology Specialist Minimum Salary])</f>
        <v>32783.943200000002</v>
      </c>
      <c r="R396" s="345">
        <f>SUBTOTAL(101,Table19[Computer/Technology Specialist Maximum Salary])</f>
        <v>43019.575200000007</v>
      </c>
      <c r="S396" s="314">
        <f>SUBTOTAL(101,Table19[Library Clerk Average Hrs/Wk])</f>
        <v>22.60670731707317</v>
      </c>
      <c r="T396" s="345">
        <f>SUBTOTAL(101,Table19[Library Clerk Minimum Salary])</f>
        <v>13394.522208955223</v>
      </c>
      <c r="U396" s="346">
        <f>SUBTOTAL(101,Table19[Library Clerk Maximum Salary])</f>
        <v>19737.140860534124</v>
      </c>
    </row>
    <row r="397" spans="1:47" ht="13.5" thickBot="1" x14ac:dyDescent="0.25">
      <c r="Q397" s="227"/>
      <c r="R397" s="227"/>
    </row>
    <row r="398" spans="1:47" ht="30.75" thickBot="1" x14ac:dyDescent="0.3">
      <c r="B398" s="315" t="s">
        <v>3698</v>
      </c>
      <c r="C398" s="316" t="s">
        <v>3516</v>
      </c>
      <c r="D398" s="316" t="s">
        <v>3517</v>
      </c>
      <c r="E398" s="316" t="s">
        <v>3518</v>
      </c>
      <c r="F398" s="316" t="s">
        <v>3519</v>
      </c>
      <c r="G398" s="316" t="s">
        <v>3520</v>
      </c>
      <c r="H398" s="316" t="s">
        <v>3521</v>
      </c>
      <c r="I398" s="316" t="s">
        <v>3522</v>
      </c>
      <c r="J398" s="316" t="s">
        <v>3523</v>
      </c>
      <c r="K398" s="316" t="s">
        <v>3524</v>
      </c>
      <c r="L398" s="316" t="s">
        <v>3525</v>
      </c>
      <c r="M398" s="316" t="s">
        <v>3526</v>
      </c>
      <c r="N398" s="316" t="s">
        <v>3527</v>
      </c>
    </row>
    <row r="399" spans="1:47" ht="15.75" thickBot="1" x14ac:dyDescent="0.3">
      <c r="B399" s="323" t="s">
        <v>1705</v>
      </c>
      <c r="C399" s="326">
        <v>7.575757575757576E-2</v>
      </c>
      <c r="D399" s="327">
        <v>3.0303030303030304E-2</v>
      </c>
      <c r="E399" s="327">
        <v>3.0303030303030304E-2</v>
      </c>
      <c r="F399" s="327">
        <v>3.0303030303030304E-2</v>
      </c>
      <c r="G399" s="327">
        <v>3.0303030303030304E-2</v>
      </c>
      <c r="H399" s="327">
        <v>0.16666666666666666</v>
      </c>
      <c r="I399" s="327">
        <v>0.25757575757575757</v>
      </c>
      <c r="J399" s="327">
        <v>0.24242424242424243</v>
      </c>
      <c r="K399" s="327">
        <v>6.0606060606060608E-2</v>
      </c>
      <c r="L399" s="327">
        <v>3.0303030303030304E-2</v>
      </c>
      <c r="M399" s="327">
        <v>0.15151515151515152</v>
      </c>
      <c r="N399" s="328">
        <v>6.0606060606060608E-2</v>
      </c>
    </row>
    <row r="400" spans="1:47" ht="15.75" thickBot="1" x14ac:dyDescent="0.3">
      <c r="B400" s="325" t="s">
        <v>1711</v>
      </c>
      <c r="C400" s="329">
        <v>0.20512820512820512</v>
      </c>
      <c r="D400" s="330">
        <v>0.10256410256410256</v>
      </c>
      <c r="E400" s="330">
        <v>6.4102564102564097E-2</v>
      </c>
      <c r="F400" s="330">
        <v>0.11538461538461539</v>
      </c>
      <c r="G400" s="330">
        <v>0.10256410256410256</v>
      </c>
      <c r="H400" s="330">
        <v>0.46153846153846156</v>
      </c>
      <c r="I400" s="330">
        <v>0.5641025641025641</v>
      </c>
      <c r="J400" s="330">
        <v>0.5641025641025641</v>
      </c>
      <c r="K400" s="330">
        <v>0.10256410256410256</v>
      </c>
      <c r="L400" s="330">
        <v>6.4102564102564097E-2</v>
      </c>
      <c r="M400" s="330">
        <v>0.34615384615384615</v>
      </c>
      <c r="N400" s="331">
        <v>5.128205128205128E-2</v>
      </c>
    </row>
    <row r="401" spans="1:14" ht="15.75" thickBot="1" x14ac:dyDescent="0.3">
      <c r="B401" s="324" t="s">
        <v>1707</v>
      </c>
      <c r="C401" s="332">
        <v>0.53846153846153844</v>
      </c>
      <c r="D401" s="333">
        <v>0.39743589743589741</v>
      </c>
      <c r="E401" s="333">
        <v>0.33333333333333331</v>
      </c>
      <c r="F401" s="333">
        <v>0.30769230769230771</v>
      </c>
      <c r="G401" s="333">
        <v>0.35897435897435898</v>
      </c>
      <c r="H401" s="333">
        <v>0.66666666666666663</v>
      </c>
      <c r="I401" s="333">
        <v>0.75641025641025639</v>
      </c>
      <c r="J401" s="333">
        <v>0.74358974358974361</v>
      </c>
      <c r="K401" s="333">
        <v>0.28205128205128205</v>
      </c>
      <c r="L401" s="333">
        <v>0.26923076923076922</v>
      </c>
      <c r="M401" s="333">
        <v>0.53846153846153844</v>
      </c>
      <c r="N401" s="334">
        <v>0.16666666666666666</v>
      </c>
    </row>
    <row r="402" spans="1:14" ht="15.75" thickBot="1" x14ac:dyDescent="0.3">
      <c r="B402" s="325" t="s">
        <v>1708</v>
      </c>
      <c r="C402" s="329">
        <v>0.79746835443037978</v>
      </c>
      <c r="D402" s="330">
        <v>0.68354430379746833</v>
      </c>
      <c r="E402" s="330">
        <v>0.67088607594936711</v>
      </c>
      <c r="F402" s="330">
        <v>0.50632911392405067</v>
      </c>
      <c r="G402" s="330">
        <v>0.64556962025316456</v>
      </c>
      <c r="H402" s="330">
        <v>0.87341772151898733</v>
      </c>
      <c r="I402" s="330">
        <v>0.91139240506329111</v>
      </c>
      <c r="J402" s="330">
        <v>0.92405063291139244</v>
      </c>
      <c r="K402" s="330">
        <v>0.49367088607594939</v>
      </c>
      <c r="L402" s="330">
        <v>0.43037974683544306</v>
      </c>
      <c r="M402" s="330">
        <v>0.64556962025316456</v>
      </c>
      <c r="N402" s="331">
        <v>0.26582278481012656</v>
      </c>
    </row>
    <row r="403" spans="1:14" ht="15.75" thickBot="1" x14ac:dyDescent="0.3">
      <c r="B403" s="324" t="s">
        <v>1709</v>
      </c>
      <c r="C403" s="332">
        <v>0.97674418604651159</v>
      </c>
      <c r="D403" s="333">
        <v>0.97674418604651159</v>
      </c>
      <c r="E403" s="333">
        <v>0.90697674418604646</v>
      </c>
      <c r="F403" s="333">
        <v>0.7441860465116279</v>
      </c>
      <c r="G403" s="333">
        <v>0.90697674418604646</v>
      </c>
      <c r="H403" s="333">
        <v>1</v>
      </c>
      <c r="I403" s="333">
        <v>1</v>
      </c>
      <c r="J403" s="333">
        <v>1</v>
      </c>
      <c r="K403" s="333">
        <v>0.72093023255813948</v>
      </c>
      <c r="L403" s="333">
        <v>0.72093023255813948</v>
      </c>
      <c r="M403" s="333">
        <v>0.83720930232558144</v>
      </c>
      <c r="N403" s="334">
        <v>0.48837209302325579</v>
      </c>
    </row>
    <row r="404" spans="1:14" ht="15.75" thickBot="1" x14ac:dyDescent="0.3">
      <c r="B404" s="325" t="s">
        <v>1710</v>
      </c>
      <c r="C404" s="335">
        <v>1</v>
      </c>
      <c r="D404" s="336">
        <v>0.97777777777777775</v>
      </c>
      <c r="E404" s="336">
        <v>0.97777777777777775</v>
      </c>
      <c r="F404" s="336">
        <v>0.71111111111111114</v>
      </c>
      <c r="G404" s="336">
        <v>0.91111111111111109</v>
      </c>
      <c r="H404" s="336">
        <v>0.9555555555555556</v>
      </c>
      <c r="I404" s="336">
        <v>0.97777777777777775</v>
      </c>
      <c r="J404" s="336">
        <v>1</v>
      </c>
      <c r="K404" s="336">
        <v>0.84444444444444444</v>
      </c>
      <c r="L404" s="336">
        <v>0.77777777777777779</v>
      </c>
      <c r="M404" s="336">
        <v>0.82222222222222219</v>
      </c>
      <c r="N404" s="337">
        <v>0.28888888888888886</v>
      </c>
    </row>
    <row r="405" spans="1:14" ht="15" x14ac:dyDescent="0.25">
      <c r="B405" s="317"/>
    </row>
    <row r="406" spans="1:14" ht="13.5" thickBot="1" x14ac:dyDescent="0.25"/>
    <row r="407" spans="1:14" ht="30.75" thickBot="1" x14ac:dyDescent="0.3">
      <c r="B407" s="318" t="s">
        <v>3699</v>
      </c>
      <c r="C407" s="319" t="s">
        <v>3516</v>
      </c>
      <c r="D407" s="319" t="s">
        <v>3517</v>
      </c>
      <c r="E407" s="319" t="s">
        <v>3518</v>
      </c>
      <c r="F407" s="319" t="s">
        <v>3519</v>
      </c>
      <c r="G407" s="319" t="s">
        <v>3520</v>
      </c>
      <c r="H407" s="319" t="s">
        <v>3521</v>
      </c>
      <c r="I407" s="319" t="s">
        <v>3522</v>
      </c>
      <c r="J407" s="319" t="s">
        <v>3523</v>
      </c>
      <c r="K407" s="319" t="s">
        <v>3524</v>
      </c>
      <c r="L407" s="319" t="s">
        <v>3525</v>
      </c>
      <c r="M407" s="319" t="s">
        <v>3526</v>
      </c>
      <c r="N407" s="319" t="s">
        <v>3527</v>
      </c>
    </row>
    <row r="408" spans="1:14" ht="15.75" thickBot="1" x14ac:dyDescent="0.3">
      <c r="B408" s="323" t="s">
        <v>1705</v>
      </c>
      <c r="C408" s="326">
        <v>3.0303030303030304E-2</v>
      </c>
      <c r="D408" s="327">
        <v>1.5151515151515152E-2</v>
      </c>
      <c r="E408" s="327">
        <v>0</v>
      </c>
      <c r="F408" s="327">
        <v>3.0303030303030304E-2</v>
      </c>
      <c r="G408" s="327">
        <v>3.0303030303030304E-2</v>
      </c>
      <c r="H408" s="327">
        <v>7.575757575757576E-2</v>
      </c>
      <c r="I408" s="327">
        <v>0.18181818181818182</v>
      </c>
      <c r="J408" s="327">
        <v>0.25757575757575757</v>
      </c>
      <c r="K408" s="327">
        <v>0</v>
      </c>
      <c r="L408" s="327">
        <v>3.0303030303030304E-2</v>
      </c>
      <c r="M408" s="327">
        <v>0.13636363636363635</v>
      </c>
      <c r="N408" s="328">
        <v>6.0606060606060608E-2</v>
      </c>
    </row>
    <row r="409" spans="1:14" ht="15.75" thickBot="1" x14ac:dyDescent="0.3">
      <c r="B409" s="338" t="s">
        <v>1711</v>
      </c>
      <c r="C409" s="339">
        <v>0</v>
      </c>
      <c r="D409" s="340">
        <v>0</v>
      </c>
      <c r="E409" s="340">
        <v>2.564102564102564E-2</v>
      </c>
      <c r="F409" s="340">
        <v>5.128205128205128E-2</v>
      </c>
      <c r="G409" s="340">
        <v>0</v>
      </c>
      <c r="H409" s="340">
        <v>0.25641025641025639</v>
      </c>
      <c r="I409" s="340">
        <v>0.39743589743589741</v>
      </c>
      <c r="J409" s="340">
        <v>0.44871794871794873</v>
      </c>
      <c r="K409" s="340">
        <v>7.6923076923076927E-2</v>
      </c>
      <c r="L409" s="340">
        <v>5.128205128205128E-2</v>
      </c>
      <c r="M409" s="340">
        <v>0.24358974358974358</v>
      </c>
      <c r="N409" s="341">
        <v>3.8461538461538464E-2</v>
      </c>
    </row>
    <row r="410" spans="1:14" ht="15.75" thickBot="1" x14ac:dyDescent="0.3">
      <c r="B410" s="324" t="s">
        <v>1707</v>
      </c>
      <c r="C410" s="332">
        <v>1.282051282051282E-2</v>
      </c>
      <c r="D410" s="333">
        <v>1.282051282051282E-2</v>
      </c>
      <c r="E410" s="333">
        <v>2.564102564102564E-2</v>
      </c>
      <c r="F410" s="333">
        <v>8.9743589743589744E-2</v>
      </c>
      <c r="G410" s="333">
        <v>1.282051282051282E-2</v>
      </c>
      <c r="H410" s="333">
        <v>0.39743589743589741</v>
      </c>
      <c r="I410" s="333">
        <v>0.46153846153846156</v>
      </c>
      <c r="J410" s="333">
        <v>0.47435897435897434</v>
      </c>
      <c r="K410" s="333">
        <v>8.9743589743589744E-2</v>
      </c>
      <c r="L410" s="333">
        <v>1.282051282051282E-2</v>
      </c>
      <c r="M410" s="333">
        <v>0.35897435897435898</v>
      </c>
      <c r="N410" s="334">
        <v>0.10256410256410256</v>
      </c>
    </row>
    <row r="411" spans="1:14" ht="15.75" thickBot="1" x14ac:dyDescent="0.3">
      <c r="B411" s="338" t="s">
        <v>1708</v>
      </c>
      <c r="C411" s="339">
        <v>5.0632911392405063E-2</v>
      </c>
      <c r="D411" s="340">
        <v>5.0632911392405063E-2</v>
      </c>
      <c r="E411" s="340">
        <v>6.3291139240506333E-2</v>
      </c>
      <c r="F411" s="340">
        <v>6.3291139240506333E-2</v>
      </c>
      <c r="G411" s="340">
        <v>5.0632911392405063E-2</v>
      </c>
      <c r="H411" s="340">
        <v>0.59493670886075944</v>
      </c>
      <c r="I411" s="340">
        <v>0.55696202531645567</v>
      </c>
      <c r="J411" s="340">
        <v>0.620253164556962</v>
      </c>
      <c r="K411" s="340">
        <v>0.24050632911392406</v>
      </c>
      <c r="L411" s="340">
        <v>0.11392405063291139</v>
      </c>
      <c r="M411" s="340">
        <v>0.4050632911392405</v>
      </c>
      <c r="N411" s="341">
        <v>0.15189873417721519</v>
      </c>
    </row>
    <row r="412" spans="1:14" ht="15.75" thickBot="1" x14ac:dyDescent="0.3">
      <c r="B412" s="324" t="s">
        <v>1709</v>
      </c>
      <c r="C412" s="332">
        <v>2.3255813953488372E-2</v>
      </c>
      <c r="D412" s="333">
        <v>2.3255813953488372E-2</v>
      </c>
      <c r="E412" s="333">
        <v>6.9767441860465115E-2</v>
      </c>
      <c r="F412" s="333">
        <v>9.3023255813953487E-2</v>
      </c>
      <c r="G412" s="333">
        <v>2.3255813953488372E-2</v>
      </c>
      <c r="H412" s="333">
        <v>0.72093023255813948</v>
      </c>
      <c r="I412" s="333">
        <v>0.60465116279069764</v>
      </c>
      <c r="J412" s="333">
        <v>0.60465116279069764</v>
      </c>
      <c r="K412" s="333">
        <v>0.2558139534883721</v>
      </c>
      <c r="L412" s="333">
        <v>9.3023255813953487E-2</v>
      </c>
      <c r="M412" s="333">
        <v>0.48837209302325579</v>
      </c>
      <c r="N412" s="334">
        <v>0.20930232558139536</v>
      </c>
    </row>
    <row r="413" spans="1:14" ht="15.75" thickBot="1" x14ac:dyDescent="0.3">
      <c r="B413" s="338" t="s">
        <v>1710</v>
      </c>
      <c r="C413" s="342">
        <v>0.17777777777777778</v>
      </c>
      <c r="D413" s="343">
        <v>0.1111111111111111</v>
      </c>
      <c r="E413" s="343">
        <v>0.31111111111111112</v>
      </c>
      <c r="F413" s="343">
        <v>0.2</v>
      </c>
      <c r="G413" s="343">
        <v>0.15555555555555556</v>
      </c>
      <c r="H413" s="343">
        <v>0.55555555555555558</v>
      </c>
      <c r="I413" s="343">
        <v>0.46666666666666667</v>
      </c>
      <c r="J413" s="343">
        <v>0.55555555555555558</v>
      </c>
      <c r="K413" s="343">
        <v>0.37777777777777777</v>
      </c>
      <c r="L413" s="343">
        <v>0.26666666666666666</v>
      </c>
      <c r="M413" s="343">
        <v>0.46666666666666667</v>
      </c>
      <c r="N413" s="344">
        <v>6.6666666666666666E-2</v>
      </c>
    </row>
    <row r="415" spans="1:14" ht="15" x14ac:dyDescent="0.25">
      <c r="A415" s="369" t="s">
        <v>3736</v>
      </c>
    </row>
  </sheetData>
  <hyperlinks>
    <hyperlink ref="F1" location="'Table of Contents'!A1" display="Return to Table of Contents" xr:uid="{19CC4496-3F2E-4D23-B905-8AB4CA1097F0}"/>
  </hyperlinks>
  <pageMargins left="0.7" right="0.7" top="0.75" bottom="0.75" header="0.3" footer="0.3"/>
  <pageSetup orientation="portrait" horizontalDpi="1200" verticalDpi="12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A764501-2198-4E4D-9727-2B435402977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Table Of Contents</vt:lpstr>
      <vt:lpstr>Summary and Definitions</vt:lpstr>
      <vt:lpstr>COVID Statistics (ALL) </vt:lpstr>
      <vt:lpstr>Outlets, Hours and SqFt</vt:lpstr>
      <vt:lpstr>Collections</vt:lpstr>
      <vt:lpstr>Services</vt:lpstr>
      <vt:lpstr>Programs</vt:lpstr>
      <vt:lpstr>Technology</vt:lpstr>
      <vt:lpstr>Millages</vt:lpstr>
      <vt:lpstr>Operating Income</vt:lpstr>
      <vt:lpstr>Operating Expenditure</vt:lpstr>
      <vt:lpstr>Capital Income &amp; Expenditure</vt:lpstr>
      <vt:lpstr>Nonresident Fees</vt:lpstr>
      <vt:lpstr>Staffing</vt:lpstr>
      <vt:lpstr>Director's Salary</vt:lpstr>
      <vt:lpstr>Other Employees Salaries</vt:lpstr>
    </vt:vector>
  </TitlesOfParts>
  <Company>Counting Opinions (SQUIRE)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LM_Statistics Outlets, Hours, and SqFt</dc:title>
  <dc:creator>Counting Opinions (SQUIRE) Ltd.</dc:creator>
  <cp:lastModifiedBy>Joseph Hamlin</cp:lastModifiedBy>
  <dcterms:created xsi:type="dcterms:W3CDTF">2021-06-22T19:15:53Z</dcterms:created>
  <dcterms:modified xsi:type="dcterms:W3CDTF">2021-08-02T19:31:19Z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a2fed65-62e7-46ea-af74-187e0c17143a_Enabled">
    <vt:lpwstr>true</vt:lpwstr>
  </property>
  <property fmtid="{D5CDD505-2E9C-101B-9397-08002B2CF9AE}" pid="3" name="MSIP_Label_3a2fed65-62e7-46ea-af74-187e0c17143a_SetDate">
    <vt:lpwstr>2021-06-22T19:40:14Z</vt:lpwstr>
  </property>
  <property fmtid="{D5CDD505-2E9C-101B-9397-08002B2CF9AE}" pid="4" name="MSIP_Label_3a2fed65-62e7-46ea-af74-187e0c17143a_Method">
    <vt:lpwstr>Privileged</vt:lpwstr>
  </property>
  <property fmtid="{D5CDD505-2E9C-101B-9397-08002B2CF9AE}" pid="5" name="MSIP_Label_3a2fed65-62e7-46ea-af74-187e0c17143a_Name">
    <vt:lpwstr>3a2fed65-62e7-46ea-af74-187e0c17143a</vt:lpwstr>
  </property>
  <property fmtid="{D5CDD505-2E9C-101B-9397-08002B2CF9AE}" pid="6" name="MSIP_Label_3a2fed65-62e7-46ea-af74-187e0c17143a_SiteId">
    <vt:lpwstr>d5fb7087-3777-42ad-966a-892ef47225d1</vt:lpwstr>
  </property>
  <property fmtid="{D5CDD505-2E9C-101B-9397-08002B2CF9AE}" pid="7" name="MSIP_Label_3a2fed65-62e7-46ea-af74-187e0c17143a_ActionId">
    <vt:lpwstr>6f449fa4-3b88-45ea-86d1-2716a70d2007</vt:lpwstr>
  </property>
  <property fmtid="{D5CDD505-2E9C-101B-9397-08002B2CF9AE}" pid="8" name="MSIP_Label_3a2fed65-62e7-46ea-af74-187e0c17143a_ContentBits">
    <vt:lpwstr>0</vt:lpwstr>
  </property>
</Properties>
</file>