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PT PRIVATE\Tax Year 2021\Web Communications\TIFAs\"/>
    </mc:Choice>
  </mc:AlternateContent>
  <xr:revisionPtr revIDLastSave="0" documentId="13_ncr:1_{63CDB389-F51A-441A-B56C-8801C827F5D8}" xr6:coauthVersionLast="47" xr6:coauthVersionMax="47" xr10:uidLastSave="{00000000-0000-0000-0000-000000000000}"/>
  <bookViews>
    <workbookView xWindow="28680" yWindow="390" windowWidth="25440" windowHeight="15390" xr2:uid="{00000000-000D-0000-FFFF-FFFF00000000}"/>
  </bookViews>
  <sheets>
    <sheet name="TIFA - 2021 PPT REIMBURSEMENT" sheetId="1" r:id="rId1"/>
  </sheets>
  <definedNames>
    <definedName name="_xlnm._FilterDatabase" localSheetId="0" hidden="1">'TIFA - 2021 PPT REIMBURSEMENT'!$A$4:$D$260</definedName>
    <definedName name="_xlnm.Print_Titles" localSheetId="0">'TIFA - 2021 PPT REIMBURSEMENT'!$1:$4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1" i="1" l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</calcChain>
</file>

<file path=xl/sharedStrings.xml><?xml version="1.0" encoding="utf-8"?>
<sst xmlns="http://schemas.openxmlformats.org/spreadsheetml/2006/main" count="519" uniqueCount="320">
  <si>
    <t>October 2021 Distribution</t>
  </si>
  <si>
    <t>Tax Increment Financing Authorities (TIFAs)</t>
  </si>
  <si>
    <t>2021 PPT Reimbursements - October 2021</t>
  </si>
  <si>
    <t>Taxing Unit Name</t>
  </si>
  <si>
    <t>Taxing Unit Code</t>
  </si>
  <si>
    <t>County Location</t>
  </si>
  <si>
    <t>TOTAL</t>
  </si>
  <si>
    <t>ALLEGAN</t>
  </si>
  <si>
    <t>ALPENA</t>
  </si>
  <si>
    <t>ARENAC</t>
  </si>
  <si>
    <t>BARRY</t>
  </si>
  <si>
    <t>BAY</t>
  </si>
  <si>
    <t>BERRIEN</t>
  </si>
  <si>
    <t>BRANCH</t>
  </si>
  <si>
    <t>CALHOUN</t>
  </si>
  <si>
    <t>CHARLEVOIX</t>
  </si>
  <si>
    <t>CHIPPEWA</t>
  </si>
  <si>
    <t>CLARE</t>
  </si>
  <si>
    <t>CLINTON</t>
  </si>
  <si>
    <t>DELTA</t>
  </si>
  <si>
    <t>DICKINSON</t>
  </si>
  <si>
    <t>EATON</t>
  </si>
  <si>
    <t>EMMET</t>
  </si>
  <si>
    <t>GENESEE</t>
  </si>
  <si>
    <t>GLADWIN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</si>
  <si>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</si>
  <si>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</si>
  <si>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</si>
  <si>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</si>
  <si>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</si>
  <si>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</si>
  <si>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</si>
  <si>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</si>
  <si>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ISABELLA</t>
  </si>
  <si>
    <t>JACKSON</t>
  </si>
  <si>
    <t>KALAMAZOO</t>
  </si>
  <si>
    <t>KENT</t>
  </si>
  <si>
    <t>LAKE</t>
  </si>
  <si>
    <t>LAPEER</t>
  </si>
  <si>
    <t>LENAWEE</t>
  </si>
  <si>
    <t>LIVINGSTON</t>
  </si>
  <si>
    <t>MACOMB</t>
  </si>
  <si>
    <t>MANISTEE</t>
  </si>
  <si>
    <t>MASON</t>
  </si>
  <si>
    <t>MIDLAND</t>
  </si>
  <si>
    <t>MISSAUKEE</t>
  </si>
  <si>
    <t>MONROE</t>
  </si>
  <si>
    <t>MONTCALM</t>
  </si>
  <si>
    <t>MUSKEGON</t>
  </si>
  <si>
    <t>NEWAYGO</t>
  </si>
  <si>
    <t>OAKLAND</t>
  </si>
  <si>
    <t>OGEMAW</t>
  </si>
  <si>
    <t>OSCEOLA</t>
  </si>
  <si>
    <t>OTSEGO</t>
  </si>
  <si>
    <t>OTTAWA</t>
  </si>
  <si>
    <t>SAGINAW</t>
  </si>
  <si>
    <t>SAINT CLAIR</t>
  </si>
  <si>
    <t>SAINT JOSEPH</t>
  </si>
  <si>
    <t>SCHOOLCRAFT</t>
  </si>
  <si>
    <t>SHIAWASSEE</t>
  </si>
  <si>
    <t>VAN BUREN</t>
  </si>
  <si>
    <t>WASHTENAW</t>
  </si>
  <si>
    <t>WAYNE</t>
  </si>
  <si>
    <t>WEXFORD</t>
  </si>
  <si>
    <t>PLAINWELL CITY TIFA</t>
  </si>
  <si>
    <t>OTSEGO CITY DDA</t>
  </si>
  <si>
    <t>ALLEGAN CITY DDA</t>
  </si>
  <si>
    <t>PLAINWELL CITY DDA</t>
  </si>
  <si>
    <t>ALPENA CITY DDA</t>
  </si>
  <si>
    <t>AU GRES CITY TIFA</t>
  </si>
  <si>
    <t>MIDDLEVILLE VILLAGE LDFA</t>
  </si>
  <si>
    <t>HASTINGS CITY DDA</t>
  </si>
  <si>
    <t>HASTINGS CITY LDFA</t>
  </si>
  <si>
    <t>MIDDLEVILLE VILLAGE DDA</t>
  </si>
  <si>
    <t>BANGOR TOWNSHIP DDA</t>
  </si>
  <si>
    <t>BAY CITY CITY TIFA MARQUETTE STREET</t>
  </si>
  <si>
    <t>ESSEXVILLE CITY DDA</t>
  </si>
  <si>
    <t>LINCOLN TOWNSHIP BRFA</t>
  </si>
  <si>
    <t>NILES CITY DDA DISTRICT A</t>
  </si>
  <si>
    <t>NILES CITY DDA DISTRICT B</t>
  </si>
  <si>
    <t>COLDWATER CITY DDA #1</t>
  </si>
  <si>
    <t>BATTLE CREEK CITY TIFA PART 1 BATTLE CREEK PUBLIC SCHOOLS</t>
  </si>
  <si>
    <t>BATTLE CREEK CITY TIFA PART 2 LAKEVIEW SCHOOL DISTRICT</t>
  </si>
  <si>
    <t>MARSHALL CITY LDFA</t>
  </si>
  <si>
    <t>BATTLE CREEK CITY DDA PART 1 BATTLE CREEK PUBLIC SCHOOLS</t>
  </si>
  <si>
    <t>BATTLE CREEK CITY DDA PART 2 LAKEVIEW SCHOOL DISTRICT</t>
  </si>
  <si>
    <t>BATTLE CREEK CITY BRFA RECONSERVE OF MICHIGAN, INC.</t>
  </si>
  <si>
    <t>BATTLE CREEK CITY BRFA TODA</t>
  </si>
  <si>
    <t>ALBION CITY TIFA</t>
  </si>
  <si>
    <t>MARSHALL CITY DDA</t>
  </si>
  <si>
    <t>EAST JORDAN CITY DDA</t>
  </si>
  <si>
    <t>CHARLEVOIX CITY DDA</t>
  </si>
  <si>
    <t>SAULT STE. MARIE CITY TIFA #1</t>
  </si>
  <si>
    <t>SAULT STE. MARIE CITY TIFA #2</t>
  </si>
  <si>
    <t>SAULT STE. MARIE CITY TIFA #3</t>
  </si>
  <si>
    <t>CLARE CITY DDA</t>
  </si>
  <si>
    <t>DEWITT CITY DDA</t>
  </si>
  <si>
    <t>ESCANABA CITY DDA</t>
  </si>
  <si>
    <t>NORWAY CITY DDA</t>
  </si>
  <si>
    <t>POTTERVILLE CITY TIFA</t>
  </si>
  <si>
    <t>EATON RAPIDS CITY LDFA</t>
  </si>
  <si>
    <t>GRAND LEDGE CITY DDA</t>
  </si>
  <si>
    <t>EATON RAPIDS CITY TIFA #1</t>
  </si>
  <si>
    <t>PETOSKEY CITY TIFA #1</t>
  </si>
  <si>
    <t>MONTROSE CITY DDA</t>
  </si>
  <si>
    <t>FENTON CITY LDFA</t>
  </si>
  <si>
    <t>VIENNA TOWNSHIP TIFA CLIO AREA SCHOOL DISTRICT</t>
  </si>
  <si>
    <t>VIENNA TOWNSHIP TIFA MT MORRIS CONSOLIDATED SCHOOLS</t>
  </si>
  <si>
    <t>GLADWIN CITY DDA</t>
  </si>
  <si>
    <t>BEAVERTON CITY DDA</t>
  </si>
  <si>
    <t>TRAVERSE CITY CITY DDA TIF 97</t>
  </si>
  <si>
    <t>GREEN LAKE TOWNSHIP DDA</t>
  </si>
  <si>
    <t>GRATIOT COUNTY BRFA STAD, INC.</t>
  </si>
  <si>
    <t>JONESVILLE CITY LDFA</t>
  </si>
  <si>
    <t>JONESVILLE CITY DDA</t>
  </si>
  <si>
    <t>HILLSDALE CITY TIFA</t>
  </si>
  <si>
    <t>LITCHFIELD CITY TIFA</t>
  </si>
  <si>
    <t>HOUGHTON CITY DDA</t>
  </si>
  <si>
    <t>BAD AXE CITY TIFA</t>
  </si>
  <si>
    <t>MASON CITY LDFA</t>
  </si>
  <si>
    <t>MASON CITY LDFA MI PKG</t>
  </si>
  <si>
    <t>MASON CITY LDFA SSAB</t>
  </si>
  <si>
    <t>MASON CITY DDA</t>
  </si>
  <si>
    <t>WILLIAMSTON CITY TIFA 2B</t>
  </si>
  <si>
    <t>PORTLAND CITY DDA</t>
  </si>
  <si>
    <t>EAST TAWAS CITY TIFA</t>
  </si>
  <si>
    <t>UNION TOWNSHIP DDA EAST DDA</t>
  </si>
  <si>
    <t>UNION TOWNSHIP DDA WEST DDA</t>
  </si>
  <si>
    <t>MOUNT PLEASANT CITY DDA MISSION STREET</t>
  </si>
  <si>
    <t>MOUNT PLEASANT CITY BRFA #9 PICKARD STREET</t>
  </si>
  <si>
    <t>PARMA VILLAGE LDFA</t>
  </si>
  <si>
    <t>BLACKMAN TOWNSHIP LDFA PART 1 ORIGINAL</t>
  </si>
  <si>
    <t>BLACKMAN TOWNSHIP LDFA PART 2 EXTENSION</t>
  </si>
  <si>
    <t>BLACKMAN TOWNSHIP LDFA SMARTZONE</t>
  </si>
  <si>
    <t>BLACKMAN TOWNSHIP DDA PART 1 ORIGINAL NORTHWEST COMMUNITY SCHOOLS</t>
  </si>
  <si>
    <t>JACKSON CITY DDA</t>
  </si>
  <si>
    <t>LEONI TOWNSHIP DDA ORIGINAL</t>
  </si>
  <si>
    <t>LEONI TOWNSHIP DDA EXTENSION</t>
  </si>
  <si>
    <t>PORTAGE CITY LDFA</t>
  </si>
  <si>
    <t>PORTAGE CITY DDA</t>
  </si>
  <si>
    <t>GRAND RAPIDS CITY LDFA SMART ZONE DOWNTOWN NO OVERLAP</t>
  </si>
  <si>
    <t>GRAND RAPIDS CITY LDFA SMART ZONE DOWNTOWN MONROE NORTH OVERLAP</t>
  </si>
  <si>
    <t>GRAND RAPIDS CITY TIFA MONROE NORTH</t>
  </si>
  <si>
    <t>GRAND RAPIDS CITY BRFA CHARTER DEVELOPMENT</t>
  </si>
  <si>
    <t>GRAND RAPIDS CITY BRFA FRONT STREET</t>
  </si>
  <si>
    <t>GRAND RAPIDS CITY BRFA MEIJER</t>
  </si>
  <si>
    <t>GRAND RAPIDS CITY BRFA MICHIGAN STREET DEVELOPMENT</t>
  </si>
  <si>
    <t>GRAND RAPIDS CITY BRFA THIRD COAST</t>
  </si>
  <si>
    <t>GRANDVILLE CITY DDA</t>
  </si>
  <si>
    <t>ADA TOWNSHIP DDA</t>
  </si>
  <si>
    <t>WYOMING CITY DDA #1 WYOMING SCHOOL DISTRICT</t>
  </si>
  <si>
    <t>KENTWOOD CITY BRFA 28TH STREET</t>
  </si>
  <si>
    <t>PLAINFIELD TOWNSHIP CIA</t>
  </si>
  <si>
    <t>PLAINFIELD TOWNSHIP DDA</t>
  </si>
  <si>
    <t>BALDWIN VILLAGE DDA PART 1 PLEASANT PLAINS TOWNSHIP</t>
  </si>
  <si>
    <t>BALDWIN VILLAGE DDA PART 2 WEBBER TOWNSHIP</t>
  </si>
  <si>
    <t>LAPEER CITY TIFA #1</t>
  </si>
  <si>
    <t>LAPEER CITY TIFA #2</t>
  </si>
  <si>
    <t>LAPEER CITY BRFA</t>
  </si>
  <si>
    <t>LAPEER CITY DDA</t>
  </si>
  <si>
    <t>LAPEER CITY LDFA</t>
  </si>
  <si>
    <t>CLIFFORD VILLAGE DDA</t>
  </si>
  <si>
    <t>METAMORA VILLAGE DDA</t>
  </si>
  <si>
    <t>NORTH BRANCH VILLAGE DDA</t>
  </si>
  <si>
    <t>ALMONT VILLAGE DDA</t>
  </si>
  <si>
    <t>COLUMBIAVILLE VILLAGE DDA</t>
  </si>
  <si>
    <t>TECUMSEH CITY DDA</t>
  </si>
  <si>
    <t>BLISSFIELD VILLAGE DDA</t>
  </si>
  <si>
    <t>FOWLERVILLE VILLAGE LDFA</t>
  </si>
  <si>
    <t>BRIGHTON CITY DDA #1</t>
  </si>
  <si>
    <t>BRIGHTON CITY DDA #2</t>
  </si>
  <si>
    <t>HOWELL CITY DDA #1</t>
  </si>
  <si>
    <t>FOWLERVILLE VILLAGE DDA</t>
  </si>
  <si>
    <t>PINCKNEY VILLAGE DDA</t>
  </si>
  <si>
    <t>WARREN CITY TIFA</t>
  </si>
  <si>
    <t>WARREN CITY DDA CENTER LINE PUBLIC SCHOOLS</t>
  </si>
  <si>
    <t>WARREN CITY DDA WARREN CONSOLIDATED SCHOOLS</t>
  </si>
  <si>
    <t>ROMEO VILLAGE DDA PART 1 BRUCE TOWNSHIP</t>
  </si>
  <si>
    <t>ROMEO VILLAGE DDA PART 2 WASHINGTON TOWNSHIP</t>
  </si>
  <si>
    <t>MANISTEE CITY DDA</t>
  </si>
  <si>
    <t>FILER TOWNSHIP DDA</t>
  </si>
  <si>
    <t>LUDINGTON CITY DDA</t>
  </si>
  <si>
    <t>MIDLAND CITY DDA</t>
  </si>
  <si>
    <t>MCBAIN CITY TIFA</t>
  </si>
  <si>
    <t>MCBAIN CITY DDA</t>
  </si>
  <si>
    <t>DUNDEE VILLAGE LDFA #3</t>
  </si>
  <si>
    <t>DUNDEE VILLAGE DDA</t>
  </si>
  <si>
    <t>MONROE CITY DDA</t>
  </si>
  <si>
    <t>MONROE CITY BRFA 4 - MASON RUN</t>
  </si>
  <si>
    <t>MONROE CITY BRFA 20 - VENTOWER</t>
  </si>
  <si>
    <t>MONROE CITY BRFA 22 - EYE SURGEONS</t>
  </si>
  <si>
    <t>DUNDEE VILLAGE BRFA</t>
  </si>
  <si>
    <t>GREENVILLE CITY DDA</t>
  </si>
  <si>
    <t>WHITEHALL CITY LDFA</t>
  </si>
  <si>
    <t>WHITEHALL CITY TIFA</t>
  </si>
  <si>
    <t>MUSKEGON CITY LDFA LDFA III SMARTZONE</t>
  </si>
  <si>
    <t>MUSKEGON CITY BRFA BETTEN</t>
  </si>
  <si>
    <t>MUSKEGON CITY BRFA FORMER MALL</t>
  </si>
  <si>
    <t>MONTAGUE CITY DDA</t>
  </si>
  <si>
    <t>ROOSEVELT PARK CITY DDA</t>
  </si>
  <si>
    <t>MUSKEGON CITY TIFA T1 HOTEL</t>
  </si>
  <si>
    <t>NEWAYGO CITY TIFA</t>
  </si>
  <si>
    <t>PONTIAC CITY TIFA #2 PART 1 (64-T2-PONT-1981)</t>
  </si>
  <si>
    <t>PONTIAC CITY TIFA #3 PART 1 (64-T3-PONT-1986)</t>
  </si>
  <si>
    <t>FARMINGTON CITY DDA</t>
  </si>
  <si>
    <t>WALLED LAKE CITY DDA</t>
  </si>
  <si>
    <t>COMMERCE TOWNSHIP DDA</t>
  </si>
  <si>
    <t>MADISON HEIGHTS CITY DDA MADISON PUBLIC SCHOOLS</t>
  </si>
  <si>
    <t>MADISON HEIGHTS CITY DDA ROYAL OAK SCHOOL DISTRICT</t>
  </si>
  <si>
    <t>MILFORD VILLAGE DDA</t>
  </si>
  <si>
    <t>HIGHLAND TOWNSHIP DDA</t>
  </si>
  <si>
    <t>AUBURN HILLS CITY TIFA TIFA A (02-T1-AVON-1984)</t>
  </si>
  <si>
    <t>AUBURN HILLS CITY TIFA TIFA A (02-T2-PONT-1984)</t>
  </si>
  <si>
    <t>AUBURN HILLS CITY TIFA TIFA B (02-T1-PONT-1984)</t>
  </si>
  <si>
    <t>AUBURN HILLS CITY TIFA TIFA D (02-T3-PONT-1986)</t>
  </si>
  <si>
    <t>AUBURN HILLS CITY BRFA BROWN ROAD GROUP (02-B1-PONT-2002)</t>
  </si>
  <si>
    <t>LAKE ORION VILLAGE DDA</t>
  </si>
  <si>
    <t>OXFORD VILLAGE DDA</t>
  </si>
  <si>
    <t>ROCHESTER CITY DDA</t>
  </si>
  <si>
    <t>HOLLY VILLAGE DDA</t>
  </si>
  <si>
    <t>INDEPENDENCE TOWNSHIP CIA SASHABAW ROAD</t>
  </si>
  <si>
    <t>LAKE ORION VILLAGE BRFA #1</t>
  </si>
  <si>
    <t>ORTONVILLE VILLAGE DDA</t>
  </si>
  <si>
    <t>PLEASANT RIDGE CITY DDA</t>
  </si>
  <si>
    <t>ROCHESTER HILLS CITY LDFA PART 1 ROCHESTER SCHOOL DISTRICT</t>
  </si>
  <si>
    <t>ROCHESTER HILLS CITY LDFA PART 2 AVONDALE SCHOOL DISTRICT</t>
  </si>
  <si>
    <t>OGEMAW TOWNSHIP DDA</t>
  </si>
  <si>
    <t>ROSE CITY DDA</t>
  </si>
  <si>
    <t>WEST BRANCH CITY DDA PART 1 ORIGINAL</t>
  </si>
  <si>
    <t>WEST BRANCH CITY DDA PART 2 EXTENSION</t>
  </si>
  <si>
    <t>RICHMOND TOWNSHIP DDA</t>
  </si>
  <si>
    <t>EVART CITY DDA #1</t>
  </si>
  <si>
    <t>GAYLORD CITY DDA</t>
  </si>
  <si>
    <t>HOLLAND CITY BRFA BAKER LOFTS</t>
  </si>
  <si>
    <t>HOLLAND CITY BRFA SCRAP YARD LOFTS</t>
  </si>
  <si>
    <t>GRAND HAVEN TOWNSHIP DDA</t>
  </si>
  <si>
    <t>ALLENDALE TOWNSHIP DDA A11</t>
  </si>
  <si>
    <t>CROCKERY TOWNSHIP CIA SPRING LAKE PUBLIC SCHOOLS</t>
  </si>
  <si>
    <t>BUENA VISTA TOWNSHIP DDA</t>
  </si>
  <si>
    <t>BRIDGEPORT TOWNSHIP DDA</t>
  </si>
  <si>
    <t>BIRCH RUN VILLAGE DDA</t>
  </si>
  <si>
    <t>YALE CITY DDA</t>
  </si>
  <si>
    <t>PORT HURON CITY DDA EDISON REDEVELOPMENT</t>
  </si>
  <si>
    <t>PORT HURON CITY DDA TIMES HERALD / CROSS POINTE</t>
  </si>
  <si>
    <t>PORT HURON CITY BRFA #11 SOUTHSIDE</t>
  </si>
  <si>
    <t>PORT HURON CITY BRFA #13</t>
  </si>
  <si>
    <t>PORT HURON CITY LDFA INDUSTRIAL PARK EXPANSION</t>
  </si>
  <si>
    <t>YALE CITY LDFA</t>
  </si>
  <si>
    <t>THREE RIVERS CITY LDFA INDUSTRIAL DEV AUTHORITY 1</t>
  </si>
  <si>
    <t>THREE RIVERS CITY DDA DISTRICT 1</t>
  </si>
  <si>
    <t>THREE RIVERS CITY DDA DISTRICT 2</t>
  </si>
  <si>
    <t>STURGIS CITY DDA #1</t>
  </si>
  <si>
    <t>CONSTANTINE VILLAGE DDA</t>
  </si>
  <si>
    <t>STURGIS CITY LDFA #1</t>
  </si>
  <si>
    <t>MANISTIQUE CITY DDA</t>
  </si>
  <si>
    <t>OWOSSO CITY DDA</t>
  </si>
  <si>
    <t>OWOSSO CITY BRFA #03 TIAL PRODUCTS</t>
  </si>
  <si>
    <t>OWOSSO CITY BRFA #11 CAPITOL BOWL</t>
  </si>
  <si>
    <t>OWOSSO CITY BRFA #12 WOODARD STATION</t>
  </si>
  <si>
    <t>DURAND CITY DDA DDA/DDA AMEND 2008</t>
  </si>
  <si>
    <t>PERRY TOWNSHIP DDA #1 MORRICE AREA SCHOOLS</t>
  </si>
  <si>
    <t>PERRY TOWNSHIP DDA #1 PERRY PUBLIC SCHOOLS</t>
  </si>
  <si>
    <t>PERRY TOWNSHIP DDA #2 MORRICE AREA SCHOOLS</t>
  </si>
  <si>
    <t>MORRICE VILLAGE DDA #1</t>
  </si>
  <si>
    <t>SOUTH HAVEN CITY DDA #1</t>
  </si>
  <si>
    <t>SOUTH HAVEN CITY DDA #2</t>
  </si>
  <si>
    <t>SOUTH HAVEN CITY LDFA #1</t>
  </si>
  <si>
    <t>SOUTH HAVEN CITY LDFA #2</t>
  </si>
  <si>
    <t>SOUTH HAVEN CITY LDFA #3</t>
  </si>
  <si>
    <t>SALINE CITY LDFA #1</t>
  </si>
  <si>
    <t>SALINE CITY LDFA #2</t>
  </si>
  <si>
    <t>CHELSEA CITY DDA</t>
  </si>
  <si>
    <t>YPSILANTI CITY DDA DOWNTOWN PART 2 83 MICHIGAN AVE</t>
  </si>
  <si>
    <t>YPSILANTI CITY DDA DOWNTOWN PART 3 DOWNTOWN DISTRICT</t>
  </si>
  <si>
    <t>YPSILANTI CITY DDA WEST CROSS</t>
  </si>
  <si>
    <t>DEXTER CITY DDA</t>
  </si>
  <si>
    <t>SCIO TOWNSHIP DDA ANN ARBOR PUBLIC SCHOOLS</t>
  </si>
  <si>
    <t>SCIO TOWNSHIP DDA DEXTER COMMUNITY SCHOOL DISTRICT</t>
  </si>
  <si>
    <t>SALINE CITY TIFA</t>
  </si>
  <si>
    <t>DETROIT CITY LDFA CHRYSLER</t>
  </si>
  <si>
    <t>TAYLOR CITY TIFA</t>
  </si>
  <si>
    <t>WYANDOTTE CITY TIFA</t>
  </si>
  <si>
    <t>WESTLAND CITY TIFA LIVONIA PUBLIC SCHOOLS SCHOOL DISTRICT</t>
  </si>
  <si>
    <t>WESTLAND CITY TIFA WAYNE-WESTLAND SCHOOL DISTRICT</t>
  </si>
  <si>
    <t>FLAT ROCK CITY TIFA PART 1 FLAT ROCK COMMUNITY SCHOOLS</t>
  </si>
  <si>
    <t>FLAT ROCK CITY TIFA PART 2 GIBRALTAR SCHOOL DISTRICT</t>
  </si>
  <si>
    <t>HURON TOWNSHIP LDFA</t>
  </si>
  <si>
    <t>DEARBORN HEIGHTS CITY TIFA PART 1 TAYLOR SCHOOL DISTRICT</t>
  </si>
  <si>
    <t>DEARBORN HEIGHTS CITY TIFA PART 1 WESTWOOD COMMUNITY SCHOOL DISTRICT</t>
  </si>
  <si>
    <t>WESTLAND CITY LDFA #1</t>
  </si>
  <si>
    <t>PLYMOUTH CITY DDA</t>
  </si>
  <si>
    <t>TRENTON CITY DDA DDA #1 (1996)</t>
  </si>
  <si>
    <t>ALLEN PARK CITY DDA ALLEN PARK SCHOOL DISTRICT</t>
  </si>
  <si>
    <t>ALLEN PARK CITY DDA MELVINDALE SCHOOL DISTRICT</t>
  </si>
  <si>
    <t>WYANDOTTE CITY DDA</t>
  </si>
  <si>
    <t>NORTHVILLE CITY DDA</t>
  </si>
  <si>
    <t>WESTLAND CITY DDA</t>
  </si>
  <si>
    <t>DEARBORN CITY BRFA #7 REDICO</t>
  </si>
  <si>
    <t>DEARBORN CITY BRFA #9 AK STEEL (FKA SEVERSTAL)</t>
  </si>
  <si>
    <t>DEARBORN CITY DDA EAST</t>
  </si>
  <si>
    <t>FLAT ROCK CITY DDA PART 1 FLAT ROCK COMMUNITY SCHOOLS</t>
  </si>
  <si>
    <t>FLAT ROCK CITY DDA PART 2 WOODHAVEN-BROWNSTOWN SCHOOL DISTRICT</t>
  </si>
  <si>
    <t>VAN BUREN TOWNSHIP LDFA</t>
  </si>
  <si>
    <t>PLYMOUTH TOWNSHIP DDA</t>
  </si>
  <si>
    <t>REDFORD TOWNSHIP BRFA STEEL INDUSTRIES</t>
  </si>
  <si>
    <t>DETROIT CITY BRFA 4830 CASS AVENUE</t>
  </si>
  <si>
    <t>DETROIT CITY BRFA AUTO BODY ONE</t>
  </si>
  <si>
    <t>DETROIT CITY BRFA CANFIELD LOFTS</t>
  </si>
  <si>
    <t>DETROIT CITY BRFA I-94 AREA</t>
  </si>
  <si>
    <t>DETROIT CITY BRFA MACK ALTER NORTH</t>
  </si>
  <si>
    <t>DETROIT CITY BRFA MACK ALTER SOUTH</t>
  </si>
  <si>
    <t>DETROIT CITY BRFA S UNIVERSITY VILLAGE</t>
  </si>
  <si>
    <t>GARDEN CITY DDA</t>
  </si>
  <si>
    <t>WAYNE CITY TIFA TIFA #1 1981</t>
  </si>
  <si>
    <t>WESTLAND CITY BRFA MJR</t>
  </si>
  <si>
    <t>BELLEVILLE CITY DDA #1</t>
  </si>
  <si>
    <t>GROSSE POINTE PARK CITY DDA</t>
  </si>
  <si>
    <t>GROSSE POINTE PARK CITY TIFA</t>
  </si>
  <si>
    <t>RIVER ROUGE CITY DDA</t>
  </si>
  <si>
    <t>CLAM LAKE TOWNSHIP DDA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</si>
</sst>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</borders>
  <cellStyleXfs count="4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5">
    <xf numFmtId="0" fontId="0" fillId="0" borderId="0" xfId="0"/>
    <xf numFmtId="0" fontId="19" fillId="0" borderId="0" xfId="0" applyFont="1" applyAlignment="1">
      <alignment horizontal="centerContinuous"/>
    </xf>
    <xf numFmtId="0" fontId="19" fillId="0" borderId="0" xfId="0" applyFont="1"/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" vertical="center"/>
    </xf>
    <xf numFmtId="0" fontId="22" fillId="35" borderId="11" xfId="0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1" fillId="33" borderId="13" xfId="0" applyFont="1" applyFill="1" applyBorder="1"/>
    <xf numFmtId="44" fontId="1" fillId="33" borderId="14" xfId="1" applyNumberFormat="1" applyFont="1" applyFill="1" applyBorder="1"/>
    <xf numFmtId="0" fontId="1" fillId="0" borderId="15" xfId="0" applyFont="1" applyBorder="1"/>
    <xf numFmtId="44" fontId="1" fillId="0" borderId="16" xfId="1" applyNumberFormat="1" applyFont="1" applyBorder="1"/>
    <xf numFmtId="0" fontId="1" fillId="33" borderId="15" xfId="0" applyFont="1" applyFill="1" applyBorder="1"/>
    <xf numFmtId="44" fontId="1" fillId="33" borderId="16" xfId="1" applyNumberFormat="1" applyFont="1" applyFill="1" applyBorder="1"/>
    <xf numFmtId="0" fontId="22" fillId="0" borderId="17" xfId="0" applyFont="1" applyBorder="1"/>
    <xf numFmtId="44" fontId="22" fillId="0" borderId="10" xfId="0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1"/>
  <sheetViews>
    <sheetView tabSelected="1" workbookViewId="0">
      <pane ySplit="4" topLeftCell="A5" activePane="bottomLeft" state="frozen"/>
      <selection pane="bottomLeft"/>
    </sheetView>
  </sheetViews>
  <sheetFormatPr defaultColWidth="9.109375" defaultRowHeight="15.6" x14ac:dyDescent="0.3"/>
  <cols>
    <col min="1" max="1" width="67" style="2" customWidth="1"/>
    <col min="2" max="2" width="20" style="2" bestFit="1" customWidth="1"/>
    <col min="3" max="3" width="21.109375" style="2" customWidth="1"/>
    <col min="4" max="4" width="19.44140625" style="2" customWidth="1"/>
    <col min="5" max="16384" width="9.109375" style="2"/>
  </cols>
  <sheetData>
    <row r="1" spans="1:4" ht="18" x14ac:dyDescent="0.35">
      <c r="A1" s="3" t="s">
        <v>1</v>
      </c>
      <c r="B1" s="1"/>
      <c r="C1" s="1"/>
      <c r="D1" s="1"/>
    </row>
    <row r="2" spans="1:4" ht="18" x14ac:dyDescent="0.35">
      <c r="A2" s="3" t="s">
        <v>2</v>
      </c>
      <c r="B2" s="1"/>
      <c r="C2" s="1"/>
      <c r="D2" s="1"/>
    </row>
    <row r="4" spans="1:4" s="4" customFormat="1" ht="30" customHeight="1" x14ac:dyDescent="0.3">
      <c r="A4" s="5" t="s">
        <v>3</v>
      </c>
      <c r="B4" s="5" t="s">
        <v>4</v>
      </c>
      <c r="C4" s="5" t="s">
        <v>5</v>
      </c>
      <c r="D4" s="6" t="s">
        <v>0</v>
      </c>
    </row>
    <row r="5" spans="1:4" x14ac:dyDescent="0.3">
      <c r="A5" s="7" t="s">
        <v>64</v>
      </c>
      <c r="B5" s="7" t="str">
        <f>"037503"</f>
        <v>037503</v>
      </c>
      <c r="C5" s="7" t="s">
        <v>7</v>
      </c>
      <c r="D5" s="8">
        <v>85614.96</v>
      </c>
    </row>
    <row r="6" spans="1:4" x14ac:dyDescent="0.3">
      <c r="A6" s="9" t="s">
        <v>65</v>
      </c>
      <c r="B6" s="9" t="str">
        <f>"037509"</f>
        <v>037509</v>
      </c>
      <c r="C6" s="9" t="s">
        <v>7</v>
      </c>
      <c r="D6" s="10">
        <v>256587.47</v>
      </c>
    </row>
    <row r="7" spans="1:4" x14ac:dyDescent="0.3">
      <c r="A7" s="11" t="s">
        <v>66</v>
      </c>
      <c r="B7" s="11" t="str">
        <f>"037524"</f>
        <v>037524</v>
      </c>
      <c r="C7" s="11" t="s">
        <v>7</v>
      </c>
      <c r="D7" s="12">
        <v>123912.46</v>
      </c>
    </row>
    <row r="8" spans="1:4" x14ac:dyDescent="0.3">
      <c r="A8" s="9" t="s">
        <v>67</v>
      </c>
      <c r="B8" s="9" t="str">
        <f>"037527"</f>
        <v>037527</v>
      </c>
      <c r="C8" s="9" t="s">
        <v>7</v>
      </c>
      <c r="D8" s="10">
        <v>7236.32</v>
      </c>
    </row>
    <row r="9" spans="1:4" x14ac:dyDescent="0.3">
      <c r="A9" s="11" t="s">
        <v>68</v>
      </c>
      <c r="B9" s="11" t="str">
        <f>"047510"</f>
        <v>047510</v>
      </c>
      <c r="C9" s="11" t="s">
        <v>8</v>
      </c>
      <c r="D9" s="12">
        <v>5228.97</v>
      </c>
    </row>
    <row r="10" spans="1:4" x14ac:dyDescent="0.3">
      <c r="A10" s="9" t="s">
        <v>69</v>
      </c>
      <c r="B10" s="9" t="str">
        <f>"067504"</f>
        <v>067504</v>
      </c>
      <c r="C10" s="9" t="s">
        <v>9</v>
      </c>
      <c r="D10" s="10">
        <v>48174.26</v>
      </c>
    </row>
    <row r="11" spans="1:4" x14ac:dyDescent="0.3">
      <c r="A11" s="11" t="s">
        <v>70</v>
      </c>
      <c r="B11" s="11" t="str">
        <f>"087515"</f>
        <v>087515</v>
      </c>
      <c r="C11" s="11" t="s">
        <v>10</v>
      </c>
      <c r="D11" s="12">
        <v>402610.96</v>
      </c>
    </row>
    <row r="12" spans="1:4" x14ac:dyDescent="0.3">
      <c r="A12" s="9" t="s">
        <v>71</v>
      </c>
      <c r="B12" s="9" t="str">
        <f>"087516"</f>
        <v>087516</v>
      </c>
      <c r="C12" s="9" t="s">
        <v>10</v>
      </c>
      <c r="D12" s="10">
        <v>51844.62</v>
      </c>
    </row>
    <row r="13" spans="1:4" x14ac:dyDescent="0.3">
      <c r="A13" s="11" t="s">
        <v>72</v>
      </c>
      <c r="B13" s="11" t="str">
        <f>"087517"</f>
        <v>087517</v>
      </c>
      <c r="C13" s="11" t="s">
        <v>10</v>
      </c>
      <c r="D13" s="12">
        <v>46729.05</v>
      </c>
    </row>
    <row r="14" spans="1:4" x14ac:dyDescent="0.3">
      <c r="A14" s="9" t="s">
        <v>73</v>
      </c>
      <c r="B14" s="9" t="str">
        <f>"087518"</f>
        <v>087518</v>
      </c>
      <c r="C14" s="9" t="s">
        <v>10</v>
      </c>
      <c r="D14" s="10">
        <v>919.72</v>
      </c>
    </row>
    <row r="15" spans="1:4" x14ac:dyDescent="0.3">
      <c r="A15" s="11" t="s">
        <v>74</v>
      </c>
      <c r="B15" s="11" t="str">
        <f>"097504"</f>
        <v>097504</v>
      </c>
      <c r="C15" s="11" t="s">
        <v>11</v>
      </c>
      <c r="D15" s="12">
        <v>3774.32</v>
      </c>
    </row>
    <row r="16" spans="1:4" x14ac:dyDescent="0.3">
      <c r="A16" s="9" t="s">
        <v>75</v>
      </c>
      <c r="B16" s="9" t="str">
        <f>"097506-B"</f>
        <v>097506-B</v>
      </c>
      <c r="C16" s="9" t="s">
        <v>11</v>
      </c>
      <c r="D16" s="10">
        <v>237946.77</v>
      </c>
    </row>
    <row r="17" spans="1:4" x14ac:dyDescent="0.3">
      <c r="A17" s="11" t="s">
        <v>76</v>
      </c>
      <c r="B17" s="11" t="str">
        <f>"097529"</f>
        <v>097529</v>
      </c>
      <c r="C17" s="11" t="s">
        <v>11</v>
      </c>
      <c r="D17" s="12">
        <v>26713.91</v>
      </c>
    </row>
    <row r="18" spans="1:4" x14ac:dyDescent="0.3">
      <c r="A18" s="9" t="s">
        <v>77</v>
      </c>
      <c r="B18" s="9" t="str">
        <f>"117545"</f>
        <v>117545</v>
      </c>
      <c r="C18" s="9" t="s">
        <v>12</v>
      </c>
      <c r="D18" s="10">
        <v>27835.84</v>
      </c>
    </row>
    <row r="19" spans="1:4" x14ac:dyDescent="0.3">
      <c r="A19" s="11" t="s">
        <v>78</v>
      </c>
      <c r="B19" s="11" t="str">
        <f>"117546-A"</f>
        <v>117546-A</v>
      </c>
      <c r="C19" s="11" t="s">
        <v>12</v>
      </c>
      <c r="D19" s="12">
        <v>7237.07</v>
      </c>
    </row>
    <row r="20" spans="1:4" x14ac:dyDescent="0.3">
      <c r="A20" s="9" t="s">
        <v>79</v>
      </c>
      <c r="B20" s="9" t="str">
        <f>"117546-B"</f>
        <v>117546-B</v>
      </c>
      <c r="C20" s="9" t="s">
        <v>12</v>
      </c>
      <c r="D20" s="10">
        <v>3969.38</v>
      </c>
    </row>
    <row r="21" spans="1:4" x14ac:dyDescent="0.3">
      <c r="A21" s="11" t="s">
        <v>80</v>
      </c>
      <c r="B21" s="11" t="str">
        <f>"127504"</f>
        <v>127504</v>
      </c>
      <c r="C21" s="11" t="s">
        <v>13</v>
      </c>
      <c r="D21" s="12">
        <v>1549.61</v>
      </c>
    </row>
    <row r="22" spans="1:4" x14ac:dyDescent="0.3">
      <c r="A22" s="9" t="s">
        <v>81</v>
      </c>
      <c r="B22" s="9" t="str">
        <f>"137506-A"</f>
        <v>137506-A</v>
      </c>
      <c r="C22" s="9" t="s">
        <v>14</v>
      </c>
      <c r="D22" s="10">
        <v>1931893.92</v>
      </c>
    </row>
    <row r="23" spans="1:4" x14ac:dyDescent="0.3">
      <c r="A23" s="11" t="s">
        <v>82</v>
      </c>
      <c r="B23" s="11" t="str">
        <f>"137506-B"</f>
        <v>137506-B</v>
      </c>
      <c r="C23" s="11" t="s">
        <v>14</v>
      </c>
      <c r="D23" s="12">
        <v>236.68</v>
      </c>
    </row>
    <row r="24" spans="1:4" x14ac:dyDescent="0.3">
      <c r="A24" s="9" t="s">
        <v>83</v>
      </c>
      <c r="B24" s="9" t="str">
        <f>"137508"</f>
        <v>137508</v>
      </c>
      <c r="C24" s="9" t="s">
        <v>14</v>
      </c>
      <c r="D24" s="10">
        <v>211755.19</v>
      </c>
    </row>
    <row r="25" spans="1:4" x14ac:dyDescent="0.3">
      <c r="A25" s="11" t="s">
        <v>84</v>
      </c>
      <c r="B25" s="11" t="str">
        <f>"137509-A"</f>
        <v>137509-A</v>
      </c>
      <c r="C25" s="11" t="s">
        <v>14</v>
      </c>
      <c r="D25" s="12">
        <v>1668213.48</v>
      </c>
    </row>
    <row r="26" spans="1:4" x14ac:dyDescent="0.3">
      <c r="A26" s="9" t="s">
        <v>85</v>
      </c>
      <c r="B26" s="9" t="str">
        <f>"137509-B"</f>
        <v>137509-B</v>
      </c>
      <c r="C26" s="9" t="s">
        <v>14</v>
      </c>
      <c r="D26" s="10">
        <v>10465.82</v>
      </c>
    </row>
    <row r="27" spans="1:4" x14ac:dyDescent="0.3">
      <c r="A27" s="11" t="s">
        <v>86</v>
      </c>
      <c r="B27" s="11" t="str">
        <f>"137512-B"</f>
        <v>137512-B</v>
      </c>
      <c r="C27" s="11" t="s">
        <v>14</v>
      </c>
      <c r="D27" s="12">
        <v>13986.12</v>
      </c>
    </row>
    <row r="28" spans="1:4" x14ac:dyDescent="0.3">
      <c r="A28" s="9" t="s">
        <v>87</v>
      </c>
      <c r="B28" s="9" t="str">
        <f>"137512-C"</f>
        <v>137512-C</v>
      </c>
      <c r="C28" s="9" t="s">
        <v>14</v>
      </c>
      <c r="D28" s="10">
        <v>66471.59</v>
      </c>
    </row>
    <row r="29" spans="1:4" x14ac:dyDescent="0.3">
      <c r="A29" s="11" t="s">
        <v>88</v>
      </c>
      <c r="B29" s="11" t="str">
        <f>"137533"</f>
        <v>137533</v>
      </c>
      <c r="C29" s="11" t="s">
        <v>14</v>
      </c>
      <c r="D29" s="12">
        <v>125917.59</v>
      </c>
    </row>
    <row r="30" spans="1:4" x14ac:dyDescent="0.3">
      <c r="A30" s="9" t="s">
        <v>89</v>
      </c>
      <c r="B30" s="9" t="str">
        <f>"137535"</f>
        <v>137535</v>
      </c>
      <c r="C30" s="9" t="s">
        <v>14</v>
      </c>
      <c r="D30" s="10">
        <v>25450.11</v>
      </c>
    </row>
    <row r="31" spans="1:4" x14ac:dyDescent="0.3">
      <c r="A31" s="11" t="s">
        <v>90</v>
      </c>
      <c r="B31" s="11" t="str">
        <f>"157503"</f>
        <v>157503</v>
      </c>
      <c r="C31" s="11" t="s">
        <v>15</v>
      </c>
      <c r="D31" s="12">
        <v>192056.42</v>
      </c>
    </row>
    <row r="32" spans="1:4" x14ac:dyDescent="0.3">
      <c r="A32" s="9" t="s">
        <v>91</v>
      </c>
      <c r="B32" s="9" t="str">
        <f>"157505"</f>
        <v>157505</v>
      </c>
      <c r="C32" s="9" t="s">
        <v>15</v>
      </c>
      <c r="D32" s="10">
        <v>13121.49</v>
      </c>
    </row>
    <row r="33" spans="1:4" x14ac:dyDescent="0.3">
      <c r="A33" s="11" t="s">
        <v>92</v>
      </c>
      <c r="B33" s="11" t="str">
        <f>"177508-A"</f>
        <v>177508-A</v>
      </c>
      <c r="C33" s="11" t="s">
        <v>16</v>
      </c>
      <c r="D33" s="12">
        <v>26356.28</v>
      </c>
    </row>
    <row r="34" spans="1:4" x14ac:dyDescent="0.3">
      <c r="A34" s="9" t="s">
        <v>93</v>
      </c>
      <c r="B34" s="9" t="str">
        <f>"177508-B"</f>
        <v>177508-B</v>
      </c>
      <c r="C34" s="9" t="s">
        <v>16</v>
      </c>
      <c r="D34" s="10">
        <v>14978.71</v>
      </c>
    </row>
    <row r="35" spans="1:4" x14ac:dyDescent="0.3">
      <c r="A35" s="11" t="s">
        <v>94</v>
      </c>
      <c r="B35" s="11" t="str">
        <f>"177508-C"</f>
        <v>177508-C</v>
      </c>
      <c r="C35" s="11" t="s">
        <v>16</v>
      </c>
      <c r="D35" s="12">
        <v>88124.51</v>
      </c>
    </row>
    <row r="36" spans="1:4" x14ac:dyDescent="0.3">
      <c r="A36" s="9" t="s">
        <v>95</v>
      </c>
      <c r="B36" s="9" t="str">
        <f>"187502"</f>
        <v>187502</v>
      </c>
      <c r="C36" s="9" t="s">
        <v>17</v>
      </c>
      <c r="D36" s="10">
        <v>4771.99</v>
      </c>
    </row>
    <row r="37" spans="1:4" x14ac:dyDescent="0.3">
      <c r="A37" s="11" t="s">
        <v>96</v>
      </c>
      <c r="B37" s="11" t="str">
        <f>"197506"</f>
        <v>197506</v>
      </c>
      <c r="C37" s="11" t="s">
        <v>18</v>
      </c>
      <c r="D37" s="12">
        <v>6650.62</v>
      </c>
    </row>
    <row r="38" spans="1:4" x14ac:dyDescent="0.3">
      <c r="A38" s="9" t="s">
        <v>97</v>
      </c>
      <c r="B38" s="9" t="str">
        <f>"217504"</f>
        <v>217504</v>
      </c>
      <c r="C38" s="9" t="s">
        <v>19</v>
      </c>
      <c r="D38" s="10">
        <v>7951.66</v>
      </c>
    </row>
    <row r="39" spans="1:4" x14ac:dyDescent="0.3">
      <c r="A39" s="11" t="s">
        <v>98</v>
      </c>
      <c r="B39" s="11" t="str">
        <f>"227505"</f>
        <v>227505</v>
      </c>
      <c r="C39" s="11" t="s">
        <v>20</v>
      </c>
      <c r="D39" s="12">
        <v>102201.28</v>
      </c>
    </row>
    <row r="40" spans="1:4" x14ac:dyDescent="0.3">
      <c r="A40" s="9" t="s">
        <v>99</v>
      </c>
      <c r="B40" s="9" t="str">
        <f>"237503"</f>
        <v>237503</v>
      </c>
      <c r="C40" s="9" t="s">
        <v>21</v>
      </c>
      <c r="D40" s="10">
        <v>18570.52</v>
      </c>
    </row>
    <row r="41" spans="1:4" x14ac:dyDescent="0.3">
      <c r="A41" s="11" t="s">
        <v>100</v>
      </c>
      <c r="B41" s="11" t="str">
        <f>"237504"</f>
        <v>237504</v>
      </c>
      <c r="C41" s="11" t="s">
        <v>21</v>
      </c>
      <c r="D41" s="12">
        <v>167133.01</v>
      </c>
    </row>
    <row r="42" spans="1:4" x14ac:dyDescent="0.3">
      <c r="A42" s="9" t="s">
        <v>101</v>
      </c>
      <c r="B42" s="9" t="str">
        <f>"237511"</f>
        <v>237511</v>
      </c>
      <c r="C42" s="9" t="s">
        <v>21</v>
      </c>
      <c r="D42" s="10">
        <v>93654.22</v>
      </c>
    </row>
    <row r="43" spans="1:4" x14ac:dyDescent="0.3">
      <c r="A43" s="11" t="s">
        <v>102</v>
      </c>
      <c r="B43" s="11" t="str">
        <f>"237512"</f>
        <v>237512</v>
      </c>
      <c r="C43" s="11" t="s">
        <v>21</v>
      </c>
      <c r="D43" s="12">
        <v>5333.94</v>
      </c>
    </row>
    <row r="44" spans="1:4" x14ac:dyDescent="0.3">
      <c r="A44" s="9" t="s">
        <v>103</v>
      </c>
      <c r="B44" s="9" t="str">
        <f>"247507"</f>
        <v>247507</v>
      </c>
      <c r="C44" s="9" t="s">
        <v>22</v>
      </c>
      <c r="D44" s="10">
        <v>9207.0400000000009</v>
      </c>
    </row>
    <row r="45" spans="1:4" x14ac:dyDescent="0.3">
      <c r="A45" s="11" t="s">
        <v>104</v>
      </c>
      <c r="B45" s="11" t="str">
        <f>"257266"</f>
        <v>257266</v>
      </c>
      <c r="C45" s="11" t="s">
        <v>23</v>
      </c>
      <c r="D45" s="12">
        <v>8167.19</v>
      </c>
    </row>
    <row r="46" spans="1:4" x14ac:dyDescent="0.3">
      <c r="A46" s="9" t="s">
        <v>105</v>
      </c>
      <c r="B46" s="9" t="str">
        <f>"257513"</f>
        <v>257513</v>
      </c>
      <c r="C46" s="9" t="s">
        <v>23</v>
      </c>
      <c r="D46" s="10">
        <v>102368.9</v>
      </c>
    </row>
    <row r="47" spans="1:4" x14ac:dyDescent="0.3">
      <c r="A47" s="11" t="s">
        <v>106</v>
      </c>
      <c r="B47" s="11" t="str">
        <f>"257532-A"</f>
        <v>257532-A</v>
      </c>
      <c r="C47" s="11" t="s">
        <v>23</v>
      </c>
      <c r="D47" s="12">
        <v>35196.35</v>
      </c>
    </row>
    <row r="48" spans="1:4" x14ac:dyDescent="0.3">
      <c r="A48" s="9" t="s">
        <v>107</v>
      </c>
      <c r="B48" s="9" t="str">
        <f>"257532-B"</f>
        <v>257532-B</v>
      </c>
      <c r="C48" s="9" t="s">
        <v>23</v>
      </c>
      <c r="D48" s="10">
        <v>1625.68</v>
      </c>
    </row>
    <row r="49" spans="1:4" x14ac:dyDescent="0.3">
      <c r="A49" s="11" t="s">
        <v>108</v>
      </c>
      <c r="B49" s="11" t="str">
        <f>"267502"</f>
        <v>267502</v>
      </c>
      <c r="C49" s="11" t="s">
        <v>24</v>
      </c>
      <c r="D49" s="12">
        <v>46822.68</v>
      </c>
    </row>
    <row r="50" spans="1:4" x14ac:dyDescent="0.3">
      <c r="A50" s="9" t="s">
        <v>109</v>
      </c>
      <c r="B50" s="9" t="str">
        <f>"267511"</f>
        <v>267511</v>
      </c>
      <c r="C50" s="9" t="s">
        <v>24</v>
      </c>
      <c r="D50" s="10">
        <v>42868.55</v>
      </c>
    </row>
    <row r="51" spans="1:4" x14ac:dyDescent="0.3">
      <c r="A51" s="11" t="s">
        <v>110</v>
      </c>
      <c r="B51" s="11" t="str">
        <f>"287506"</f>
        <v>287506</v>
      </c>
      <c r="C51" s="11" t="s">
        <v>25</v>
      </c>
      <c r="D51" s="12">
        <v>10551.1</v>
      </c>
    </row>
    <row r="52" spans="1:4" x14ac:dyDescent="0.3">
      <c r="A52" s="9" t="s">
        <v>111</v>
      </c>
      <c r="B52" s="9" t="str">
        <f>"287525"</f>
        <v>287525</v>
      </c>
      <c r="C52" s="9" t="s">
        <v>25</v>
      </c>
      <c r="D52" s="10">
        <v>9604.1299999999992</v>
      </c>
    </row>
    <row r="53" spans="1:4" x14ac:dyDescent="0.3">
      <c r="A53" s="11" t="s">
        <v>112</v>
      </c>
      <c r="B53" s="11" t="str">
        <f>"297519-C"</f>
        <v>297519-C</v>
      </c>
      <c r="C53" s="11" t="s">
        <v>26</v>
      </c>
      <c r="D53" s="12">
        <v>667.03</v>
      </c>
    </row>
    <row r="54" spans="1:4" x14ac:dyDescent="0.3">
      <c r="A54" s="9" t="s">
        <v>113</v>
      </c>
      <c r="B54" s="9" t="str">
        <f>"307501"</f>
        <v>307501</v>
      </c>
      <c r="C54" s="9" t="s">
        <v>27</v>
      </c>
      <c r="D54" s="10">
        <v>296386.01</v>
      </c>
    </row>
    <row r="55" spans="1:4" x14ac:dyDescent="0.3">
      <c r="A55" s="11" t="s">
        <v>114</v>
      </c>
      <c r="B55" s="11" t="str">
        <f>"307503"</f>
        <v>307503</v>
      </c>
      <c r="C55" s="11" t="s">
        <v>27</v>
      </c>
      <c r="D55" s="12">
        <v>3724.28</v>
      </c>
    </row>
    <row r="56" spans="1:4" x14ac:dyDescent="0.3">
      <c r="A56" s="9" t="s">
        <v>115</v>
      </c>
      <c r="B56" s="9" t="str">
        <f>"307505"</f>
        <v>307505</v>
      </c>
      <c r="C56" s="9" t="s">
        <v>27</v>
      </c>
      <c r="D56" s="10">
        <v>33569.660000000003</v>
      </c>
    </row>
    <row r="57" spans="1:4" x14ac:dyDescent="0.3">
      <c r="A57" s="11" t="s">
        <v>116</v>
      </c>
      <c r="B57" s="11" t="str">
        <f>"307511"</f>
        <v>307511</v>
      </c>
      <c r="C57" s="11" t="s">
        <v>27</v>
      </c>
      <c r="D57" s="12">
        <v>445317.53</v>
      </c>
    </row>
    <row r="58" spans="1:4" x14ac:dyDescent="0.3">
      <c r="A58" s="9" t="s">
        <v>117</v>
      </c>
      <c r="B58" s="9" t="str">
        <f>"317525"</f>
        <v>317525</v>
      </c>
      <c r="C58" s="9" t="s">
        <v>28</v>
      </c>
      <c r="D58" s="10">
        <v>11205.68</v>
      </c>
    </row>
    <row r="59" spans="1:4" x14ac:dyDescent="0.3">
      <c r="A59" s="11" t="s">
        <v>118</v>
      </c>
      <c r="B59" s="11" t="str">
        <f>"327525"</f>
        <v>327525</v>
      </c>
      <c r="C59" s="11" t="s">
        <v>29</v>
      </c>
      <c r="D59" s="12">
        <v>6120.32</v>
      </c>
    </row>
    <row r="60" spans="1:4" x14ac:dyDescent="0.3">
      <c r="A60" s="9" t="s">
        <v>119</v>
      </c>
      <c r="B60" s="9" t="str">
        <f>"337512-A"</f>
        <v>337512-A</v>
      </c>
      <c r="C60" s="9" t="s">
        <v>30</v>
      </c>
      <c r="D60" s="10">
        <v>10487.99</v>
      </c>
    </row>
    <row r="61" spans="1:4" x14ac:dyDescent="0.3">
      <c r="A61" s="11" t="s">
        <v>120</v>
      </c>
      <c r="B61" s="11" t="str">
        <f>"337512-B"</f>
        <v>337512-B</v>
      </c>
      <c r="C61" s="11" t="s">
        <v>30</v>
      </c>
      <c r="D61" s="12">
        <v>68431.7</v>
      </c>
    </row>
    <row r="62" spans="1:4" x14ac:dyDescent="0.3">
      <c r="A62" s="9" t="s">
        <v>121</v>
      </c>
      <c r="B62" s="9" t="str">
        <f>"337512-C"</f>
        <v>337512-C</v>
      </c>
      <c r="C62" s="9" t="s">
        <v>30</v>
      </c>
      <c r="D62" s="10">
        <v>148073.75</v>
      </c>
    </row>
    <row r="63" spans="1:4" x14ac:dyDescent="0.3">
      <c r="A63" s="11" t="s">
        <v>122</v>
      </c>
      <c r="B63" s="11" t="str">
        <f>"337525"</f>
        <v>337525</v>
      </c>
      <c r="C63" s="11" t="s">
        <v>30</v>
      </c>
      <c r="D63" s="12">
        <v>9423.11</v>
      </c>
    </row>
    <row r="64" spans="1:4" x14ac:dyDescent="0.3">
      <c r="A64" s="9" t="s">
        <v>123</v>
      </c>
      <c r="B64" s="9" t="str">
        <f>"337529"</f>
        <v>337529</v>
      </c>
      <c r="C64" s="9" t="s">
        <v>30</v>
      </c>
      <c r="D64" s="10">
        <v>31025.88</v>
      </c>
    </row>
    <row r="65" spans="1:4" x14ac:dyDescent="0.3">
      <c r="A65" s="11" t="s">
        <v>124</v>
      </c>
      <c r="B65" s="11" t="str">
        <f>"347507"</f>
        <v>347507</v>
      </c>
      <c r="C65" s="11" t="s">
        <v>31</v>
      </c>
      <c r="D65" s="12">
        <v>53758.17</v>
      </c>
    </row>
    <row r="66" spans="1:4" x14ac:dyDescent="0.3">
      <c r="A66" s="9" t="s">
        <v>125</v>
      </c>
      <c r="B66" s="9" t="str">
        <f>"357509"</f>
        <v>357509</v>
      </c>
      <c r="C66" s="9" t="s">
        <v>32</v>
      </c>
      <c r="D66" s="10">
        <v>55421.55</v>
      </c>
    </row>
    <row r="67" spans="1:4" x14ac:dyDescent="0.3">
      <c r="A67" s="11" t="s">
        <v>126</v>
      </c>
      <c r="B67" s="11" t="str">
        <f>"377503"</f>
        <v>377503</v>
      </c>
      <c r="C67" s="11" t="s">
        <v>33</v>
      </c>
      <c r="D67" s="12">
        <v>56127.27</v>
      </c>
    </row>
    <row r="68" spans="1:4" x14ac:dyDescent="0.3">
      <c r="A68" s="9" t="s">
        <v>127</v>
      </c>
      <c r="B68" s="9" t="str">
        <f>"377505"</f>
        <v>377505</v>
      </c>
      <c r="C68" s="9" t="s">
        <v>33</v>
      </c>
      <c r="D68" s="10">
        <v>37.5</v>
      </c>
    </row>
    <row r="69" spans="1:4" x14ac:dyDescent="0.3">
      <c r="A69" s="11" t="s">
        <v>128</v>
      </c>
      <c r="B69" s="11" t="str">
        <f>"377508"</f>
        <v>377508</v>
      </c>
      <c r="C69" s="11" t="s">
        <v>33</v>
      </c>
      <c r="D69" s="12">
        <v>2085.7399999999998</v>
      </c>
    </row>
    <row r="70" spans="1:4" x14ac:dyDescent="0.3">
      <c r="A70" s="9" t="s">
        <v>129</v>
      </c>
      <c r="B70" s="9" t="str">
        <f>"377509-B"</f>
        <v>377509-B</v>
      </c>
      <c r="C70" s="9" t="s">
        <v>33</v>
      </c>
      <c r="D70" s="10">
        <v>2274.02</v>
      </c>
    </row>
    <row r="71" spans="1:4" x14ac:dyDescent="0.3">
      <c r="A71" s="11" t="s">
        <v>130</v>
      </c>
      <c r="B71" s="11" t="str">
        <f>"387501"</f>
        <v>387501</v>
      </c>
      <c r="C71" s="11" t="s">
        <v>34</v>
      </c>
      <c r="D71" s="12">
        <v>476744.88</v>
      </c>
    </row>
    <row r="72" spans="1:4" x14ac:dyDescent="0.3">
      <c r="A72" s="9" t="s">
        <v>131</v>
      </c>
      <c r="B72" s="9" t="str">
        <f>"387502-A"</f>
        <v>387502-A</v>
      </c>
      <c r="C72" s="9" t="s">
        <v>34</v>
      </c>
      <c r="D72" s="10">
        <v>84749.5</v>
      </c>
    </row>
    <row r="73" spans="1:4" x14ac:dyDescent="0.3">
      <c r="A73" s="11" t="s">
        <v>132</v>
      </c>
      <c r="B73" s="11" t="str">
        <f>"387502-B"</f>
        <v>387502-B</v>
      </c>
      <c r="C73" s="11" t="s">
        <v>34</v>
      </c>
      <c r="D73" s="12">
        <v>4898.46</v>
      </c>
    </row>
    <row r="74" spans="1:4" x14ac:dyDescent="0.3">
      <c r="A74" s="9" t="s">
        <v>133</v>
      </c>
      <c r="B74" s="9" t="str">
        <f>"387502-C"</f>
        <v>387502-C</v>
      </c>
      <c r="C74" s="9" t="s">
        <v>34</v>
      </c>
      <c r="D74" s="10">
        <v>5385.07</v>
      </c>
    </row>
    <row r="75" spans="1:4" x14ac:dyDescent="0.3">
      <c r="A75" s="11" t="s">
        <v>134</v>
      </c>
      <c r="B75" s="11" t="str">
        <f>"387506-A"</f>
        <v>387506-A</v>
      </c>
      <c r="C75" s="11" t="s">
        <v>34</v>
      </c>
      <c r="D75" s="12">
        <v>28282.16</v>
      </c>
    </row>
    <row r="76" spans="1:4" x14ac:dyDescent="0.3">
      <c r="A76" s="9" t="s">
        <v>135</v>
      </c>
      <c r="B76" s="9" t="str">
        <f>"387508"</f>
        <v>387508</v>
      </c>
      <c r="C76" s="9" t="s">
        <v>34</v>
      </c>
      <c r="D76" s="10">
        <v>159019.74</v>
      </c>
    </row>
    <row r="77" spans="1:4" x14ac:dyDescent="0.3">
      <c r="A77" s="11" t="s">
        <v>136</v>
      </c>
      <c r="B77" s="11" t="str">
        <f>"387521-A"</f>
        <v>387521-A</v>
      </c>
      <c r="C77" s="11" t="s">
        <v>34</v>
      </c>
      <c r="D77" s="12">
        <v>8728.2000000000007</v>
      </c>
    </row>
    <row r="78" spans="1:4" x14ac:dyDescent="0.3">
      <c r="A78" s="9" t="s">
        <v>137</v>
      </c>
      <c r="B78" s="9" t="str">
        <f>"387521-B"</f>
        <v>387521-B</v>
      </c>
      <c r="C78" s="9" t="s">
        <v>34</v>
      </c>
      <c r="D78" s="10">
        <v>2.48</v>
      </c>
    </row>
    <row r="79" spans="1:4" x14ac:dyDescent="0.3">
      <c r="A79" s="11" t="s">
        <v>138</v>
      </c>
      <c r="B79" s="11" t="str">
        <f>"397509"</f>
        <v>397509</v>
      </c>
      <c r="C79" s="11" t="s">
        <v>35</v>
      </c>
      <c r="D79" s="12">
        <v>288092.59000000003</v>
      </c>
    </row>
    <row r="80" spans="1:4" x14ac:dyDescent="0.3">
      <c r="A80" s="9" t="s">
        <v>139</v>
      </c>
      <c r="B80" s="9" t="str">
        <f>"397511"</f>
        <v>397511</v>
      </c>
      <c r="C80" s="9" t="s">
        <v>35</v>
      </c>
      <c r="D80" s="10">
        <v>19517.39</v>
      </c>
    </row>
    <row r="81" spans="1:4" x14ac:dyDescent="0.3">
      <c r="A81" s="11" t="s">
        <v>140</v>
      </c>
      <c r="B81" s="11" t="str">
        <f>"417521-A"</f>
        <v>417521-A</v>
      </c>
      <c r="C81" s="11" t="s">
        <v>36</v>
      </c>
      <c r="D81" s="12">
        <v>332944.37</v>
      </c>
    </row>
    <row r="82" spans="1:4" x14ac:dyDescent="0.3">
      <c r="A82" s="9" t="s">
        <v>141</v>
      </c>
      <c r="B82" s="9" t="str">
        <f>"417521-B"</f>
        <v>417521-B</v>
      </c>
      <c r="C82" s="9" t="s">
        <v>36</v>
      </c>
      <c r="D82" s="10">
        <v>19264.240000000002</v>
      </c>
    </row>
    <row r="83" spans="1:4" x14ac:dyDescent="0.3">
      <c r="A83" s="11" t="s">
        <v>142</v>
      </c>
      <c r="B83" s="11" t="str">
        <f>"417524"</f>
        <v>417524</v>
      </c>
      <c r="C83" s="11" t="s">
        <v>36</v>
      </c>
      <c r="D83" s="12">
        <v>137086.07</v>
      </c>
    </row>
    <row r="84" spans="1:4" x14ac:dyDescent="0.3">
      <c r="A84" s="9" t="s">
        <v>143</v>
      </c>
      <c r="B84" s="9" t="str">
        <f>"417525-C"</f>
        <v>417525-C</v>
      </c>
      <c r="C84" s="9" t="s">
        <v>36</v>
      </c>
      <c r="D84" s="10">
        <v>4730.6400000000003</v>
      </c>
    </row>
    <row r="85" spans="1:4" x14ac:dyDescent="0.3">
      <c r="A85" s="11" t="s">
        <v>144</v>
      </c>
      <c r="B85" s="11" t="str">
        <f>"417525-E"</f>
        <v>417525-E</v>
      </c>
      <c r="C85" s="11" t="s">
        <v>36</v>
      </c>
      <c r="D85" s="12">
        <v>5239.16</v>
      </c>
    </row>
    <row r="86" spans="1:4" x14ac:dyDescent="0.3">
      <c r="A86" s="9" t="s">
        <v>145</v>
      </c>
      <c r="B86" s="9" t="str">
        <f>"417525-H"</f>
        <v>417525-H</v>
      </c>
      <c r="C86" s="9" t="s">
        <v>36</v>
      </c>
      <c r="D86" s="10">
        <v>35699.46</v>
      </c>
    </row>
    <row r="87" spans="1:4" x14ac:dyDescent="0.3">
      <c r="A87" s="11" t="s">
        <v>146</v>
      </c>
      <c r="B87" s="11" t="str">
        <f>"417525-I"</f>
        <v>417525-I</v>
      </c>
      <c r="C87" s="11" t="s">
        <v>36</v>
      </c>
      <c r="D87" s="12">
        <v>64844.77</v>
      </c>
    </row>
    <row r="88" spans="1:4" x14ac:dyDescent="0.3">
      <c r="A88" s="9" t="s">
        <v>147</v>
      </c>
      <c r="B88" s="9" t="str">
        <f>"417525-J"</f>
        <v>417525-J</v>
      </c>
      <c r="C88" s="9" t="s">
        <v>36</v>
      </c>
      <c r="D88" s="10">
        <v>185.12</v>
      </c>
    </row>
    <row r="89" spans="1:4" x14ac:dyDescent="0.3">
      <c r="A89" s="11" t="s">
        <v>148</v>
      </c>
      <c r="B89" s="11" t="str">
        <f>"417549"</f>
        <v>417549</v>
      </c>
      <c r="C89" s="11" t="s">
        <v>36</v>
      </c>
      <c r="D89" s="12">
        <v>61917.23</v>
      </c>
    </row>
    <row r="90" spans="1:4" x14ac:dyDescent="0.3">
      <c r="A90" s="9" t="s">
        <v>149</v>
      </c>
      <c r="B90" s="9" t="str">
        <f>"417551"</f>
        <v>417551</v>
      </c>
      <c r="C90" s="9" t="s">
        <v>36</v>
      </c>
      <c r="D90" s="10">
        <v>153908.85999999999</v>
      </c>
    </row>
    <row r="91" spans="1:4" x14ac:dyDescent="0.3">
      <c r="A91" s="11" t="s">
        <v>150</v>
      </c>
      <c r="B91" s="11" t="str">
        <f>"417552-B"</f>
        <v>417552-B</v>
      </c>
      <c r="C91" s="11" t="s">
        <v>36</v>
      </c>
      <c r="D91" s="12">
        <v>143908.99</v>
      </c>
    </row>
    <row r="92" spans="1:4" x14ac:dyDescent="0.3">
      <c r="A92" s="9" t="s">
        <v>151</v>
      </c>
      <c r="B92" s="9" t="str">
        <f>"417574"</f>
        <v>417574</v>
      </c>
      <c r="C92" s="9" t="s">
        <v>36</v>
      </c>
      <c r="D92" s="10">
        <v>16536.75</v>
      </c>
    </row>
    <row r="93" spans="1:4" x14ac:dyDescent="0.3">
      <c r="A93" s="11" t="s">
        <v>152</v>
      </c>
      <c r="B93" s="11" t="str">
        <f>"417576"</f>
        <v>417576</v>
      </c>
      <c r="C93" s="11" t="s">
        <v>36</v>
      </c>
      <c r="D93" s="12">
        <v>1035.8699999999999</v>
      </c>
    </row>
    <row r="94" spans="1:4" x14ac:dyDescent="0.3">
      <c r="A94" s="9" t="s">
        <v>153</v>
      </c>
      <c r="B94" s="9" t="str">
        <f>"417577"</f>
        <v>417577</v>
      </c>
      <c r="C94" s="9" t="s">
        <v>36</v>
      </c>
      <c r="D94" s="10">
        <v>20629.689999999999</v>
      </c>
    </row>
    <row r="95" spans="1:4" x14ac:dyDescent="0.3">
      <c r="A95" s="11" t="s">
        <v>154</v>
      </c>
      <c r="B95" s="11" t="str">
        <f>"437502-A"</f>
        <v>437502-A</v>
      </c>
      <c r="C95" s="11" t="s">
        <v>37</v>
      </c>
      <c r="D95" s="12">
        <v>21004.33</v>
      </c>
    </row>
    <row r="96" spans="1:4" x14ac:dyDescent="0.3">
      <c r="A96" s="9" t="s">
        <v>155</v>
      </c>
      <c r="B96" s="9" t="str">
        <f>"437502-B"</f>
        <v>437502-B</v>
      </c>
      <c r="C96" s="9" t="s">
        <v>37</v>
      </c>
      <c r="D96" s="10">
        <v>6123.63</v>
      </c>
    </row>
    <row r="97" spans="1:4" x14ac:dyDescent="0.3">
      <c r="A97" s="11" t="s">
        <v>156</v>
      </c>
      <c r="B97" s="11" t="str">
        <f>"447504-A"</f>
        <v>447504-A</v>
      </c>
      <c r="C97" s="11" t="s">
        <v>38</v>
      </c>
      <c r="D97" s="12">
        <v>97324.92</v>
      </c>
    </row>
    <row r="98" spans="1:4" x14ac:dyDescent="0.3">
      <c r="A98" s="9" t="s">
        <v>157</v>
      </c>
      <c r="B98" s="9" t="str">
        <f>"447504-B"</f>
        <v>447504-B</v>
      </c>
      <c r="C98" s="9" t="s">
        <v>38</v>
      </c>
      <c r="D98" s="10">
        <v>3180.54</v>
      </c>
    </row>
    <row r="99" spans="1:4" x14ac:dyDescent="0.3">
      <c r="A99" s="11" t="s">
        <v>158</v>
      </c>
      <c r="B99" s="11" t="str">
        <f>"447507"</f>
        <v>447507</v>
      </c>
      <c r="C99" s="11" t="s">
        <v>38</v>
      </c>
      <c r="D99" s="12">
        <v>363.22</v>
      </c>
    </row>
    <row r="100" spans="1:4" x14ac:dyDescent="0.3">
      <c r="A100" s="9" t="s">
        <v>159</v>
      </c>
      <c r="B100" s="9" t="str">
        <f>"447508"</f>
        <v>447508</v>
      </c>
      <c r="C100" s="9" t="s">
        <v>38</v>
      </c>
      <c r="D100" s="10">
        <v>8997.9599999999991</v>
      </c>
    </row>
    <row r="101" spans="1:4" x14ac:dyDescent="0.3">
      <c r="A101" s="11" t="s">
        <v>160</v>
      </c>
      <c r="B101" s="11" t="str">
        <f>"447509"</f>
        <v>447509</v>
      </c>
      <c r="C101" s="11" t="s">
        <v>38</v>
      </c>
      <c r="D101" s="12">
        <v>193529.67</v>
      </c>
    </row>
    <row r="102" spans="1:4" x14ac:dyDescent="0.3">
      <c r="A102" s="9" t="s">
        <v>161</v>
      </c>
      <c r="B102" s="9" t="str">
        <f>"447516"</f>
        <v>447516</v>
      </c>
      <c r="C102" s="9" t="s">
        <v>38</v>
      </c>
      <c r="D102" s="10">
        <v>60072.87</v>
      </c>
    </row>
    <row r="103" spans="1:4" x14ac:dyDescent="0.3">
      <c r="A103" s="11" t="s">
        <v>162</v>
      </c>
      <c r="B103" s="11" t="str">
        <f>"447518"</f>
        <v>447518</v>
      </c>
      <c r="C103" s="11" t="s">
        <v>38</v>
      </c>
      <c r="D103" s="12">
        <v>42545.23</v>
      </c>
    </row>
    <row r="104" spans="1:4" x14ac:dyDescent="0.3">
      <c r="A104" s="9" t="s">
        <v>163</v>
      </c>
      <c r="B104" s="9" t="str">
        <f>"447519"</f>
        <v>447519</v>
      </c>
      <c r="C104" s="9" t="s">
        <v>38</v>
      </c>
      <c r="D104" s="10">
        <v>29067.85</v>
      </c>
    </row>
    <row r="105" spans="1:4" x14ac:dyDescent="0.3">
      <c r="A105" s="11" t="s">
        <v>164</v>
      </c>
      <c r="B105" s="11" t="str">
        <f>"447521"</f>
        <v>447521</v>
      </c>
      <c r="C105" s="11" t="s">
        <v>38</v>
      </c>
      <c r="D105" s="12">
        <v>29913.32</v>
      </c>
    </row>
    <row r="106" spans="1:4" x14ac:dyDescent="0.3">
      <c r="A106" s="9" t="s">
        <v>165</v>
      </c>
      <c r="B106" s="9" t="str">
        <f>"447522"</f>
        <v>447522</v>
      </c>
      <c r="C106" s="9" t="s">
        <v>38</v>
      </c>
      <c r="D106" s="10">
        <v>8037.59</v>
      </c>
    </row>
    <row r="107" spans="1:4" x14ac:dyDescent="0.3">
      <c r="A107" s="11" t="s">
        <v>166</v>
      </c>
      <c r="B107" s="11" t="str">
        <f>"467505"</f>
        <v>467505</v>
      </c>
      <c r="C107" s="11" t="s">
        <v>39</v>
      </c>
      <c r="D107" s="12">
        <v>13352.96</v>
      </c>
    </row>
    <row r="108" spans="1:4" x14ac:dyDescent="0.3">
      <c r="A108" s="9" t="s">
        <v>167</v>
      </c>
      <c r="B108" s="9" t="str">
        <f>"467512"</f>
        <v>467512</v>
      </c>
      <c r="C108" s="9" t="s">
        <v>39</v>
      </c>
      <c r="D108" s="10">
        <v>10662.02</v>
      </c>
    </row>
    <row r="109" spans="1:4" x14ac:dyDescent="0.3">
      <c r="A109" s="11" t="s">
        <v>168</v>
      </c>
      <c r="B109" s="11" t="str">
        <f>"477505"</f>
        <v>477505</v>
      </c>
      <c r="C109" s="11" t="s">
        <v>40</v>
      </c>
      <c r="D109" s="12">
        <v>284969.71999999997</v>
      </c>
    </row>
    <row r="110" spans="1:4" x14ac:dyDescent="0.3">
      <c r="A110" s="9" t="s">
        <v>169</v>
      </c>
      <c r="B110" s="9" t="str">
        <f>"477516-A"</f>
        <v>477516-A</v>
      </c>
      <c r="C110" s="9" t="s">
        <v>40</v>
      </c>
      <c r="D110" s="10">
        <v>5781.5</v>
      </c>
    </row>
    <row r="111" spans="1:4" x14ac:dyDescent="0.3">
      <c r="A111" s="11" t="s">
        <v>170</v>
      </c>
      <c r="B111" s="11" t="str">
        <f>"477516-B"</f>
        <v>477516-B</v>
      </c>
      <c r="C111" s="11" t="s">
        <v>40</v>
      </c>
      <c r="D111" s="12">
        <v>86325.51</v>
      </c>
    </row>
    <row r="112" spans="1:4" x14ac:dyDescent="0.3">
      <c r="A112" s="9" t="s">
        <v>171</v>
      </c>
      <c r="B112" s="9" t="str">
        <f>"477517-A"</f>
        <v>477517-A</v>
      </c>
      <c r="C112" s="9" t="s">
        <v>40</v>
      </c>
      <c r="D112" s="10">
        <v>7726.33</v>
      </c>
    </row>
    <row r="113" spans="1:4" x14ac:dyDescent="0.3">
      <c r="A113" s="11" t="s">
        <v>172</v>
      </c>
      <c r="B113" s="11" t="str">
        <f>"477525"</f>
        <v>477525</v>
      </c>
      <c r="C113" s="11" t="s">
        <v>40</v>
      </c>
      <c r="D113" s="12">
        <v>16620.86</v>
      </c>
    </row>
    <row r="114" spans="1:4" x14ac:dyDescent="0.3">
      <c r="A114" s="9" t="s">
        <v>173</v>
      </c>
      <c r="B114" s="9" t="str">
        <f>"477540"</f>
        <v>477540</v>
      </c>
      <c r="C114" s="9" t="s">
        <v>40</v>
      </c>
      <c r="D114" s="10">
        <v>4473.32</v>
      </c>
    </row>
    <row r="115" spans="1:4" x14ac:dyDescent="0.3">
      <c r="A115" s="11" t="s">
        <v>174</v>
      </c>
      <c r="B115" s="11" t="str">
        <f>"507515"</f>
        <v>507515</v>
      </c>
      <c r="C115" s="11" t="s">
        <v>41</v>
      </c>
      <c r="D115" s="12">
        <v>4098.5600000000004</v>
      </c>
    </row>
    <row r="116" spans="1:4" x14ac:dyDescent="0.3">
      <c r="A116" s="9" t="s">
        <v>175</v>
      </c>
      <c r="B116" s="9" t="str">
        <f>"507523-A"</f>
        <v>507523-A</v>
      </c>
      <c r="C116" s="9" t="s">
        <v>41</v>
      </c>
      <c r="D116" s="10">
        <v>419216.26</v>
      </c>
    </row>
    <row r="117" spans="1:4" x14ac:dyDescent="0.3">
      <c r="A117" s="11" t="s">
        <v>176</v>
      </c>
      <c r="B117" s="11" t="str">
        <f>"507523-B"</f>
        <v>507523-B</v>
      </c>
      <c r="C117" s="11" t="s">
        <v>41</v>
      </c>
      <c r="D117" s="12">
        <v>3971355.2</v>
      </c>
    </row>
    <row r="118" spans="1:4" x14ac:dyDescent="0.3">
      <c r="A118" s="9" t="s">
        <v>177</v>
      </c>
      <c r="B118" s="9" t="str">
        <f>"507552-A"</f>
        <v>507552-A</v>
      </c>
      <c r="C118" s="9" t="s">
        <v>41</v>
      </c>
      <c r="D118" s="10">
        <v>6221.9</v>
      </c>
    </row>
    <row r="119" spans="1:4" x14ac:dyDescent="0.3">
      <c r="A119" s="11" t="s">
        <v>178</v>
      </c>
      <c r="B119" s="11" t="str">
        <f>"507552-B"</f>
        <v>507552-B</v>
      </c>
      <c r="C119" s="11" t="s">
        <v>41</v>
      </c>
      <c r="D119" s="12">
        <v>3197.48</v>
      </c>
    </row>
    <row r="120" spans="1:4" x14ac:dyDescent="0.3">
      <c r="A120" s="9" t="s">
        <v>179</v>
      </c>
      <c r="B120" s="9" t="str">
        <f>"517505"</f>
        <v>517505</v>
      </c>
      <c r="C120" s="9" t="s">
        <v>42</v>
      </c>
      <c r="D120" s="10">
        <v>10499.78</v>
      </c>
    </row>
    <row r="121" spans="1:4" x14ac:dyDescent="0.3">
      <c r="A121" s="11" t="s">
        <v>180</v>
      </c>
      <c r="B121" s="11" t="str">
        <f>"517515"</f>
        <v>517515</v>
      </c>
      <c r="C121" s="11" t="s">
        <v>42</v>
      </c>
      <c r="D121" s="12">
        <v>14583.97</v>
      </c>
    </row>
    <row r="122" spans="1:4" x14ac:dyDescent="0.3">
      <c r="A122" s="9" t="s">
        <v>181</v>
      </c>
      <c r="B122" s="9" t="str">
        <f>"537520"</f>
        <v>537520</v>
      </c>
      <c r="C122" s="9" t="s">
        <v>43</v>
      </c>
      <c r="D122" s="10">
        <v>11663.54</v>
      </c>
    </row>
    <row r="123" spans="1:4" x14ac:dyDescent="0.3">
      <c r="A123" s="11" t="s">
        <v>182</v>
      </c>
      <c r="B123" s="11" t="str">
        <f>"567509"</f>
        <v>567509</v>
      </c>
      <c r="C123" s="11" t="s">
        <v>44</v>
      </c>
      <c r="D123" s="12">
        <v>9613.1299999999992</v>
      </c>
    </row>
    <row r="124" spans="1:4" x14ac:dyDescent="0.3">
      <c r="A124" s="9" t="s">
        <v>183</v>
      </c>
      <c r="B124" s="9" t="str">
        <f>"577500"</f>
        <v>577500</v>
      </c>
      <c r="C124" s="9" t="s">
        <v>45</v>
      </c>
      <c r="D124" s="10">
        <v>79616.36</v>
      </c>
    </row>
    <row r="125" spans="1:4" x14ac:dyDescent="0.3">
      <c r="A125" s="11" t="s">
        <v>184</v>
      </c>
      <c r="B125" s="11" t="str">
        <f>"577502"</f>
        <v>577502</v>
      </c>
      <c r="C125" s="11" t="s">
        <v>45</v>
      </c>
      <c r="D125" s="12">
        <v>1206.32</v>
      </c>
    </row>
    <row r="126" spans="1:4" x14ac:dyDescent="0.3">
      <c r="A126" s="9" t="s">
        <v>185</v>
      </c>
      <c r="B126" s="9" t="str">
        <f>"587504"</f>
        <v>587504</v>
      </c>
      <c r="C126" s="9" t="s">
        <v>46</v>
      </c>
      <c r="D126" s="10">
        <v>816218.51</v>
      </c>
    </row>
    <row r="127" spans="1:4" x14ac:dyDescent="0.3">
      <c r="A127" s="11" t="s">
        <v>186</v>
      </c>
      <c r="B127" s="11" t="str">
        <f>"587505"</f>
        <v>587505</v>
      </c>
      <c r="C127" s="11" t="s">
        <v>46</v>
      </c>
      <c r="D127" s="12">
        <v>7408.72</v>
      </c>
    </row>
    <row r="128" spans="1:4" x14ac:dyDescent="0.3">
      <c r="A128" s="9" t="s">
        <v>187</v>
      </c>
      <c r="B128" s="9" t="str">
        <f>"587519"</f>
        <v>587519</v>
      </c>
      <c r="C128" s="9" t="s">
        <v>46</v>
      </c>
      <c r="D128" s="10">
        <v>4958.1099999999997</v>
      </c>
    </row>
    <row r="129" spans="1:4" x14ac:dyDescent="0.3">
      <c r="A129" s="11" t="s">
        <v>188</v>
      </c>
      <c r="B129" s="11" t="str">
        <f>"587520-A"</f>
        <v>587520-A</v>
      </c>
      <c r="C129" s="11" t="s">
        <v>46</v>
      </c>
      <c r="D129" s="12">
        <v>669.9</v>
      </c>
    </row>
    <row r="130" spans="1:4" x14ac:dyDescent="0.3">
      <c r="A130" s="9" t="s">
        <v>189</v>
      </c>
      <c r="B130" s="9" t="str">
        <f>"587520-B"</f>
        <v>587520-B</v>
      </c>
      <c r="C130" s="9" t="s">
        <v>46</v>
      </c>
      <c r="D130" s="10">
        <v>24124.37</v>
      </c>
    </row>
    <row r="131" spans="1:4" x14ac:dyDescent="0.3">
      <c r="A131" s="11" t="s">
        <v>190</v>
      </c>
      <c r="B131" s="11" t="str">
        <f>"587520-C"</f>
        <v>587520-C</v>
      </c>
      <c r="C131" s="11" t="s">
        <v>46</v>
      </c>
      <c r="D131" s="12">
        <v>665.3</v>
      </c>
    </row>
    <row r="132" spans="1:4" x14ac:dyDescent="0.3">
      <c r="A132" s="9" t="s">
        <v>191</v>
      </c>
      <c r="B132" s="9" t="str">
        <f>"587527"</f>
        <v>587527</v>
      </c>
      <c r="C132" s="9" t="s">
        <v>46</v>
      </c>
      <c r="D132" s="10">
        <v>774.18</v>
      </c>
    </row>
    <row r="133" spans="1:4" x14ac:dyDescent="0.3">
      <c r="A133" s="11" t="s">
        <v>192</v>
      </c>
      <c r="B133" s="11" t="str">
        <f>"597505"</f>
        <v>597505</v>
      </c>
      <c r="C133" s="11" t="s">
        <v>47</v>
      </c>
      <c r="D133" s="12">
        <v>20407.53</v>
      </c>
    </row>
    <row r="134" spans="1:4" x14ac:dyDescent="0.3">
      <c r="A134" s="9" t="s">
        <v>193</v>
      </c>
      <c r="B134" s="9" t="str">
        <f>"617507"</f>
        <v>617507</v>
      </c>
      <c r="C134" s="9" t="s">
        <v>48</v>
      </c>
      <c r="D134" s="10">
        <v>239307.92</v>
      </c>
    </row>
    <row r="135" spans="1:4" x14ac:dyDescent="0.3">
      <c r="A135" s="11" t="s">
        <v>194</v>
      </c>
      <c r="B135" s="11" t="str">
        <f>"617508"</f>
        <v>617508</v>
      </c>
      <c r="C135" s="11" t="s">
        <v>48</v>
      </c>
      <c r="D135" s="12">
        <v>929755.35</v>
      </c>
    </row>
    <row r="136" spans="1:4" x14ac:dyDescent="0.3">
      <c r="A136" s="9" t="s">
        <v>195</v>
      </c>
      <c r="B136" s="9" t="str">
        <f>"617510"</f>
        <v>617510</v>
      </c>
      <c r="C136" s="9" t="s">
        <v>48</v>
      </c>
      <c r="D136" s="10">
        <v>3084.1</v>
      </c>
    </row>
    <row r="137" spans="1:4" x14ac:dyDescent="0.3">
      <c r="A137" s="11" t="s">
        <v>196</v>
      </c>
      <c r="B137" s="11" t="str">
        <f>"617511-A"</f>
        <v>617511-A</v>
      </c>
      <c r="C137" s="11" t="s">
        <v>48</v>
      </c>
      <c r="D137" s="12">
        <v>10262.219999999999</v>
      </c>
    </row>
    <row r="138" spans="1:4" x14ac:dyDescent="0.3">
      <c r="A138" s="9" t="s">
        <v>197</v>
      </c>
      <c r="B138" s="9" t="str">
        <f>"617511-B"</f>
        <v>617511-B</v>
      </c>
      <c r="C138" s="9" t="s">
        <v>48</v>
      </c>
      <c r="D138" s="10">
        <v>13953.12</v>
      </c>
    </row>
    <row r="139" spans="1:4" x14ac:dyDescent="0.3">
      <c r="A139" s="11" t="s">
        <v>198</v>
      </c>
      <c r="B139" s="11" t="str">
        <f>"617512"</f>
        <v>617512</v>
      </c>
      <c r="C139" s="11" t="s">
        <v>48</v>
      </c>
      <c r="D139" s="12">
        <v>11184.94</v>
      </c>
    </row>
    <row r="140" spans="1:4" x14ac:dyDescent="0.3">
      <c r="A140" s="9" t="s">
        <v>199</v>
      </c>
      <c r="B140" s="9" t="str">
        <f>"617524"</f>
        <v>617524</v>
      </c>
      <c r="C140" s="9" t="s">
        <v>48</v>
      </c>
      <c r="D140" s="10">
        <v>216057.56</v>
      </c>
    </row>
    <row r="141" spans="1:4" x14ac:dyDescent="0.3">
      <c r="A141" s="11" t="s">
        <v>200</v>
      </c>
      <c r="B141" s="11" t="str">
        <f>"617529"</f>
        <v>617529</v>
      </c>
      <c r="C141" s="11" t="s">
        <v>48</v>
      </c>
      <c r="D141" s="12">
        <v>9595.82</v>
      </c>
    </row>
    <row r="142" spans="1:4" x14ac:dyDescent="0.3">
      <c r="A142" s="9" t="s">
        <v>201</v>
      </c>
      <c r="B142" s="9" t="str">
        <f>"627502"</f>
        <v>627502</v>
      </c>
      <c r="C142" s="9" t="s">
        <v>49</v>
      </c>
      <c r="D142" s="10">
        <v>284256.84999999998</v>
      </c>
    </row>
    <row r="143" spans="1:4" x14ac:dyDescent="0.3">
      <c r="A143" s="11" t="s">
        <v>202</v>
      </c>
      <c r="B143" s="11" t="str">
        <f>"637535-A"</f>
        <v>637535-A</v>
      </c>
      <c r="C143" s="11" t="s">
        <v>50</v>
      </c>
      <c r="D143" s="12">
        <v>114444.8</v>
      </c>
    </row>
    <row r="144" spans="1:4" x14ac:dyDescent="0.3">
      <c r="A144" s="9" t="s">
        <v>203</v>
      </c>
      <c r="B144" s="9" t="str">
        <f>"637535-C"</f>
        <v>637535-C</v>
      </c>
      <c r="C144" s="9" t="s">
        <v>50</v>
      </c>
      <c r="D144" s="10">
        <v>187019.9</v>
      </c>
    </row>
    <row r="145" spans="1:4" x14ac:dyDescent="0.3">
      <c r="A145" s="11" t="s">
        <v>204</v>
      </c>
      <c r="B145" s="11" t="str">
        <f>"637539"</f>
        <v>637539</v>
      </c>
      <c r="C145" s="11" t="s">
        <v>50</v>
      </c>
      <c r="D145" s="12">
        <v>1535.49</v>
      </c>
    </row>
    <row r="146" spans="1:4" x14ac:dyDescent="0.3">
      <c r="A146" s="9" t="s">
        <v>205</v>
      </c>
      <c r="B146" s="9" t="str">
        <f>"637554"</f>
        <v>637554</v>
      </c>
      <c r="C146" s="9" t="s">
        <v>50</v>
      </c>
      <c r="D146" s="10">
        <v>4187.6000000000004</v>
      </c>
    </row>
    <row r="147" spans="1:4" x14ac:dyDescent="0.3">
      <c r="A147" s="11" t="s">
        <v>206</v>
      </c>
      <c r="B147" s="11" t="str">
        <f>"637559"</f>
        <v>637559</v>
      </c>
      <c r="C147" s="11" t="s">
        <v>50</v>
      </c>
      <c r="D147" s="12">
        <v>136802.17000000001</v>
      </c>
    </row>
    <row r="148" spans="1:4" x14ac:dyDescent="0.3">
      <c r="A148" s="9" t="s">
        <v>207</v>
      </c>
      <c r="B148" s="9" t="str">
        <f>"637563-A"</f>
        <v>637563-A</v>
      </c>
      <c r="C148" s="9" t="s">
        <v>50</v>
      </c>
      <c r="D148" s="10">
        <v>32657.54</v>
      </c>
    </row>
    <row r="149" spans="1:4" x14ac:dyDescent="0.3">
      <c r="A149" s="11" t="s">
        <v>208</v>
      </c>
      <c r="B149" s="11" t="str">
        <f>"637563-B"</f>
        <v>637563-B</v>
      </c>
      <c r="C149" s="11" t="s">
        <v>50</v>
      </c>
      <c r="D149" s="12">
        <v>1004.82</v>
      </c>
    </row>
    <row r="150" spans="1:4" x14ac:dyDescent="0.3">
      <c r="A150" s="9" t="s">
        <v>209</v>
      </c>
      <c r="B150" s="9" t="str">
        <f>"637572"</f>
        <v>637572</v>
      </c>
      <c r="C150" s="9" t="s">
        <v>50</v>
      </c>
      <c r="D150" s="10">
        <v>6406.66</v>
      </c>
    </row>
    <row r="151" spans="1:4" x14ac:dyDescent="0.3">
      <c r="A151" s="11" t="s">
        <v>210</v>
      </c>
      <c r="B151" s="11" t="str">
        <f>"637614"</f>
        <v>637614</v>
      </c>
      <c r="C151" s="11" t="s">
        <v>50</v>
      </c>
      <c r="D151" s="12">
        <v>40421.15</v>
      </c>
    </row>
    <row r="152" spans="1:4" x14ac:dyDescent="0.3">
      <c r="A152" s="9" t="s">
        <v>211</v>
      </c>
      <c r="B152" s="9" t="str">
        <f>"637615-A"</f>
        <v>637615-A</v>
      </c>
      <c r="C152" s="9" t="s">
        <v>50</v>
      </c>
      <c r="D152" s="10">
        <v>10595.81</v>
      </c>
    </row>
    <row r="153" spans="1:4" x14ac:dyDescent="0.3">
      <c r="A153" s="11" t="s">
        <v>212</v>
      </c>
      <c r="B153" s="11" t="str">
        <f>"637615-B"</f>
        <v>637615-B</v>
      </c>
      <c r="C153" s="11" t="s">
        <v>50</v>
      </c>
      <c r="D153" s="12">
        <v>269613.76</v>
      </c>
    </row>
    <row r="154" spans="1:4" x14ac:dyDescent="0.3">
      <c r="A154" s="9" t="s">
        <v>213</v>
      </c>
      <c r="B154" s="9" t="str">
        <f>"637615-C"</f>
        <v>637615-C</v>
      </c>
      <c r="C154" s="9" t="s">
        <v>50</v>
      </c>
      <c r="D154" s="10">
        <v>109694.03</v>
      </c>
    </row>
    <row r="155" spans="1:4" x14ac:dyDescent="0.3">
      <c r="A155" s="11" t="s">
        <v>214</v>
      </c>
      <c r="B155" s="11" t="str">
        <f>"637615-D"</f>
        <v>637615-D</v>
      </c>
      <c r="C155" s="11" t="s">
        <v>50</v>
      </c>
      <c r="D155" s="12">
        <v>874118.8</v>
      </c>
    </row>
    <row r="156" spans="1:4" x14ac:dyDescent="0.3">
      <c r="A156" s="9" t="s">
        <v>215</v>
      </c>
      <c r="B156" s="9" t="str">
        <f>"637618"</f>
        <v>637618</v>
      </c>
      <c r="C156" s="9" t="s">
        <v>50</v>
      </c>
      <c r="D156" s="10">
        <v>14444.38</v>
      </c>
    </row>
    <row r="157" spans="1:4" x14ac:dyDescent="0.3">
      <c r="A157" s="11" t="s">
        <v>216</v>
      </c>
      <c r="B157" s="11" t="str">
        <f>"637622"</f>
        <v>637622</v>
      </c>
      <c r="C157" s="11" t="s">
        <v>50</v>
      </c>
      <c r="D157" s="12">
        <v>8014.72</v>
      </c>
    </row>
    <row r="158" spans="1:4" x14ac:dyDescent="0.3">
      <c r="A158" s="9" t="s">
        <v>217</v>
      </c>
      <c r="B158" s="9" t="str">
        <f>"637624"</f>
        <v>637624</v>
      </c>
      <c r="C158" s="9" t="s">
        <v>50</v>
      </c>
      <c r="D158" s="10">
        <v>36219.230000000003</v>
      </c>
    </row>
    <row r="159" spans="1:4" x14ac:dyDescent="0.3">
      <c r="A159" s="11" t="s">
        <v>218</v>
      </c>
      <c r="B159" s="11" t="str">
        <f>"637625"</f>
        <v>637625</v>
      </c>
      <c r="C159" s="11" t="s">
        <v>50</v>
      </c>
      <c r="D159" s="12">
        <v>62361.04</v>
      </c>
    </row>
    <row r="160" spans="1:4" x14ac:dyDescent="0.3">
      <c r="A160" s="9" t="s">
        <v>219</v>
      </c>
      <c r="B160" s="9" t="str">
        <f>"637628"</f>
        <v>637628</v>
      </c>
      <c r="C160" s="9" t="s">
        <v>50</v>
      </c>
      <c r="D160" s="10">
        <v>22816.47</v>
      </c>
    </row>
    <row r="161" spans="1:4" x14ac:dyDescent="0.3">
      <c r="A161" s="11" t="s">
        <v>220</v>
      </c>
      <c r="B161" s="11" t="str">
        <f>"637634"</f>
        <v>637634</v>
      </c>
      <c r="C161" s="11" t="s">
        <v>50</v>
      </c>
      <c r="D161" s="12">
        <v>58427.96</v>
      </c>
    </row>
    <row r="162" spans="1:4" x14ac:dyDescent="0.3">
      <c r="A162" s="9" t="s">
        <v>221</v>
      </c>
      <c r="B162" s="9" t="str">
        <f>"637635"</f>
        <v>637635</v>
      </c>
      <c r="C162" s="9" t="s">
        <v>50</v>
      </c>
      <c r="D162" s="10">
        <v>1345.67</v>
      </c>
    </row>
    <row r="163" spans="1:4" x14ac:dyDescent="0.3">
      <c r="A163" s="11" t="s">
        <v>222</v>
      </c>
      <c r="B163" s="11" t="str">
        <f>"637637"</f>
        <v>637637</v>
      </c>
      <c r="C163" s="11" t="s">
        <v>50</v>
      </c>
      <c r="D163" s="12">
        <v>13064.29</v>
      </c>
    </row>
    <row r="164" spans="1:4" x14ac:dyDescent="0.3">
      <c r="A164" s="9" t="s">
        <v>223</v>
      </c>
      <c r="B164" s="9" t="str">
        <f>"637638"</f>
        <v>637638</v>
      </c>
      <c r="C164" s="9" t="s">
        <v>50</v>
      </c>
      <c r="D164" s="10">
        <v>3909.2</v>
      </c>
    </row>
    <row r="165" spans="1:4" x14ac:dyDescent="0.3">
      <c r="A165" s="11" t="s">
        <v>224</v>
      </c>
      <c r="B165" s="11" t="str">
        <f>"637639-A"</f>
        <v>637639-A</v>
      </c>
      <c r="C165" s="11" t="s">
        <v>50</v>
      </c>
      <c r="D165" s="12">
        <v>2997.56</v>
      </c>
    </row>
    <row r="166" spans="1:4" x14ac:dyDescent="0.3">
      <c r="A166" s="9" t="s">
        <v>225</v>
      </c>
      <c r="B166" s="9" t="str">
        <f>"637639-B"</f>
        <v>637639-B</v>
      </c>
      <c r="C166" s="9" t="s">
        <v>50</v>
      </c>
      <c r="D166" s="10">
        <v>425629.87</v>
      </c>
    </row>
    <row r="167" spans="1:4" x14ac:dyDescent="0.3">
      <c r="A167" s="11" t="s">
        <v>226</v>
      </c>
      <c r="B167" s="11" t="str">
        <f>"657514"</f>
        <v>657514</v>
      </c>
      <c r="C167" s="11" t="s">
        <v>51</v>
      </c>
      <c r="D167" s="12">
        <v>343.97</v>
      </c>
    </row>
    <row r="168" spans="1:4" x14ac:dyDescent="0.3">
      <c r="A168" s="9" t="s">
        <v>227</v>
      </c>
      <c r="B168" s="9" t="str">
        <f>"657515"</f>
        <v>657515</v>
      </c>
      <c r="C168" s="9" t="s">
        <v>51</v>
      </c>
      <c r="D168" s="10">
        <v>15612.06</v>
      </c>
    </row>
    <row r="169" spans="1:4" x14ac:dyDescent="0.3">
      <c r="A169" s="11" t="s">
        <v>228</v>
      </c>
      <c r="B169" s="11" t="str">
        <f>"657516-A"</f>
        <v>657516-A</v>
      </c>
      <c r="C169" s="11" t="s">
        <v>51</v>
      </c>
      <c r="D169" s="12">
        <v>19369.62</v>
      </c>
    </row>
    <row r="170" spans="1:4" x14ac:dyDescent="0.3">
      <c r="A170" s="9" t="s">
        <v>229</v>
      </c>
      <c r="B170" s="9" t="str">
        <f>"657516-B"</f>
        <v>657516-B</v>
      </c>
      <c r="C170" s="9" t="s">
        <v>51</v>
      </c>
      <c r="D170" s="10">
        <v>9881.81</v>
      </c>
    </row>
    <row r="171" spans="1:4" x14ac:dyDescent="0.3">
      <c r="A171" s="11" t="s">
        <v>230</v>
      </c>
      <c r="B171" s="11" t="str">
        <f>"677506"</f>
        <v>677506</v>
      </c>
      <c r="C171" s="11" t="s">
        <v>52</v>
      </c>
      <c r="D171" s="12">
        <v>12444.58</v>
      </c>
    </row>
    <row r="172" spans="1:4" x14ac:dyDescent="0.3">
      <c r="A172" s="9" t="s">
        <v>231</v>
      </c>
      <c r="B172" s="9" t="str">
        <f>"677507"</f>
        <v>677507</v>
      </c>
      <c r="C172" s="9" t="s">
        <v>52</v>
      </c>
      <c r="D172" s="10">
        <v>39812.839999999997</v>
      </c>
    </row>
    <row r="173" spans="1:4" x14ac:dyDescent="0.3">
      <c r="A173" s="11" t="s">
        <v>232</v>
      </c>
      <c r="B173" s="11" t="str">
        <f>"697504"</f>
        <v>697504</v>
      </c>
      <c r="C173" s="11" t="s">
        <v>53</v>
      </c>
      <c r="D173" s="12">
        <v>27272.799999999999</v>
      </c>
    </row>
    <row r="174" spans="1:4" x14ac:dyDescent="0.3">
      <c r="A174" s="9" t="s">
        <v>233</v>
      </c>
      <c r="B174" s="9" t="str">
        <f>"707515-B"</f>
        <v>707515-B</v>
      </c>
      <c r="C174" s="9" t="s">
        <v>54</v>
      </c>
      <c r="D174" s="10">
        <v>4303.1499999999996</v>
      </c>
    </row>
    <row r="175" spans="1:4" x14ac:dyDescent="0.3">
      <c r="A175" s="11" t="s">
        <v>234</v>
      </c>
      <c r="B175" s="11" t="str">
        <f>"707515-G"</f>
        <v>707515-G</v>
      </c>
      <c r="C175" s="11" t="s">
        <v>54</v>
      </c>
      <c r="D175" s="12">
        <v>326.38</v>
      </c>
    </row>
    <row r="176" spans="1:4" x14ac:dyDescent="0.3">
      <c r="A176" s="9" t="s">
        <v>235</v>
      </c>
      <c r="B176" s="9" t="str">
        <f>"707540"</f>
        <v>707540</v>
      </c>
      <c r="C176" s="9" t="s">
        <v>54</v>
      </c>
      <c r="D176" s="10">
        <v>13031.64</v>
      </c>
    </row>
    <row r="177" spans="1:4" x14ac:dyDescent="0.3">
      <c r="A177" s="11" t="s">
        <v>236</v>
      </c>
      <c r="B177" s="11" t="str">
        <f>"707550"</f>
        <v>707550</v>
      </c>
      <c r="C177" s="11" t="s">
        <v>54</v>
      </c>
      <c r="D177" s="12">
        <v>89002.06</v>
      </c>
    </row>
    <row r="178" spans="1:4" x14ac:dyDescent="0.3">
      <c r="A178" s="9" t="s">
        <v>237</v>
      </c>
      <c r="B178" s="9" t="str">
        <f>"707551-B"</f>
        <v>707551-B</v>
      </c>
      <c r="C178" s="9" t="s">
        <v>54</v>
      </c>
      <c r="D178" s="10">
        <v>6574.31</v>
      </c>
    </row>
    <row r="179" spans="1:4" x14ac:dyDescent="0.3">
      <c r="A179" s="11" t="s">
        <v>238</v>
      </c>
      <c r="B179" s="11" t="str">
        <f>"737508"</f>
        <v>737508</v>
      </c>
      <c r="C179" s="11" t="s">
        <v>55</v>
      </c>
      <c r="D179" s="12">
        <v>252870.59</v>
      </c>
    </row>
    <row r="180" spans="1:4" x14ac:dyDescent="0.3">
      <c r="A180" s="9" t="s">
        <v>239</v>
      </c>
      <c r="B180" s="9" t="str">
        <f>"737511"</f>
        <v>737511</v>
      </c>
      <c r="C180" s="9" t="s">
        <v>55</v>
      </c>
      <c r="D180" s="10">
        <v>128308.91</v>
      </c>
    </row>
    <row r="181" spans="1:4" x14ac:dyDescent="0.3">
      <c r="A181" s="11" t="s">
        <v>240</v>
      </c>
      <c r="B181" s="11" t="str">
        <f>"737535"</f>
        <v>737535</v>
      </c>
      <c r="C181" s="11" t="s">
        <v>55</v>
      </c>
      <c r="D181" s="12">
        <v>13271.18</v>
      </c>
    </row>
    <row r="182" spans="1:4" x14ac:dyDescent="0.3">
      <c r="A182" s="9" t="s">
        <v>241</v>
      </c>
      <c r="B182" s="9" t="str">
        <f>"747507"</f>
        <v>747507</v>
      </c>
      <c r="C182" s="9" t="s">
        <v>56</v>
      </c>
      <c r="D182" s="10">
        <v>8739.19</v>
      </c>
    </row>
    <row r="183" spans="1:4" x14ac:dyDescent="0.3">
      <c r="A183" s="11" t="s">
        <v>242</v>
      </c>
      <c r="B183" s="11" t="str">
        <f>"747509-B"</f>
        <v>747509-B</v>
      </c>
      <c r="C183" s="11" t="s">
        <v>56</v>
      </c>
      <c r="D183" s="12">
        <v>2984.18</v>
      </c>
    </row>
    <row r="184" spans="1:4" x14ac:dyDescent="0.3">
      <c r="A184" s="9" t="s">
        <v>243</v>
      </c>
      <c r="B184" s="9" t="str">
        <f>"747509-C"</f>
        <v>747509-C</v>
      </c>
      <c r="C184" s="9" t="s">
        <v>56</v>
      </c>
      <c r="D184" s="10">
        <v>14825.3</v>
      </c>
    </row>
    <row r="185" spans="1:4" x14ac:dyDescent="0.3">
      <c r="A185" s="11" t="s">
        <v>244</v>
      </c>
      <c r="B185" s="11" t="str">
        <f>"747526-A"</f>
        <v>747526-A</v>
      </c>
      <c r="C185" s="11" t="s">
        <v>56</v>
      </c>
      <c r="D185" s="12">
        <v>4282.5</v>
      </c>
    </row>
    <row r="186" spans="1:4" x14ac:dyDescent="0.3">
      <c r="A186" s="9" t="s">
        <v>245</v>
      </c>
      <c r="B186" s="9" t="str">
        <f>"747526-C"</f>
        <v>747526-C</v>
      </c>
      <c r="C186" s="9" t="s">
        <v>56</v>
      </c>
      <c r="D186" s="10">
        <v>96.33</v>
      </c>
    </row>
    <row r="187" spans="1:4" x14ac:dyDescent="0.3">
      <c r="A187" s="11" t="s">
        <v>246</v>
      </c>
      <c r="B187" s="11" t="str">
        <f>"747527"</f>
        <v>747527</v>
      </c>
      <c r="C187" s="11" t="s">
        <v>56</v>
      </c>
      <c r="D187" s="12">
        <v>219825.38</v>
      </c>
    </row>
    <row r="188" spans="1:4" x14ac:dyDescent="0.3">
      <c r="A188" s="9" t="s">
        <v>247</v>
      </c>
      <c r="B188" s="9" t="str">
        <f>"747528"</f>
        <v>747528</v>
      </c>
      <c r="C188" s="9" t="s">
        <v>56</v>
      </c>
      <c r="D188" s="10">
        <v>656.69</v>
      </c>
    </row>
    <row r="189" spans="1:4" x14ac:dyDescent="0.3">
      <c r="A189" s="11" t="s">
        <v>248</v>
      </c>
      <c r="B189" s="11" t="str">
        <f>"757505-A"</f>
        <v>757505-A</v>
      </c>
      <c r="C189" s="11" t="s">
        <v>57</v>
      </c>
      <c r="D189" s="12">
        <v>1016.51</v>
      </c>
    </row>
    <row r="190" spans="1:4" x14ac:dyDescent="0.3">
      <c r="A190" s="9" t="s">
        <v>249</v>
      </c>
      <c r="B190" s="9" t="str">
        <f>"757507-A"</f>
        <v>757507-A</v>
      </c>
      <c r="C190" s="9" t="s">
        <v>57</v>
      </c>
      <c r="D190" s="10">
        <v>1185.46</v>
      </c>
    </row>
    <row r="191" spans="1:4" x14ac:dyDescent="0.3">
      <c r="A191" s="11" t="s">
        <v>250</v>
      </c>
      <c r="B191" s="11" t="str">
        <f>"757507-B"</f>
        <v>757507-B</v>
      </c>
      <c r="C191" s="11" t="s">
        <v>57</v>
      </c>
      <c r="D191" s="12">
        <v>7211.75</v>
      </c>
    </row>
    <row r="192" spans="1:4" x14ac:dyDescent="0.3">
      <c r="A192" s="9" t="s">
        <v>251</v>
      </c>
      <c r="B192" s="9" t="str">
        <f>"757521"</f>
        <v>757521</v>
      </c>
      <c r="C192" s="9" t="s">
        <v>57</v>
      </c>
      <c r="D192" s="10">
        <v>3795.99</v>
      </c>
    </row>
    <row r="193" spans="1:4" x14ac:dyDescent="0.3">
      <c r="A193" s="11" t="s">
        <v>252</v>
      </c>
      <c r="B193" s="11" t="str">
        <f>"757524"</f>
        <v>757524</v>
      </c>
      <c r="C193" s="11" t="s">
        <v>57</v>
      </c>
      <c r="D193" s="12">
        <v>84445.119999999995</v>
      </c>
    </row>
    <row r="194" spans="1:4" x14ac:dyDescent="0.3">
      <c r="A194" s="9" t="s">
        <v>253</v>
      </c>
      <c r="B194" s="9" t="str">
        <f>"757525"</f>
        <v>757525</v>
      </c>
      <c r="C194" s="9" t="s">
        <v>57</v>
      </c>
      <c r="D194" s="10">
        <v>55542.98</v>
      </c>
    </row>
    <row r="195" spans="1:4" x14ac:dyDescent="0.3">
      <c r="A195" s="11" t="s">
        <v>254</v>
      </c>
      <c r="B195" s="11" t="str">
        <f>"777501"</f>
        <v>777501</v>
      </c>
      <c r="C195" s="11" t="s">
        <v>58</v>
      </c>
      <c r="D195" s="12">
        <v>87449.18</v>
      </c>
    </row>
    <row r="196" spans="1:4" x14ac:dyDescent="0.3">
      <c r="A196" s="9" t="s">
        <v>255</v>
      </c>
      <c r="B196" s="9" t="str">
        <f>"787510"</f>
        <v>787510</v>
      </c>
      <c r="C196" s="9" t="s">
        <v>59</v>
      </c>
      <c r="D196" s="10">
        <v>16781.060000000001</v>
      </c>
    </row>
    <row r="197" spans="1:4" x14ac:dyDescent="0.3">
      <c r="A197" s="11" t="s">
        <v>256</v>
      </c>
      <c r="B197" s="11" t="str">
        <f>"787511-A"</f>
        <v>787511-A</v>
      </c>
      <c r="C197" s="11" t="s">
        <v>59</v>
      </c>
      <c r="D197" s="12">
        <v>606.58000000000004</v>
      </c>
    </row>
    <row r="198" spans="1:4" x14ac:dyDescent="0.3">
      <c r="A198" s="9" t="s">
        <v>257</v>
      </c>
      <c r="B198" s="9" t="str">
        <f>"787511-D"</f>
        <v>787511-D</v>
      </c>
      <c r="C198" s="9" t="s">
        <v>59</v>
      </c>
      <c r="D198" s="10">
        <v>358.44</v>
      </c>
    </row>
    <row r="199" spans="1:4" x14ac:dyDescent="0.3">
      <c r="A199" s="11" t="s">
        <v>258</v>
      </c>
      <c r="B199" s="11" t="str">
        <f>"787511-E"</f>
        <v>787511-E</v>
      </c>
      <c r="C199" s="11" t="s">
        <v>59</v>
      </c>
      <c r="D199" s="12">
        <v>3165.39</v>
      </c>
    </row>
    <row r="200" spans="1:4" x14ac:dyDescent="0.3">
      <c r="A200" s="9" t="s">
        <v>259</v>
      </c>
      <c r="B200" s="9" t="str">
        <f>"787520"</f>
        <v>787520</v>
      </c>
      <c r="C200" s="9" t="s">
        <v>59</v>
      </c>
      <c r="D200" s="10">
        <v>7062.75</v>
      </c>
    </row>
    <row r="201" spans="1:4" x14ac:dyDescent="0.3">
      <c r="A201" s="11" t="s">
        <v>260</v>
      </c>
      <c r="B201" s="11" t="str">
        <f>"787531-A"</f>
        <v>787531-A</v>
      </c>
      <c r="C201" s="11" t="s">
        <v>59</v>
      </c>
      <c r="D201" s="12">
        <v>288.87</v>
      </c>
    </row>
    <row r="202" spans="1:4" x14ac:dyDescent="0.3">
      <c r="A202" s="9" t="s">
        <v>261</v>
      </c>
      <c r="B202" s="9" t="str">
        <f>"787531-B"</f>
        <v>787531-B</v>
      </c>
      <c r="C202" s="9" t="s">
        <v>59</v>
      </c>
      <c r="D202" s="10">
        <v>1818.82</v>
      </c>
    </row>
    <row r="203" spans="1:4" x14ac:dyDescent="0.3">
      <c r="A203" s="11" t="s">
        <v>262</v>
      </c>
      <c r="B203" s="11" t="str">
        <f>"787531-C"</f>
        <v>787531-C</v>
      </c>
      <c r="C203" s="11" t="s">
        <v>59</v>
      </c>
      <c r="D203" s="12">
        <v>141.84</v>
      </c>
    </row>
    <row r="204" spans="1:4" x14ac:dyDescent="0.3">
      <c r="A204" s="9" t="s">
        <v>263</v>
      </c>
      <c r="B204" s="9" t="str">
        <f>"787532"</f>
        <v>787532</v>
      </c>
      <c r="C204" s="9" t="s">
        <v>59</v>
      </c>
      <c r="D204" s="10">
        <v>1583.01</v>
      </c>
    </row>
    <row r="205" spans="1:4" x14ac:dyDescent="0.3">
      <c r="A205" s="11" t="s">
        <v>264</v>
      </c>
      <c r="B205" s="11" t="str">
        <f>"807511-A"</f>
        <v>807511-A</v>
      </c>
      <c r="C205" s="11" t="s">
        <v>60</v>
      </c>
      <c r="D205" s="12">
        <v>18196.310000000001</v>
      </c>
    </row>
    <row r="206" spans="1:4" x14ac:dyDescent="0.3">
      <c r="A206" s="9" t="s">
        <v>265</v>
      </c>
      <c r="B206" s="9" t="str">
        <f>"807511-B"</f>
        <v>807511-B</v>
      </c>
      <c r="C206" s="9" t="s">
        <v>60</v>
      </c>
      <c r="D206" s="10">
        <v>12959.61</v>
      </c>
    </row>
    <row r="207" spans="1:4" x14ac:dyDescent="0.3">
      <c r="A207" s="11" t="s">
        <v>266</v>
      </c>
      <c r="B207" s="11" t="str">
        <f>"807540-A"</f>
        <v>807540-A</v>
      </c>
      <c r="C207" s="11" t="s">
        <v>60</v>
      </c>
      <c r="D207" s="12">
        <v>227014.58</v>
      </c>
    </row>
    <row r="208" spans="1:4" x14ac:dyDescent="0.3">
      <c r="A208" s="9" t="s">
        <v>267</v>
      </c>
      <c r="B208" s="9" t="str">
        <f>"807540-B"</f>
        <v>807540-B</v>
      </c>
      <c r="C208" s="9" t="s">
        <v>60</v>
      </c>
      <c r="D208" s="10">
        <v>18422.2</v>
      </c>
    </row>
    <row r="209" spans="1:4" x14ac:dyDescent="0.3">
      <c r="A209" s="11" t="s">
        <v>268</v>
      </c>
      <c r="B209" s="11" t="str">
        <f>"807540-C"</f>
        <v>807540-C</v>
      </c>
      <c r="C209" s="11" t="s">
        <v>60</v>
      </c>
      <c r="D209" s="12">
        <v>12344.61</v>
      </c>
    </row>
    <row r="210" spans="1:4" x14ac:dyDescent="0.3">
      <c r="A210" s="9" t="s">
        <v>269</v>
      </c>
      <c r="B210" s="9" t="str">
        <f>"817507-A"</f>
        <v>817507-A</v>
      </c>
      <c r="C210" s="9" t="s">
        <v>61</v>
      </c>
      <c r="D210" s="10">
        <v>78059.490000000005</v>
      </c>
    </row>
    <row r="211" spans="1:4" x14ac:dyDescent="0.3">
      <c r="A211" s="11" t="s">
        <v>270</v>
      </c>
      <c r="B211" s="11" t="str">
        <f>"817507-B"</f>
        <v>817507-B</v>
      </c>
      <c r="C211" s="11" t="s">
        <v>61</v>
      </c>
      <c r="D211" s="12">
        <v>263801.58</v>
      </c>
    </row>
    <row r="212" spans="1:4" x14ac:dyDescent="0.3">
      <c r="A212" s="9" t="s">
        <v>271</v>
      </c>
      <c r="B212" s="9" t="str">
        <f>"817508"</f>
        <v>817508</v>
      </c>
      <c r="C212" s="9" t="s">
        <v>61</v>
      </c>
      <c r="D212" s="10">
        <v>145704.76999999999</v>
      </c>
    </row>
    <row r="213" spans="1:4" x14ac:dyDescent="0.3">
      <c r="A213" s="11" t="s">
        <v>272</v>
      </c>
      <c r="B213" s="11" t="str">
        <f>"817522-C"</f>
        <v>817522-C</v>
      </c>
      <c r="C213" s="11" t="s">
        <v>61</v>
      </c>
      <c r="D213" s="12">
        <v>14485.58</v>
      </c>
    </row>
    <row r="214" spans="1:4" x14ac:dyDescent="0.3">
      <c r="A214" s="9" t="s">
        <v>273</v>
      </c>
      <c r="B214" s="9" t="str">
        <f>"817522-D"</f>
        <v>817522-D</v>
      </c>
      <c r="C214" s="9" t="s">
        <v>61</v>
      </c>
      <c r="D214" s="10">
        <v>1355.59</v>
      </c>
    </row>
    <row r="215" spans="1:4" x14ac:dyDescent="0.3">
      <c r="A215" s="11" t="s">
        <v>274</v>
      </c>
      <c r="B215" s="11" t="str">
        <f>"817522-F"</f>
        <v>817522-F</v>
      </c>
      <c r="C215" s="11" t="s">
        <v>61</v>
      </c>
      <c r="D215" s="12">
        <v>6127.63</v>
      </c>
    </row>
    <row r="216" spans="1:4" x14ac:dyDescent="0.3">
      <c r="A216" s="9" t="s">
        <v>275</v>
      </c>
      <c r="B216" s="9" t="str">
        <f>"817541"</f>
        <v>817541</v>
      </c>
      <c r="C216" s="9" t="s">
        <v>61</v>
      </c>
      <c r="D216" s="10">
        <v>16303.52</v>
      </c>
    </row>
    <row r="217" spans="1:4" x14ac:dyDescent="0.3">
      <c r="A217" s="11" t="s">
        <v>276</v>
      </c>
      <c r="B217" s="11" t="str">
        <f>"817556-A"</f>
        <v>817556-A</v>
      </c>
      <c r="C217" s="11" t="s">
        <v>61</v>
      </c>
      <c r="D217" s="12">
        <v>86592.53</v>
      </c>
    </row>
    <row r="218" spans="1:4" x14ac:dyDescent="0.3">
      <c r="A218" s="9" t="s">
        <v>277</v>
      </c>
      <c r="B218" s="9" t="str">
        <f>"817556-B"</f>
        <v>817556-B</v>
      </c>
      <c r="C218" s="9" t="s">
        <v>61</v>
      </c>
      <c r="D218" s="10">
        <v>19406.830000000002</v>
      </c>
    </row>
    <row r="219" spans="1:4" x14ac:dyDescent="0.3">
      <c r="A219" s="11" t="s">
        <v>278</v>
      </c>
      <c r="B219" s="11" t="str">
        <f>"817572"</f>
        <v>817572</v>
      </c>
      <c r="C219" s="11" t="s">
        <v>61</v>
      </c>
      <c r="D219" s="12">
        <v>342116.68</v>
      </c>
    </row>
    <row r="220" spans="1:4" x14ac:dyDescent="0.3">
      <c r="A220" s="9" t="s">
        <v>279</v>
      </c>
      <c r="B220" s="9" t="str">
        <f>"827532"</f>
        <v>827532</v>
      </c>
      <c r="C220" s="9" t="s">
        <v>62</v>
      </c>
      <c r="D220" s="10">
        <v>1902847.57</v>
      </c>
    </row>
    <row r="221" spans="1:4" x14ac:dyDescent="0.3">
      <c r="A221" s="11" t="s">
        <v>280</v>
      </c>
      <c r="B221" s="11" t="str">
        <f>"827535"</f>
        <v>827535</v>
      </c>
      <c r="C221" s="11" t="s">
        <v>62</v>
      </c>
      <c r="D221" s="12">
        <v>598924.9</v>
      </c>
    </row>
    <row r="222" spans="1:4" x14ac:dyDescent="0.3">
      <c r="A222" s="9" t="s">
        <v>281</v>
      </c>
      <c r="B222" s="9" t="str">
        <f>"827536"</f>
        <v>827536</v>
      </c>
      <c r="C222" s="9" t="s">
        <v>62</v>
      </c>
      <c r="D222" s="10">
        <v>1096122.69</v>
      </c>
    </row>
    <row r="223" spans="1:4" x14ac:dyDescent="0.3">
      <c r="A223" s="11" t="s">
        <v>282</v>
      </c>
      <c r="B223" s="11" t="str">
        <f>"827538-A"</f>
        <v>827538-A</v>
      </c>
      <c r="C223" s="11" t="s">
        <v>62</v>
      </c>
      <c r="D223" s="12">
        <v>2418.4299999999998</v>
      </c>
    </row>
    <row r="224" spans="1:4" x14ac:dyDescent="0.3">
      <c r="A224" s="9" t="s">
        <v>283</v>
      </c>
      <c r="B224" s="9" t="str">
        <f>"827538-B"</f>
        <v>827538-B</v>
      </c>
      <c r="C224" s="9" t="s">
        <v>62</v>
      </c>
      <c r="D224" s="10">
        <v>92848.5</v>
      </c>
    </row>
    <row r="225" spans="1:4" x14ac:dyDescent="0.3">
      <c r="A225" s="11" t="s">
        <v>284</v>
      </c>
      <c r="B225" s="11" t="str">
        <f>"827540-A"</f>
        <v>827540-A</v>
      </c>
      <c r="C225" s="11" t="s">
        <v>62</v>
      </c>
      <c r="D225" s="12">
        <v>64952.36</v>
      </c>
    </row>
    <row r="226" spans="1:4" x14ac:dyDescent="0.3">
      <c r="A226" s="9" t="s">
        <v>285</v>
      </c>
      <c r="B226" s="9" t="str">
        <f>"827540-B"</f>
        <v>827540-B</v>
      </c>
      <c r="C226" s="9" t="s">
        <v>62</v>
      </c>
      <c r="D226" s="10">
        <v>2483419.19</v>
      </c>
    </row>
    <row r="227" spans="1:4" x14ac:dyDescent="0.3">
      <c r="A227" s="11" t="s">
        <v>286</v>
      </c>
      <c r="B227" s="11" t="str">
        <f>"827542"</f>
        <v>827542</v>
      </c>
      <c r="C227" s="11" t="s">
        <v>62</v>
      </c>
      <c r="D227" s="12">
        <v>283539.44</v>
      </c>
    </row>
    <row r="228" spans="1:4" x14ac:dyDescent="0.3">
      <c r="A228" s="9" t="s">
        <v>287</v>
      </c>
      <c r="B228" s="9" t="str">
        <f>"827546-A"</f>
        <v>827546-A</v>
      </c>
      <c r="C228" s="9" t="s">
        <v>62</v>
      </c>
      <c r="D228" s="10">
        <v>26848.880000000001</v>
      </c>
    </row>
    <row r="229" spans="1:4" x14ac:dyDescent="0.3">
      <c r="A229" s="11" t="s">
        <v>288</v>
      </c>
      <c r="B229" s="11" t="str">
        <f>"827546-B"</f>
        <v>827546-B</v>
      </c>
      <c r="C229" s="11" t="s">
        <v>62</v>
      </c>
      <c r="D229" s="12">
        <v>91780.08</v>
      </c>
    </row>
    <row r="230" spans="1:4" x14ac:dyDescent="0.3">
      <c r="A230" s="9" t="s">
        <v>289</v>
      </c>
      <c r="B230" s="9" t="str">
        <f>"827555"</f>
        <v>827555</v>
      </c>
      <c r="C230" s="9" t="s">
        <v>62</v>
      </c>
      <c r="D230" s="10">
        <v>67794.539999999994</v>
      </c>
    </row>
    <row r="231" spans="1:4" x14ac:dyDescent="0.3">
      <c r="A231" s="11" t="s">
        <v>290</v>
      </c>
      <c r="B231" s="11" t="str">
        <f>"827566"</f>
        <v>827566</v>
      </c>
      <c r="C231" s="11" t="s">
        <v>62</v>
      </c>
      <c r="D231" s="12">
        <v>8813.64</v>
      </c>
    </row>
    <row r="232" spans="1:4" x14ac:dyDescent="0.3">
      <c r="A232" s="9" t="s">
        <v>291</v>
      </c>
      <c r="B232" s="9" t="str">
        <f>"827571"</f>
        <v>827571</v>
      </c>
      <c r="C232" s="9" t="s">
        <v>62</v>
      </c>
      <c r="D232" s="10">
        <v>62458.78</v>
      </c>
    </row>
    <row r="233" spans="1:4" x14ac:dyDescent="0.3">
      <c r="A233" s="11" t="s">
        <v>292</v>
      </c>
      <c r="B233" s="11" t="str">
        <f>"827573-A"</f>
        <v>827573-A</v>
      </c>
      <c r="C233" s="11" t="s">
        <v>62</v>
      </c>
      <c r="D233" s="12">
        <v>98620.68</v>
      </c>
    </row>
    <row r="234" spans="1:4" x14ac:dyDescent="0.3">
      <c r="A234" s="9" t="s">
        <v>293</v>
      </c>
      <c r="B234" s="9" t="str">
        <f>"827573-B"</f>
        <v>827573-B</v>
      </c>
      <c r="C234" s="9" t="s">
        <v>62</v>
      </c>
      <c r="D234" s="10">
        <v>369663.31</v>
      </c>
    </row>
    <row r="235" spans="1:4" x14ac:dyDescent="0.3">
      <c r="A235" s="11" t="s">
        <v>294</v>
      </c>
      <c r="B235" s="11" t="str">
        <f>"827574"</f>
        <v>827574</v>
      </c>
      <c r="C235" s="11" t="s">
        <v>62</v>
      </c>
      <c r="D235" s="12">
        <v>47977.05</v>
      </c>
    </row>
    <row r="236" spans="1:4" x14ac:dyDescent="0.3">
      <c r="A236" s="9" t="s">
        <v>295</v>
      </c>
      <c r="B236" s="9" t="str">
        <f>"827575"</f>
        <v>827575</v>
      </c>
      <c r="C236" s="9" t="s">
        <v>62</v>
      </c>
      <c r="D236" s="10">
        <v>39868.04</v>
      </c>
    </row>
    <row r="237" spans="1:4" x14ac:dyDescent="0.3">
      <c r="A237" s="11" t="s">
        <v>296</v>
      </c>
      <c r="B237" s="11" t="str">
        <f>"827579"</f>
        <v>827579</v>
      </c>
      <c r="C237" s="11" t="s">
        <v>62</v>
      </c>
      <c r="D237" s="12">
        <v>448265.63</v>
      </c>
    </row>
    <row r="238" spans="1:4" x14ac:dyDescent="0.3">
      <c r="A238" s="9" t="s">
        <v>297</v>
      </c>
      <c r="B238" s="9" t="str">
        <f>"827582-A"</f>
        <v>827582-A</v>
      </c>
      <c r="C238" s="9" t="s">
        <v>62</v>
      </c>
      <c r="D238" s="10">
        <v>6335.6</v>
      </c>
    </row>
    <row r="239" spans="1:4" x14ac:dyDescent="0.3">
      <c r="A239" s="11" t="s">
        <v>298</v>
      </c>
      <c r="B239" s="11" t="str">
        <f>"827582-B"</f>
        <v>827582-B</v>
      </c>
      <c r="C239" s="11" t="s">
        <v>62</v>
      </c>
      <c r="D239" s="12">
        <v>1698570.01</v>
      </c>
    </row>
    <row r="240" spans="1:4" x14ac:dyDescent="0.3">
      <c r="A240" s="9" t="s">
        <v>299</v>
      </c>
      <c r="B240" s="9" t="str">
        <f>"827584"</f>
        <v>827584</v>
      </c>
      <c r="C240" s="9" t="s">
        <v>62</v>
      </c>
      <c r="D240" s="10">
        <v>24711.78</v>
      </c>
    </row>
    <row r="241" spans="1:4" x14ac:dyDescent="0.3">
      <c r="A241" s="11" t="s">
        <v>300</v>
      </c>
      <c r="B241" s="11" t="str">
        <f>"827590-A"</f>
        <v>827590-A</v>
      </c>
      <c r="C241" s="11" t="s">
        <v>62</v>
      </c>
      <c r="D241" s="12">
        <v>81334.009999999995</v>
      </c>
    </row>
    <row r="242" spans="1:4" x14ac:dyDescent="0.3">
      <c r="A242" s="9" t="s">
        <v>301</v>
      </c>
      <c r="B242" s="9" t="str">
        <f>"827590-B"</f>
        <v>827590-B</v>
      </c>
      <c r="C242" s="9" t="s">
        <v>62</v>
      </c>
      <c r="D242" s="10">
        <v>260.64999999999998</v>
      </c>
    </row>
    <row r="243" spans="1:4" x14ac:dyDescent="0.3">
      <c r="A243" s="11" t="s">
        <v>302</v>
      </c>
      <c r="B243" s="11" t="str">
        <f>"827594"</f>
        <v>827594</v>
      </c>
      <c r="C243" s="11" t="s">
        <v>62</v>
      </c>
      <c r="D243" s="12">
        <v>100277.72</v>
      </c>
    </row>
    <row r="244" spans="1:4" x14ac:dyDescent="0.3">
      <c r="A244" s="9" t="s">
        <v>303</v>
      </c>
      <c r="B244" s="9" t="str">
        <f>"827596"</f>
        <v>827596</v>
      </c>
      <c r="C244" s="9" t="s">
        <v>62</v>
      </c>
      <c r="D244" s="10">
        <v>107546.07</v>
      </c>
    </row>
    <row r="245" spans="1:4" x14ac:dyDescent="0.3">
      <c r="A245" s="11" t="s">
        <v>304</v>
      </c>
      <c r="B245" s="11" t="str">
        <f>"827620-B"</f>
        <v>827620-B</v>
      </c>
      <c r="C245" s="11" t="s">
        <v>62</v>
      </c>
      <c r="D245" s="12">
        <v>23665.91</v>
      </c>
    </row>
    <row r="246" spans="1:4" x14ac:dyDescent="0.3">
      <c r="A246" s="9" t="s">
        <v>305</v>
      </c>
      <c r="B246" s="9" t="str">
        <f>"827638-C"</f>
        <v>827638-C</v>
      </c>
      <c r="C246" s="9" t="s">
        <v>62</v>
      </c>
      <c r="D246" s="10">
        <v>1218.53</v>
      </c>
    </row>
    <row r="247" spans="1:4" x14ac:dyDescent="0.3">
      <c r="A247" s="11" t="s">
        <v>306</v>
      </c>
      <c r="B247" s="11" t="str">
        <f>"827638-D"</f>
        <v>827638-D</v>
      </c>
      <c r="C247" s="11" t="s">
        <v>62</v>
      </c>
      <c r="D247" s="12">
        <v>635.34</v>
      </c>
    </row>
    <row r="248" spans="1:4" x14ac:dyDescent="0.3">
      <c r="A248" s="9" t="s">
        <v>307</v>
      </c>
      <c r="B248" s="9" t="str">
        <f>"827638-F"</f>
        <v>827638-F</v>
      </c>
      <c r="C248" s="9" t="s">
        <v>62</v>
      </c>
      <c r="D248" s="10">
        <v>969.44</v>
      </c>
    </row>
    <row r="249" spans="1:4" x14ac:dyDescent="0.3">
      <c r="A249" s="11" t="s">
        <v>308</v>
      </c>
      <c r="B249" s="11" t="str">
        <f>"827638-J"</f>
        <v>827638-J</v>
      </c>
      <c r="C249" s="11" t="s">
        <v>62</v>
      </c>
      <c r="D249" s="12">
        <v>5732.98</v>
      </c>
    </row>
    <row r="250" spans="1:4" x14ac:dyDescent="0.3">
      <c r="A250" s="9" t="s">
        <v>309</v>
      </c>
      <c r="B250" s="9" t="str">
        <f>"827638-K"</f>
        <v>827638-K</v>
      </c>
      <c r="C250" s="9" t="s">
        <v>62</v>
      </c>
      <c r="D250" s="10">
        <v>1598.62</v>
      </c>
    </row>
    <row r="251" spans="1:4" x14ac:dyDescent="0.3">
      <c r="A251" s="11" t="s">
        <v>310</v>
      </c>
      <c r="B251" s="11" t="str">
        <f>"827638-L"</f>
        <v>827638-L</v>
      </c>
      <c r="C251" s="11" t="s">
        <v>62</v>
      </c>
      <c r="D251" s="12">
        <v>2491.6</v>
      </c>
    </row>
    <row r="252" spans="1:4" x14ac:dyDescent="0.3">
      <c r="A252" s="9" t="s">
        <v>311</v>
      </c>
      <c r="B252" s="9" t="str">
        <f>"827638-M"</f>
        <v>827638-M</v>
      </c>
      <c r="C252" s="9" t="s">
        <v>62</v>
      </c>
      <c r="D252" s="10">
        <v>5253.65</v>
      </c>
    </row>
    <row r="253" spans="1:4" x14ac:dyDescent="0.3">
      <c r="A253" s="11" t="s">
        <v>312</v>
      </c>
      <c r="B253" s="11" t="str">
        <f>"827672"</f>
        <v>827672</v>
      </c>
      <c r="C253" s="11" t="s">
        <v>62</v>
      </c>
      <c r="D253" s="12">
        <v>38660.51</v>
      </c>
    </row>
    <row r="254" spans="1:4" x14ac:dyDescent="0.3">
      <c r="A254" s="9" t="s">
        <v>313</v>
      </c>
      <c r="B254" s="9" t="str">
        <f>"827681"</f>
        <v>827681</v>
      </c>
      <c r="C254" s="9" t="s">
        <v>62</v>
      </c>
      <c r="D254" s="10">
        <v>852839.35</v>
      </c>
    </row>
    <row r="255" spans="1:4" x14ac:dyDescent="0.3">
      <c r="A255" s="11" t="s">
        <v>314</v>
      </c>
      <c r="B255" s="11" t="str">
        <f>"827682"</f>
        <v>827682</v>
      </c>
      <c r="C255" s="11" t="s">
        <v>62</v>
      </c>
      <c r="D255" s="12">
        <v>10739.17</v>
      </c>
    </row>
    <row r="256" spans="1:4" x14ac:dyDescent="0.3">
      <c r="A256" s="9" t="s">
        <v>315</v>
      </c>
      <c r="B256" s="9" t="str">
        <f>"827684"</f>
        <v>827684</v>
      </c>
      <c r="C256" s="9" t="s">
        <v>62</v>
      </c>
      <c r="D256" s="10">
        <v>17256.97</v>
      </c>
    </row>
    <row r="257" spans="1:4" x14ac:dyDescent="0.3">
      <c r="A257" s="11" t="s">
        <v>316</v>
      </c>
      <c r="B257" s="11" t="str">
        <f>"827700"</f>
        <v>827700</v>
      </c>
      <c r="C257" s="11" t="s">
        <v>62</v>
      </c>
      <c r="D257" s="12">
        <v>12831.04</v>
      </c>
    </row>
    <row r="258" spans="1:4" x14ac:dyDescent="0.3">
      <c r="A258" s="9" t="s">
        <v>317</v>
      </c>
      <c r="B258" s="9" t="str">
        <f>"827701"</f>
        <v>827701</v>
      </c>
      <c r="C258" s="9" t="s">
        <v>62</v>
      </c>
      <c r="D258" s="10">
        <v>16750.91</v>
      </c>
    </row>
    <row r="259" spans="1:4" x14ac:dyDescent="0.3">
      <c r="A259" s="11" t="s">
        <v>318</v>
      </c>
      <c r="B259" s="11" t="str">
        <f>"827702"</f>
        <v>827702</v>
      </c>
      <c r="C259" s="11" t="s">
        <v>62</v>
      </c>
      <c r="D259" s="12">
        <v>27592.61</v>
      </c>
    </row>
    <row r="260" spans="1:4" ht="16.2" thickBot="1" x14ac:dyDescent="0.35">
      <c r="A260" s="9" t="s">
        <v>319</v>
      </c>
      <c r="B260" s="9" t="str">
        <f>"837504"</f>
        <v>837504</v>
      </c>
      <c r="C260" s="9" t="s">
        <v>63</v>
      </c>
      <c r="D260" s="10">
        <v>6055.14</v>
      </c>
    </row>
    <row r="261" spans="1:4" ht="16.2" thickTop="1" x14ac:dyDescent="0.3">
      <c r="A261" s="13" t="s">
        <v>6</v>
      </c>
      <c r="B261" s="13"/>
      <c r="C261" s="13"/>
      <c r="D261" s="14">
        <f>SUBTOTAL(109,'TIFA - 2021 PPT REIMBURSEMENT'!$D$5:$D$260)</f>
        <v>33448516.659999993</v>
      </c>
    </row>
  </sheetData>
  <sheetProtection algorithmName="SHA-512" hashValue="IpqrWVARhEKE4+8K+4d25PX9OW6BZZv+KMUesAAL+zhWtF95ekBzem2PM2M06qmRAnvACd8c0RAzCZaVhrbEIg==" saltValue="i1TKkbACkQsfUSM0YaP31w==" spinCount="100000" sheet="1" objects="1" scenarios="1" formatColumns="0" formatRows="0" sort="0" autoFilter="0"/>
  <autoFilter ref="A4:D260" xr:uid="{00000000-0001-0000-0000-000000000000}"/>
  <printOptions horizontalCentered="1"/>
  <pageMargins left="0.25" right="0.25" top="0.75" bottom="0.75" header="0.3" footer="0.3"/>
  <pageSetup scale="79" fitToHeight="0" orientation="portrait" r:id="rId1"/>
  <headerFooter>
    <oddFooter>&amp;LTIFA - 2021 PPT Distribution by Payee
Prepared by: Revenue Sharing and Grants Division&amp;RPage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TIFA - 2021 PPT REIMBURSEMENT</vt:lpstr>
      <vt:lpstr>'TIFA - 2021 PPT REIMBURSEMENT'!Print_Titles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Yearling, Julia (TREASURY)</dc:creator>
  <cp:lastModifiedBy>Kolka, Carolyn (Treasury)</cp:lastModifiedBy>
  <cp:lastPrinted>2021-10-21T19:36:32Z</cp:lastPrinted>
  <dcterms:created xsi:type="dcterms:W3CDTF">2021-10-11T16:10:09Z</dcterms:created>
  <dcterms:modified xsi:type="dcterms:W3CDTF">2021-10-21T19:36:56Z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2021-10-21T19:36:38Z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949499ac-7493-485e-9d1c-d19c434f2637</vt:lpwstr>
  </property>
  <property fmtid="{D5CDD505-2E9C-101B-9397-08002B2CF9AE}" pid="8" name="MSIP_Label_2f46dfe0-534f-4c95-815c-5b1af86b9823_ContentBits">
    <vt:lpwstr>0</vt:lpwstr>
  </property>
</Properties>
</file>