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michigan-my.sharepoint.com/personal/woodse3_michigan_gov/Documents/Documents/MICRC/Administration/"/>
    </mc:Choice>
  </mc:AlternateContent>
  <xr:revisionPtr revIDLastSave="0" documentId="8_{06CCA7CA-57DA-478F-937F-619113B689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fit and Los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L26" i="1"/>
  <c r="K26" i="1"/>
  <c r="J26" i="1"/>
  <c r="I26" i="1"/>
  <c r="G26" i="1"/>
  <c r="F26" i="1"/>
  <c r="E26" i="1"/>
  <c r="M25" i="1"/>
  <c r="L25" i="1"/>
  <c r="K25" i="1"/>
  <c r="J25" i="1"/>
  <c r="I25" i="1"/>
  <c r="H25" i="1"/>
  <c r="G25" i="1"/>
  <c r="F25" i="1"/>
  <c r="E25" i="1"/>
  <c r="D25" i="1"/>
  <c r="C25" i="1"/>
  <c r="B25" i="1"/>
  <c r="M23" i="1"/>
  <c r="L23" i="1"/>
  <c r="K23" i="1"/>
  <c r="J23" i="1"/>
  <c r="I23" i="1"/>
  <c r="H23" i="1"/>
  <c r="G23" i="1"/>
  <c r="F23" i="1"/>
  <c r="E23" i="1"/>
  <c r="D23" i="1"/>
  <c r="C23" i="1"/>
  <c r="B23" i="1"/>
  <c r="M22" i="1"/>
  <c r="L22" i="1"/>
  <c r="K22" i="1"/>
  <c r="J22" i="1"/>
  <c r="I22" i="1"/>
  <c r="H22" i="1"/>
  <c r="G22" i="1"/>
  <c r="E22" i="1"/>
  <c r="D22" i="1"/>
  <c r="C22" i="1"/>
  <c r="H21" i="1"/>
  <c r="G21" i="1"/>
  <c r="M20" i="1"/>
  <c r="L20" i="1"/>
  <c r="K20" i="1"/>
  <c r="J20" i="1"/>
  <c r="I20" i="1"/>
  <c r="I24" i="1" s="1"/>
  <c r="H20" i="1"/>
  <c r="G20" i="1"/>
  <c r="F20" i="1"/>
  <c r="E20" i="1"/>
  <c r="D20" i="1"/>
  <c r="C20" i="1"/>
  <c r="B20" i="1"/>
  <c r="M19" i="1"/>
  <c r="L19" i="1"/>
  <c r="K19" i="1"/>
  <c r="I19" i="1"/>
  <c r="H19" i="1"/>
  <c r="G19" i="1"/>
  <c r="F19" i="1"/>
  <c r="E19" i="1"/>
  <c r="D19" i="1"/>
  <c r="C19" i="1"/>
  <c r="B19" i="1"/>
  <c r="M18" i="1"/>
  <c r="L18" i="1"/>
  <c r="L24" i="1" s="1"/>
  <c r="K18" i="1"/>
  <c r="J18" i="1"/>
  <c r="H18" i="1"/>
  <c r="G18" i="1"/>
  <c r="F18" i="1"/>
  <c r="E18" i="1"/>
  <c r="D18" i="1"/>
  <c r="C18" i="1"/>
  <c r="B18" i="1"/>
  <c r="N17" i="1"/>
  <c r="M16" i="1"/>
  <c r="J16" i="1"/>
  <c r="I16" i="1"/>
  <c r="F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B11" i="1"/>
  <c r="M8" i="1"/>
  <c r="M9" i="1" s="1"/>
  <c r="L8" i="1"/>
  <c r="L9" i="1" s="1"/>
  <c r="K8" i="1"/>
  <c r="K9" i="1" s="1"/>
  <c r="J8" i="1"/>
  <c r="J9" i="1" s="1"/>
  <c r="I8" i="1"/>
  <c r="I9" i="1" s="1"/>
  <c r="H8" i="1"/>
  <c r="H9" i="1" s="1"/>
  <c r="G8" i="1"/>
  <c r="G9" i="1" s="1"/>
  <c r="E8" i="1"/>
  <c r="E9" i="1" s="1"/>
  <c r="D8" i="1"/>
  <c r="D9" i="1" s="1"/>
  <c r="C8" i="1"/>
  <c r="C9" i="1" s="1"/>
  <c r="B8" i="1"/>
  <c r="B9" i="1" s="1"/>
  <c r="F7" i="1"/>
  <c r="F8" i="1" s="1"/>
  <c r="F9" i="1" s="1"/>
  <c r="N16" i="1" l="1"/>
  <c r="B24" i="1"/>
  <c r="B27" i="1" s="1"/>
  <c r="B28" i="1" s="1"/>
  <c r="F24" i="1"/>
  <c r="N19" i="1"/>
  <c r="M24" i="1"/>
  <c r="M27" i="1" s="1"/>
  <c r="M28" i="1" s="1"/>
  <c r="M29" i="1" s="1"/>
  <c r="N21" i="1"/>
  <c r="N25" i="1"/>
  <c r="K24" i="1"/>
  <c r="N13" i="1"/>
  <c r="J27" i="1"/>
  <c r="J28" i="1" s="1"/>
  <c r="J29" i="1" s="1"/>
  <c r="C24" i="1"/>
  <c r="N26" i="1"/>
  <c r="D24" i="1"/>
  <c r="E24" i="1"/>
  <c r="I27" i="1"/>
  <c r="I28" i="1" s="1"/>
  <c r="I29" i="1" s="1"/>
  <c r="N23" i="1"/>
  <c r="K27" i="1"/>
  <c r="K28" i="1" s="1"/>
  <c r="K29" i="1" s="1"/>
  <c r="H24" i="1"/>
  <c r="N24" i="1" s="1"/>
  <c r="N22" i="1"/>
  <c r="F27" i="1"/>
  <c r="F28" i="1" s="1"/>
  <c r="F29" i="1" s="1"/>
  <c r="N15" i="1"/>
  <c r="G24" i="1"/>
  <c r="G27" i="1" s="1"/>
  <c r="G28" i="1" s="1"/>
  <c r="G29" i="1" s="1"/>
  <c r="N11" i="1"/>
  <c r="J24" i="1"/>
  <c r="N20" i="1"/>
  <c r="C27" i="1"/>
  <c r="D27" i="1"/>
  <c r="D28" i="1" s="1"/>
  <c r="D29" i="1" s="1"/>
  <c r="L27" i="1"/>
  <c r="L28" i="1" s="1"/>
  <c r="L29" i="1" s="1"/>
  <c r="N9" i="1"/>
  <c r="E27" i="1"/>
  <c r="E28" i="1" s="1"/>
  <c r="E29" i="1" s="1"/>
  <c r="N7" i="1"/>
  <c r="N12" i="1"/>
  <c r="N14" i="1"/>
  <c r="N18" i="1"/>
  <c r="N8" i="1"/>
  <c r="H27" i="1" l="1"/>
  <c r="H28" i="1" s="1"/>
  <c r="H29" i="1" s="1"/>
  <c r="C28" i="1"/>
  <c r="C29" i="1" s="1"/>
  <c r="B29" i="1"/>
  <c r="N29" i="1" s="1"/>
  <c r="N28" i="1"/>
  <c r="N27" i="1" l="1"/>
</calcChain>
</file>

<file path=xl/sharedStrings.xml><?xml version="1.0" encoding="utf-8"?>
<sst xmlns="http://schemas.openxmlformats.org/spreadsheetml/2006/main" count="40" uniqueCount="40">
  <si>
    <t>Oct 2022</t>
  </si>
  <si>
    <t>Nov 2022</t>
  </si>
  <si>
    <t>Dec 2022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</si>
  <si>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</si>
  <si>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</si>
  <si>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</si>
  <si>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</si>
  <si>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</si>
  <si>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</si>
  <si>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</si>
  <si>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</si>
  <si>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</si>
  <si>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Total</t>
  </si>
  <si>
    <t>Income</t>
  </si>
  <si>
    <t xml:space="preserve">   1000 State General Fund - General Purpose</t>
  </si>
  <si>
    <t>Total Income</t>
  </si>
  <si>
    <t>Gross Profit</t>
  </si>
  <si>
    <t>Expenses</t>
  </si>
  <si>
    <t xml:space="preserve">   4502 Travel Costs</t>
  </si>
  <si>
    <t xml:space="preserve">   6082 Facilities, A/V, Security</t>
  </si>
  <si>
    <t xml:space="preserve">   6100 Telecommunications</t>
  </si>
  <si>
    <t xml:space="preserve">   6112 Technology/Internal Purchases thru State</t>
  </si>
  <si>
    <t xml:space="preserve">   6128 Staff Salaries</t>
  </si>
  <si>
    <t xml:space="preserve">   6131 Promotional Outreach/Advertising</t>
  </si>
  <si>
    <t xml:space="preserve">   6133 Consultants</t>
  </si>
  <si>
    <t xml:space="preserve">      6133.1 Consultant-Line Drawing</t>
  </si>
  <si>
    <t xml:space="preserve">      6133.2 Consultant-Litigation Counsel</t>
  </si>
  <si>
    <t xml:space="preserve">      6133.3 Consultant-Local Counsel</t>
  </si>
  <si>
    <t xml:space="preserve">      6133.4 Consultant-Promotional</t>
  </si>
  <si>
    <t xml:space="preserve">      6133.6 Consultant-VRA Legal Counsel</t>
  </si>
  <si>
    <t xml:space="preserve">      6133.8 PROFESSIONAL SERVICES</t>
  </si>
  <si>
    <t xml:space="preserve">   Total 6133 Consultants</t>
  </si>
  <si>
    <t xml:space="preserve">   6136 Commissioner Pay</t>
  </si>
  <si>
    <t xml:space="preserve">   6230 Office Supplies</t>
  </si>
  <si>
    <t>Total Expenses</t>
  </si>
  <si>
    <t>Net Operating Income</t>
  </si>
  <si>
    <t>Net Income</t>
  </si>
  <si>
    <t>Michigan Independent Citizens Redistricting Commission</t>
  </si>
  <si>
    <t>Profit and Loss</t>
  </si>
  <si>
    <t>October 2022 -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</si>
</sst>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4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workbookViewId="0">
      <selection activeCell="A32" sqref="A32"/>
    </sheetView>
  </sheetViews>
  <sheetFormatPr defaultRowHeight="14.4" x14ac:dyDescent="0.3"/>
  <cols>
    <col min="1" max="1" width="42.109375" customWidth="1"/>
    <col min="2" max="14" width="12" customWidth="1"/>
  </cols>
  <sheetData>
    <row r="1" spans="1:14" ht="17.399999999999999" x14ac:dyDescent="0.3">
      <c r="A1" s="8" t="s">
        <v>37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7.399999999999999" x14ac:dyDescent="0.3">
      <c r="A2" s="8" t="s">
        <v>38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x14ac:dyDescent="0.3">
      <c r="A3" s="10" t="s">
        <v>39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5" spans="1:14" x14ac:dyDescent="0.3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</row>
    <row r="6" spans="1:14" x14ac:dyDescent="0.3">
      <c r="A6" s="3" t="s">
        <v>13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3">
      <c r="A7" s="3" t="s">
        <v>14</v>
      </c>
      <c r="B7" s="4"/>
      <c r="C7" s="4"/>
      <c r="D7" s="4"/>
      <c r="E7" s="4"/>
      <c r="F7" s="5">
        <f>3170000</f>
        <v>3170000</v>
      </c>
      <c r="G7" s="4"/>
      <c r="H7" s="4"/>
      <c r="I7" s="4"/>
      <c r="J7" s="4"/>
      <c r="K7" s="4"/>
      <c r="L7" s="4"/>
      <c r="M7" s="4"/>
      <c r="N7" s="5">
        <f>(((((((((((B7)+(C7))+(D7))+(E7))+(F7))+(G7))+(H7))+(I7))+(J7))+(K7))+(L7))+(M7)</f>
        <v>3170000</v>
      </c>
    </row>
    <row r="8" spans="1:14" x14ac:dyDescent="0.3">
      <c r="A8" s="3" t="s">
        <v>15</v>
      </c>
      <c r="B8" s="6">
        <f t="shared" ref="B8:M8" si="0">B7</f>
        <v>0</v>
      </c>
      <c r="C8" s="6">
        <f t="shared" si="0"/>
        <v>0</v>
      </c>
      <c r="D8" s="6">
        <f t="shared" si="0"/>
        <v>0</v>
      </c>
      <c r="E8" s="6">
        <f t="shared" si="0"/>
        <v>0</v>
      </c>
      <c r="F8" s="6">
        <f t="shared" si="0"/>
        <v>3170000</v>
      </c>
      <c r="G8" s="6">
        <f t="shared" si="0"/>
        <v>0</v>
      </c>
      <c r="H8" s="6">
        <f t="shared" si="0"/>
        <v>0</v>
      </c>
      <c r="I8" s="6">
        <f t="shared" si="0"/>
        <v>0</v>
      </c>
      <c r="J8" s="6">
        <f t="shared" si="0"/>
        <v>0</v>
      </c>
      <c r="K8" s="6">
        <f t="shared" si="0"/>
        <v>0</v>
      </c>
      <c r="L8" s="6">
        <f t="shared" si="0"/>
        <v>0</v>
      </c>
      <c r="M8" s="6">
        <f t="shared" si="0"/>
        <v>0</v>
      </c>
      <c r="N8" s="6">
        <f>(((((((((((B8)+(C8))+(D8))+(E8))+(F8))+(G8))+(H8))+(I8))+(J8))+(K8))+(L8))+(M8)</f>
        <v>3170000</v>
      </c>
    </row>
    <row r="9" spans="1:14" x14ac:dyDescent="0.3">
      <c r="A9" s="3" t="s">
        <v>16</v>
      </c>
      <c r="B9" s="6">
        <f t="shared" ref="B9:M9" si="1">(B8)-(0)</f>
        <v>0</v>
      </c>
      <c r="C9" s="6">
        <f t="shared" si="1"/>
        <v>0</v>
      </c>
      <c r="D9" s="6">
        <f t="shared" si="1"/>
        <v>0</v>
      </c>
      <c r="E9" s="6">
        <f t="shared" si="1"/>
        <v>0</v>
      </c>
      <c r="F9" s="6">
        <f t="shared" si="1"/>
        <v>3170000</v>
      </c>
      <c r="G9" s="6">
        <f t="shared" si="1"/>
        <v>0</v>
      </c>
      <c r="H9" s="6">
        <f t="shared" si="1"/>
        <v>0</v>
      </c>
      <c r="I9" s="6">
        <f t="shared" si="1"/>
        <v>0</v>
      </c>
      <c r="J9" s="6">
        <f t="shared" si="1"/>
        <v>0</v>
      </c>
      <c r="K9" s="6">
        <f t="shared" si="1"/>
        <v>0</v>
      </c>
      <c r="L9" s="6">
        <f t="shared" si="1"/>
        <v>0</v>
      </c>
      <c r="M9" s="6">
        <f t="shared" si="1"/>
        <v>0</v>
      </c>
      <c r="N9" s="6">
        <f>(((((((((((B9)+(C9))+(D9))+(E9))+(F9))+(G9))+(H9))+(I9))+(J9))+(K9))+(L9))+(M9)</f>
        <v>3170000</v>
      </c>
    </row>
    <row r="10" spans="1:14" x14ac:dyDescent="0.3">
      <c r="A10" s="3" t="s">
        <v>17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3">
      <c r="A11" s="3" t="s">
        <v>18</v>
      </c>
      <c r="B11" s="5">
        <f>123.27</f>
        <v>123.27</v>
      </c>
      <c r="C11" s="4"/>
      <c r="D11" s="4"/>
      <c r="E11" s="5">
        <f>98.58</f>
        <v>98.58</v>
      </c>
      <c r="F11" s="5">
        <f>270.52</f>
        <v>270.52</v>
      </c>
      <c r="G11" s="5">
        <f>97.99</f>
        <v>97.99</v>
      </c>
      <c r="H11" s="5">
        <f>149.23</f>
        <v>149.22999999999999</v>
      </c>
      <c r="I11" s="5">
        <f>523.04</f>
        <v>523.04</v>
      </c>
      <c r="J11" s="5">
        <f>818.85</f>
        <v>818.85</v>
      </c>
      <c r="K11" s="5">
        <f>506.44</f>
        <v>506.44</v>
      </c>
      <c r="L11" s="5">
        <f>498.14</f>
        <v>498.14</v>
      </c>
      <c r="M11" s="5">
        <f>-425.38</f>
        <v>-425.38</v>
      </c>
      <c r="N11" s="5">
        <f t="shared" ref="N11:N29" si="2">(((((((((((B11)+(C11))+(D11))+(E11))+(F11))+(G11))+(H11))+(I11))+(J11))+(K11))+(L11))+(M11)</f>
        <v>2660.68</v>
      </c>
    </row>
    <row r="12" spans="1:14" x14ac:dyDescent="0.3">
      <c r="A12" s="3" t="s">
        <v>19</v>
      </c>
      <c r="B12" s="5">
        <f>340</f>
        <v>340</v>
      </c>
      <c r="C12" s="5">
        <f>340</f>
        <v>340</v>
      </c>
      <c r="D12" s="5">
        <f>340</f>
        <v>340</v>
      </c>
      <c r="E12" s="5">
        <f>340</f>
        <v>340</v>
      </c>
      <c r="F12" s="5">
        <f>865</f>
        <v>865</v>
      </c>
      <c r="G12" s="5">
        <f>690</f>
        <v>690</v>
      </c>
      <c r="H12" s="5">
        <f>690</f>
        <v>690</v>
      </c>
      <c r="I12" s="5">
        <f>690</f>
        <v>690</v>
      </c>
      <c r="J12" s="5">
        <f>690</f>
        <v>690</v>
      </c>
      <c r="K12" s="5">
        <f>690</f>
        <v>690</v>
      </c>
      <c r="L12" s="5">
        <f>690</f>
        <v>690</v>
      </c>
      <c r="M12" s="5">
        <f>690</f>
        <v>690</v>
      </c>
      <c r="N12" s="5">
        <f t="shared" si="2"/>
        <v>7055</v>
      </c>
    </row>
    <row r="13" spans="1:14" x14ac:dyDescent="0.3">
      <c r="A13" s="3" t="s">
        <v>20</v>
      </c>
      <c r="B13" s="5">
        <f>795.31</f>
        <v>795.31</v>
      </c>
      <c r="C13" s="5">
        <f>795.31</f>
        <v>795.31</v>
      </c>
      <c r="D13" s="5">
        <f>795.32</f>
        <v>795.32</v>
      </c>
      <c r="E13" s="5">
        <f>792.03</f>
        <v>792.03</v>
      </c>
      <c r="F13" s="5">
        <f>792.03</f>
        <v>792.03</v>
      </c>
      <c r="G13" s="5">
        <f>791.52</f>
        <v>791.52</v>
      </c>
      <c r="H13" s="5">
        <f>791.52</f>
        <v>791.52</v>
      </c>
      <c r="I13" s="5">
        <f>791.52</f>
        <v>791.52</v>
      </c>
      <c r="J13" s="5">
        <f>791.69</f>
        <v>791.69</v>
      </c>
      <c r="K13" s="5">
        <f>791.69</f>
        <v>791.69</v>
      </c>
      <c r="L13" s="5">
        <f>793.05</f>
        <v>793.05</v>
      </c>
      <c r="M13" s="5">
        <f>793.56</f>
        <v>793.56</v>
      </c>
      <c r="N13" s="5">
        <f t="shared" si="2"/>
        <v>9514.5500000000011</v>
      </c>
    </row>
    <row r="14" spans="1:14" x14ac:dyDescent="0.3">
      <c r="A14" s="3" t="s">
        <v>21</v>
      </c>
      <c r="B14" s="5">
        <f>99.2</f>
        <v>99.2</v>
      </c>
      <c r="C14" s="5">
        <f>99.2</f>
        <v>99.2</v>
      </c>
      <c r="D14" s="5">
        <f>99.2</f>
        <v>99.2</v>
      </c>
      <c r="E14" s="5">
        <f>102.4</f>
        <v>102.4</v>
      </c>
      <c r="F14" s="5">
        <f>99.2</f>
        <v>99.2</v>
      </c>
      <c r="G14" s="5">
        <f>99.2</f>
        <v>99.2</v>
      </c>
      <c r="H14" s="5">
        <f>99.2</f>
        <v>99.2</v>
      </c>
      <c r="I14" s="5">
        <f>99.2</f>
        <v>99.2</v>
      </c>
      <c r="J14" s="5">
        <f>99.2</f>
        <v>99.2</v>
      </c>
      <c r="K14" s="5">
        <f>86.8</f>
        <v>86.8</v>
      </c>
      <c r="L14" s="5">
        <f>86.8</f>
        <v>86.8</v>
      </c>
      <c r="M14" s="5">
        <f>86.8</f>
        <v>86.8</v>
      </c>
      <c r="N14" s="5">
        <f t="shared" si="2"/>
        <v>1156.4000000000001</v>
      </c>
    </row>
    <row r="15" spans="1:14" x14ac:dyDescent="0.3">
      <c r="A15" s="3" t="s">
        <v>22</v>
      </c>
      <c r="B15" s="5">
        <f>6953.22</f>
        <v>6953.22</v>
      </c>
      <c r="C15" s="5">
        <f>5836.85</f>
        <v>5836.85</v>
      </c>
      <c r="D15" s="5">
        <f>7236.7</f>
        <v>7236.7</v>
      </c>
      <c r="E15" s="5">
        <f>6794.42</f>
        <v>6794.42</v>
      </c>
      <c r="F15" s="5">
        <f>9039.16</f>
        <v>9039.16</v>
      </c>
      <c r="G15" s="5">
        <f>8286.3</f>
        <v>8286.2999999999993</v>
      </c>
      <c r="H15" s="5">
        <f>7641.81</f>
        <v>7641.81</v>
      </c>
      <c r="I15" s="5">
        <f>8802.7</f>
        <v>8802.7000000000007</v>
      </c>
      <c r="J15" s="5">
        <f>11860.48</f>
        <v>11860.48</v>
      </c>
      <c r="K15" s="5">
        <f>9451.32</f>
        <v>9451.32</v>
      </c>
      <c r="L15" s="5">
        <f>8489.96</f>
        <v>8489.9599999999991</v>
      </c>
      <c r="M15" s="5">
        <f>3581.86</f>
        <v>3581.86</v>
      </c>
      <c r="N15" s="5">
        <f t="shared" si="2"/>
        <v>93974.779999999984</v>
      </c>
    </row>
    <row r="16" spans="1:14" x14ac:dyDescent="0.3">
      <c r="A16" s="3" t="s">
        <v>23</v>
      </c>
      <c r="B16" s="5">
        <f>2523.73</f>
        <v>2523.73</v>
      </c>
      <c r="C16" s="4"/>
      <c r="D16" s="4"/>
      <c r="E16" s="4"/>
      <c r="F16" s="5">
        <f>2878.91</f>
        <v>2878.91</v>
      </c>
      <c r="G16" s="4"/>
      <c r="H16" s="4"/>
      <c r="I16" s="5">
        <f>767.19</f>
        <v>767.19</v>
      </c>
      <c r="J16" s="5">
        <f>38.5</f>
        <v>38.5</v>
      </c>
      <c r="K16" s="4"/>
      <c r="L16" s="4"/>
      <c r="M16" s="5">
        <f>-38.5</f>
        <v>-38.5</v>
      </c>
      <c r="N16" s="5">
        <f t="shared" si="2"/>
        <v>6169.83</v>
      </c>
    </row>
    <row r="17" spans="1:14" x14ac:dyDescent="0.3">
      <c r="A17" s="3" t="s">
        <v>24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5">
        <f t="shared" si="2"/>
        <v>0</v>
      </c>
    </row>
    <row r="18" spans="1:14" x14ac:dyDescent="0.3">
      <c r="A18" s="3" t="s">
        <v>25</v>
      </c>
      <c r="B18" s="5">
        <f>3315</f>
        <v>3315</v>
      </c>
      <c r="C18" s="5">
        <f>3812.5</f>
        <v>3812.5</v>
      </c>
      <c r="D18" s="5">
        <f>16682.5</f>
        <v>16682.5</v>
      </c>
      <c r="E18" s="5">
        <f>26830</f>
        <v>26830</v>
      </c>
      <c r="F18" s="5">
        <f>41822.5</f>
        <v>41822.5</v>
      </c>
      <c r="G18" s="5">
        <f>19262.5</f>
        <v>19262.5</v>
      </c>
      <c r="H18" s="5">
        <f>4362.5</f>
        <v>4362.5</v>
      </c>
      <c r="I18" s="4"/>
      <c r="J18" s="5">
        <f>412.5</f>
        <v>412.5</v>
      </c>
      <c r="K18" s="5">
        <f>825</f>
        <v>825</v>
      </c>
      <c r="L18" s="5">
        <f>550</f>
        <v>550</v>
      </c>
      <c r="M18" s="5">
        <f>4695</f>
        <v>4695</v>
      </c>
      <c r="N18" s="5">
        <f t="shared" si="2"/>
        <v>122570</v>
      </c>
    </row>
    <row r="19" spans="1:14" x14ac:dyDescent="0.3">
      <c r="A19" s="3" t="s">
        <v>26</v>
      </c>
      <c r="B19" s="5">
        <f>50410.66</f>
        <v>50410.66</v>
      </c>
      <c r="C19" s="5">
        <f>43163.8</f>
        <v>43163.8</v>
      </c>
      <c r="D19" s="5">
        <f>43654.94</f>
        <v>43654.94</v>
      </c>
      <c r="E19" s="5">
        <f>93561.21</f>
        <v>93561.21</v>
      </c>
      <c r="F19" s="5">
        <f>155666.83</f>
        <v>155666.82999999999</v>
      </c>
      <c r="G19" s="5">
        <f>235763.6</f>
        <v>235763.6</v>
      </c>
      <c r="H19" s="5">
        <f>182889.88</f>
        <v>182889.88</v>
      </c>
      <c r="I19" s="5">
        <f>165696.34</f>
        <v>165696.34</v>
      </c>
      <c r="J19" s="4"/>
      <c r="K19" s="5">
        <f>156263.35</f>
        <v>156263.35</v>
      </c>
      <c r="L19" s="5">
        <f>45464.92</f>
        <v>45464.92</v>
      </c>
      <c r="M19" s="5">
        <f>103321.49</f>
        <v>103321.49</v>
      </c>
      <c r="N19" s="5">
        <f t="shared" si="2"/>
        <v>1275857.02</v>
      </c>
    </row>
    <row r="20" spans="1:14" x14ac:dyDescent="0.3">
      <c r="A20" s="3" t="s">
        <v>27</v>
      </c>
      <c r="B20" s="5">
        <f>26887.94</f>
        <v>26887.94</v>
      </c>
      <c r="C20" s="5">
        <f>26887.93</f>
        <v>26887.93</v>
      </c>
      <c r="D20" s="5">
        <f>21782.75</f>
        <v>21782.75</v>
      </c>
      <c r="E20" s="5">
        <f>15450</f>
        <v>15450</v>
      </c>
      <c r="F20" s="5">
        <f>19795.48</f>
        <v>19795.48</v>
      </c>
      <c r="G20" s="5">
        <f>12965</f>
        <v>12965</v>
      </c>
      <c r="H20" s="5">
        <f>11567.5</f>
        <v>11567.5</v>
      </c>
      <c r="I20" s="5">
        <f>19325.31</f>
        <v>19325.310000000001</v>
      </c>
      <c r="J20" s="5">
        <f>16393.94</f>
        <v>16393.939999999999</v>
      </c>
      <c r="K20" s="5">
        <f>14333.07</f>
        <v>14333.07</v>
      </c>
      <c r="L20" s="5">
        <f>19382.04</f>
        <v>19382.04</v>
      </c>
      <c r="M20" s="5">
        <f>11983.75</f>
        <v>11983.75</v>
      </c>
      <c r="N20" s="5">
        <f t="shared" si="2"/>
        <v>216754.71</v>
      </c>
    </row>
    <row r="21" spans="1:14" x14ac:dyDescent="0.3">
      <c r="A21" s="3" t="s">
        <v>28</v>
      </c>
      <c r="B21" s="4"/>
      <c r="C21" s="4"/>
      <c r="D21" s="4"/>
      <c r="E21" s="4"/>
      <c r="F21" s="4"/>
      <c r="G21" s="5">
        <f>-250</f>
        <v>-250</v>
      </c>
      <c r="H21" s="5">
        <f>0</f>
        <v>0</v>
      </c>
      <c r="I21" s="4"/>
      <c r="J21" s="4"/>
      <c r="K21" s="4"/>
      <c r="L21" s="4"/>
      <c r="M21" s="4"/>
      <c r="N21" s="5">
        <f t="shared" si="2"/>
        <v>-250</v>
      </c>
    </row>
    <row r="22" spans="1:14" x14ac:dyDescent="0.3">
      <c r="A22" s="3" t="s">
        <v>29</v>
      </c>
      <c r="B22" s="4"/>
      <c r="C22" s="5">
        <f>4462.5</f>
        <v>4462.5</v>
      </c>
      <c r="D22" s="5">
        <f>4037.5</f>
        <v>4037.5</v>
      </c>
      <c r="E22" s="5">
        <f>3400</f>
        <v>3400</v>
      </c>
      <c r="F22" s="4"/>
      <c r="G22" s="5">
        <f>2103.75</f>
        <v>2103.75</v>
      </c>
      <c r="H22" s="5">
        <f>5833.12</f>
        <v>5833.12</v>
      </c>
      <c r="I22" s="5">
        <f>3380</f>
        <v>3380</v>
      </c>
      <c r="J22" s="5">
        <f>2092.5</f>
        <v>2092.5</v>
      </c>
      <c r="K22" s="5">
        <f>1569.38</f>
        <v>1569.38</v>
      </c>
      <c r="L22" s="5">
        <f>1778.65</f>
        <v>1778.65</v>
      </c>
      <c r="M22" s="5">
        <f>5022</f>
        <v>5022</v>
      </c>
      <c r="N22" s="5">
        <f t="shared" si="2"/>
        <v>33679.4</v>
      </c>
    </row>
    <row r="23" spans="1:14" x14ac:dyDescent="0.3">
      <c r="A23" s="3" t="s">
        <v>30</v>
      </c>
      <c r="B23" s="5">
        <f>206</f>
        <v>206</v>
      </c>
      <c r="C23" s="5">
        <f>107.5</f>
        <v>107.5</v>
      </c>
      <c r="D23" s="5">
        <f>632</f>
        <v>632</v>
      </c>
      <c r="E23" s="5">
        <f>409</f>
        <v>409</v>
      </c>
      <c r="F23" s="5">
        <f>198.5</f>
        <v>198.5</v>
      </c>
      <c r="G23" s="5">
        <f>362.5</f>
        <v>362.5</v>
      </c>
      <c r="H23" s="5">
        <f>629.5</f>
        <v>629.5</v>
      </c>
      <c r="I23" s="5">
        <f>206</f>
        <v>206</v>
      </c>
      <c r="J23" s="5">
        <f>381</f>
        <v>381</v>
      </c>
      <c r="K23" s="5">
        <f>293</f>
        <v>293</v>
      </c>
      <c r="L23" s="5">
        <f>324.5</f>
        <v>324.5</v>
      </c>
      <c r="M23" s="5">
        <f>231</f>
        <v>231</v>
      </c>
      <c r="N23" s="5">
        <f t="shared" si="2"/>
        <v>3980.5</v>
      </c>
    </row>
    <row r="24" spans="1:14" x14ac:dyDescent="0.3">
      <c r="A24" s="3" t="s">
        <v>31</v>
      </c>
      <c r="B24" s="6">
        <f t="shared" ref="B24:M24" si="3">((((((B17)+(B18))+(B19))+(B20))+(B21))+(B22))+(B23)</f>
        <v>80819.600000000006</v>
      </c>
      <c r="C24" s="6">
        <f t="shared" si="3"/>
        <v>78434.23000000001</v>
      </c>
      <c r="D24" s="6">
        <f t="shared" si="3"/>
        <v>86789.69</v>
      </c>
      <c r="E24" s="6">
        <f t="shared" si="3"/>
        <v>139650.21000000002</v>
      </c>
      <c r="F24" s="6">
        <f t="shared" si="3"/>
        <v>217483.31</v>
      </c>
      <c r="G24" s="6">
        <f t="shared" si="3"/>
        <v>270207.34999999998</v>
      </c>
      <c r="H24" s="6">
        <f t="shared" si="3"/>
        <v>205282.5</v>
      </c>
      <c r="I24" s="6">
        <f t="shared" si="3"/>
        <v>188607.65</v>
      </c>
      <c r="J24" s="6">
        <f t="shared" si="3"/>
        <v>19279.939999999999</v>
      </c>
      <c r="K24" s="6">
        <f t="shared" si="3"/>
        <v>173283.80000000002</v>
      </c>
      <c r="L24" s="6">
        <f t="shared" si="3"/>
        <v>67500.11</v>
      </c>
      <c r="M24" s="6">
        <f t="shared" si="3"/>
        <v>125253.24</v>
      </c>
      <c r="N24" s="6">
        <f t="shared" si="2"/>
        <v>1652591.6300000001</v>
      </c>
    </row>
    <row r="25" spans="1:14" x14ac:dyDescent="0.3">
      <c r="A25" s="3" t="s">
        <v>32</v>
      </c>
      <c r="B25" s="5">
        <f>53519.93</f>
        <v>53519.93</v>
      </c>
      <c r="C25" s="5">
        <f>55188.83</f>
        <v>55188.83</v>
      </c>
      <c r="D25" s="5">
        <f>55187.21</f>
        <v>55187.21</v>
      </c>
      <c r="E25" s="5">
        <f>55186.56</f>
        <v>55186.559999999998</v>
      </c>
      <c r="F25" s="5">
        <f>49441.44</f>
        <v>49441.440000000002</v>
      </c>
      <c r="G25" s="5">
        <f>57695.04</f>
        <v>57695.040000000001</v>
      </c>
      <c r="H25" s="5">
        <f>50169.6</f>
        <v>50169.599999999999</v>
      </c>
      <c r="I25" s="5">
        <f>58072.98</f>
        <v>58072.98</v>
      </c>
      <c r="J25" s="5">
        <f>80797.18</f>
        <v>80797.179999999993</v>
      </c>
      <c r="K25" s="5">
        <f>53023.15</f>
        <v>53023.15</v>
      </c>
      <c r="L25" s="5">
        <f>56684.96</f>
        <v>56684.959999999999</v>
      </c>
      <c r="M25" s="5">
        <f>24535.33</f>
        <v>24535.33</v>
      </c>
      <c r="N25" s="5">
        <f t="shared" si="2"/>
        <v>649502.20999999985</v>
      </c>
    </row>
    <row r="26" spans="1:14" x14ac:dyDescent="0.3">
      <c r="A26" s="3" t="s">
        <v>33</v>
      </c>
      <c r="B26" s="4"/>
      <c r="C26" s="4"/>
      <c r="D26" s="4"/>
      <c r="E26" s="5">
        <f>25.89</f>
        <v>25.89</v>
      </c>
      <c r="F26" s="5">
        <f>291.72</f>
        <v>291.72000000000003</v>
      </c>
      <c r="G26" s="5">
        <f>115.86</f>
        <v>115.86</v>
      </c>
      <c r="H26" s="4"/>
      <c r="I26" s="5">
        <f>54.64</f>
        <v>54.64</v>
      </c>
      <c r="J26" s="5">
        <f>434.53</f>
        <v>434.53</v>
      </c>
      <c r="K26" s="5">
        <f>26.8</f>
        <v>26.8</v>
      </c>
      <c r="L26" s="5">
        <f>19.59</f>
        <v>19.59</v>
      </c>
      <c r="M26" s="5">
        <f>-8.94</f>
        <v>-8.94</v>
      </c>
      <c r="N26" s="5">
        <f t="shared" si="2"/>
        <v>960.08999999999992</v>
      </c>
    </row>
    <row r="27" spans="1:14" x14ac:dyDescent="0.3">
      <c r="A27" s="3" t="s">
        <v>34</v>
      </c>
      <c r="B27" s="6">
        <f t="shared" ref="B27:M27" si="4">((((((((B11)+(B12))+(B13))+(B14))+(B15))+(B16))+(B24))+(B25))+(B26)</f>
        <v>145174.26</v>
      </c>
      <c r="C27" s="6">
        <f t="shared" si="4"/>
        <v>140694.42000000001</v>
      </c>
      <c r="D27" s="6">
        <f t="shared" si="4"/>
        <v>150448.12</v>
      </c>
      <c r="E27" s="6">
        <f t="shared" si="4"/>
        <v>202990.09000000003</v>
      </c>
      <c r="F27" s="6">
        <f t="shared" si="4"/>
        <v>281161.28999999998</v>
      </c>
      <c r="G27" s="6">
        <f t="shared" si="4"/>
        <v>337983.25999999995</v>
      </c>
      <c r="H27" s="6">
        <f t="shared" si="4"/>
        <v>264823.86</v>
      </c>
      <c r="I27" s="6">
        <f t="shared" si="4"/>
        <v>258408.92</v>
      </c>
      <c r="J27" s="6">
        <f t="shared" si="4"/>
        <v>114810.37</v>
      </c>
      <c r="K27" s="6">
        <f t="shared" si="4"/>
        <v>237860</v>
      </c>
      <c r="L27" s="6">
        <f t="shared" si="4"/>
        <v>134762.60999999999</v>
      </c>
      <c r="M27" s="6">
        <f t="shared" si="4"/>
        <v>154467.97</v>
      </c>
      <c r="N27" s="6">
        <f t="shared" si="2"/>
        <v>2423585.1700000004</v>
      </c>
    </row>
    <row r="28" spans="1:14" x14ac:dyDescent="0.3">
      <c r="A28" s="3" t="s">
        <v>35</v>
      </c>
      <c r="B28" s="6">
        <f t="shared" ref="B28:M28" si="5">(B9)-(B27)</f>
        <v>-145174.26</v>
      </c>
      <c r="C28" s="6">
        <f t="shared" si="5"/>
        <v>-140694.42000000001</v>
      </c>
      <c r="D28" s="6">
        <f t="shared" si="5"/>
        <v>-150448.12</v>
      </c>
      <c r="E28" s="6">
        <f t="shared" si="5"/>
        <v>-202990.09000000003</v>
      </c>
      <c r="F28" s="6">
        <f t="shared" si="5"/>
        <v>2888838.71</v>
      </c>
      <c r="G28" s="6">
        <f t="shared" si="5"/>
        <v>-337983.25999999995</v>
      </c>
      <c r="H28" s="6">
        <f t="shared" si="5"/>
        <v>-264823.86</v>
      </c>
      <c r="I28" s="6">
        <f t="shared" si="5"/>
        <v>-258408.92</v>
      </c>
      <c r="J28" s="6">
        <f t="shared" si="5"/>
        <v>-114810.37</v>
      </c>
      <c r="K28" s="6">
        <f t="shared" si="5"/>
        <v>-237860</v>
      </c>
      <c r="L28" s="6">
        <f t="shared" si="5"/>
        <v>-134762.60999999999</v>
      </c>
      <c r="M28" s="6">
        <f t="shared" si="5"/>
        <v>-154467.97</v>
      </c>
      <c r="N28" s="6">
        <f t="shared" si="2"/>
        <v>746414.82999999973</v>
      </c>
    </row>
    <row r="29" spans="1:14" x14ac:dyDescent="0.3">
      <c r="A29" s="3" t="s">
        <v>36</v>
      </c>
      <c r="B29" s="7">
        <f t="shared" ref="B29:M29" si="6">(B28)+(0)</f>
        <v>-145174.26</v>
      </c>
      <c r="C29" s="7">
        <f t="shared" si="6"/>
        <v>-140694.42000000001</v>
      </c>
      <c r="D29" s="7">
        <f t="shared" si="6"/>
        <v>-150448.12</v>
      </c>
      <c r="E29" s="7">
        <f t="shared" si="6"/>
        <v>-202990.09000000003</v>
      </c>
      <c r="F29" s="7">
        <f t="shared" si="6"/>
        <v>2888838.71</v>
      </c>
      <c r="G29" s="7">
        <f t="shared" si="6"/>
        <v>-337983.25999999995</v>
      </c>
      <c r="H29" s="7">
        <f t="shared" si="6"/>
        <v>-264823.86</v>
      </c>
      <c r="I29" s="7">
        <f t="shared" si="6"/>
        <v>-258408.92</v>
      </c>
      <c r="J29" s="7">
        <f t="shared" si="6"/>
        <v>-114810.37</v>
      </c>
      <c r="K29" s="7">
        <f t="shared" si="6"/>
        <v>-237860</v>
      </c>
      <c r="L29" s="7">
        <f t="shared" si="6"/>
        <v>-134762.60999999999</v>
      </c>
      <c r="M29" s="7">
        <f t="shared" si="6"/>
        <v>-154467.97</v>
      </c>
      <c r="N29" s="7">
        <f t="shared" si="2"/>
        <v>746414.82999999973</v>
      </c>
    </row>
    <row r="30" spans="1:14" x14ac:dyDescent="0.3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Woods, Edward (MICRC)</cp:lastModifiedBy>
  <dcterms:created xsi:type="dcterms:W3CDTF">2023-12-13T18:06:30Z</dcterms:created>
  <dcterms:modified xsi:type="dcterms:W3CDTF">2023-12-13T18:11:43Z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2023-12-13T18:10:45Z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f3af812c-3184-46ea-a66d-03b30004dd2d</vt:lpwstr>
  </property>
  <property fmtid="{D5CDD505-2E9C-101B-9397-08002B2CF9AE}" pid="8" name="MSIP_Label_3a2fed65-62e7-46ea-af74-187e0c17143a_ContentBits">
    <vt:lpwstr>0</vt:lpwstr>
  </property>
</Properties>
</file>